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5. SWQP/z. Submission/"/>
    </mc:Choice>
  </mc:AlternateContent>
  <xr:revisionPtr revIDLastSave="999" documentId="13_ncr:1_{3AE2497D-E417-49B2-BA59-D42ED594C9A6}" xr6:coauthVersionLast="47" xr6:coauthVersionMax="47" xr10:uidLastSave="{CC0DEA3A-431E-480D-A8E2-DAC4B5BA89CB}"/>
  <bookViews>
    <workbookView xWindow="-120" yWindow="-120" windowWidth="57840" windowHeight="23520" tabRatio="84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6" r:id="rId19"/>
    <sheet name="4. Recovered Capital" sheetId="47" r:id="rId20"/>
    <sheet name="Auditor's Review Report RCM" sheetId="127" r:id="rId21"/>
    <sheet name="4.1 Pipelines capex" sheetId="66" r:id="rId22"/>
    <sheet name="Auditor's Review Report Capex" sheetId="129" r:id="rId23"/>
    <sheet name="5. Historical demand" sheetId="74" r:id="rId24"/>
    <sheet name="Auditor's Review Report Demand" sheetId="128" r:id="rId25"/>
    <sheet name="6. Pricing template" sheetId="80" r:id="rId26"/>
    <sheet name="7. Amendment record" sheetId="90" r:id="rId27"/>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4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#REF!</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4" l="1"/>
  <c r="F67" i="34"/>
  <c r="F66" i="34"/>
  <c r="E67" i="34"/>
  <c r="E66" i="34"/>
  <c r="D19" i="55" l="1"/>
  <c r="D18" i="55"/>
  <c r="D17" i="55"/>
  <c r="D16" i="55"/>
  <c r="D14" i="55"/>
  <c r="D13" i="55"/>
  <c r="D12" i="55"/>
  <c r="D11" i="55"/>
  <c r="E23" i="34" l="1"/>
  <c r="E21" i="34"/>
  <c r="E20" i="34"/>
  <c r="E19" i="34"/>
  <c r="E18" i="34"/>
  <c r="E17" i="34"/>
  <c r="E16" i="34"/>
  <c r="E15" i="34"/>
  <c r="G25" i="16" l="1"/>
  <c r="G26" i="16" s="1"/>
  <c r="F23" i="34" l="1"/>
  <c r="F21" i="34"/>
  <c r="F18" i="34"/>
  <c r="F17" i="34"/>
  <c r="F15" i="34"/>
  <c r="F20" i="34"/>
  <c r="F19" i="34"/>
  <c r="F16" i="34"/>
  <c r="D130" i="6" l="1"/>
  <c r="E15" i="87"/>
  <c r="D15" i="87"/>
  <c r="F15" i="87"/>
  <c r="G15" i="87"/>
  <c r="H15" i="87"/>
  <c r="B16" i="44"/>
  <c r="B15" i="44"/>
  <c r="D118" i="6"/>
  <c r="D116" i="6"/>
  <c r="D114" i="6"/>
  <c r="D110" i="6"/>
  <c r="D108" i="6"/>
  <c r="D95" i="6"/>
  <c r="D94" i="6"/>
  <c r="D93" i="6" s="1"/>
  <c r="D92" i="6"/>
  <c r="D91" i="6"/>
  <c r="D90"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2" i="6" s="1"/>
  <c r="D20" i="6"/>
  <c r="D19" i="6"/>
  <c r="D18" i="6"/>
  <c r="G98" i="66"/>
  <c r="E41" i="66"/>
  <c r="E14" i="47"/>
  <c r="G46" i="59"/>
  <c r="E47" i="59"/>
  <c r="I84" i="34"/>
  <c r="P59" i="34"/>
  <c r="O59" i="34"/>
  <c r="K59" i="34"/>
  <c r="J59" i="34"/>
  <c r="I59" i="34"/>
  <c r="H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E120" i="6"/>
  <c r="D102" i="6"/>
  <c r="E102" i="6"/>
  <c r="E96" i="6"/>
  <c r="E88" i="6"/>
  <c r="E80" i="6"/>
  <c r="E73" i="6"/>
  <c r="E65" i="6"/>
  <c r="E57" i="6"/>
  <c r="E49" i="6"/>
  <c r="E41" i="6"/>
  <c r="E33" i="6"/>
  <c r="E21" i="6"/>
  <c r="E25" i="6" s="1"/>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35" i="56"/>
  <c r="J32" i="56" s="1"/>
  <c r="I35" i="56"/>
  <c r="I30" i="56" s="1"/>
  <c r="E149" i="80"/>
  <c r="D149" i="80"/>
  <c r="H47" i="56"/>
  <c r="H35" i="56"/>
  <c r="G21" i="76"/>
  <c r="I47" i="56" s="1"/>
  <c r="H21" i="76"/>
  <c r="J47" i="56" s="1"/>
  <c r="J44" i="56" s="1"/>
  <c r="I20" i="76"/>
  <c r="I21" i="76" s="1"/>
  <c r="I16" i="76"/>
  <c r="I15" i="76"/>
  <c r="I14" i="76"/>
  <c r="I41" i="76"/>
  <c r="I40" i="76"/>
  <c r="I39" i="76"/>
  <c r="I38" i="76"/>
  <c r="I36" i="76"/>
  <c r="I35" i="76"/>
  <c r="I34" i="76"/>
  <c r="H43" i="76"/>
  <c r="J90" i="56"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4" i="34"/>
  <c r="N24" i="34" s="1"/>
  <c r="Q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I37" i="45" l="1"/>
  <c r="I21" i="45"/>
  <c r="I35" i="45"/>
  <c r="I19" i="45"/>
  <c r="I23" i="45"/>
  <c r="I39" i="45"/>
  <c r="AL29" i="47"/>
  <c r="BA29" i="47"/>
  <c r="J30" i="16"/>
  <c r="AK37" i="47"/>
  <c r="BC37" i="47"/>
  <c r="E18" i="76"/>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AQ37" i="47"/>
  <c r="K37" i="47"/>
  <c r="AT29" i="47"/>
  <c r="AD37" i="47"/>
  <c r="T29" i="47"/>
  <c r="J29" i="47"/>
  <c r="V37" i="47"/>
  <c r="AR29" i="47"/>
  <c r="AA37" i="47"/>
  <c r="J37" i="56"/>
  <c r="J43" i="56"/>
  <c r="J42" i="56"/>
  <c r="J40" i="56"/>
  <c r="J39" i="56"/>
  <c r="J38" i="56"/>
  <c r="AX29" i="47"/>
  <c r="U37" i="47"/>
  <c r="V29" i="47"/>
  <c r="J25" i="56"/>
  <c r="L37" i="47"/>
  <c r="AF29" i="47"/>
  <c r="N59" i="34"/>
  <c r="Q15" i="34"/>
  <c r="Q59" i="34" s="1"/>
  <c r="L59" i="34"/>
  <c r="D96" i="6"/>
  <c r="D65" i="6"/>
  <c r="E103" i="6"/>
  <c r="D21" i="6"/>
  <c r="D25" i="6" s="1"/>
  <c r="D41" i="6"/>
  <c r="D80" i="6"/>
  <c r="D88" i="6"/>
  <c r="D57" i="6"/>
  <c r="D73" i="6"/>
  <c r="D33" i="6"/>
  <c r="D49" i="6"/>
  <c r="I46" i="56"/>
  <c r="I45" i="56"/>
  <c r="I44" i="56"/>
  <c r="K44" i="56" s="1"/>
  <c r="I43" i="56"/>
  <c r="I40" i="56"/>
  <c r="I42" i="56"/>
  <c r="I41" i="56"/>
  <c r="I39" i="56"/>
  <c r="I38" i="56"/>
  <c r="I37" i="56"/>
  <c r="I31" i="56"/>
  <c r="I34" i="56"/>
  <c r="I32" i="56"/>
  <c r="K32" i="56" s="1"/>
  <c r="I33" i="56"/>
  <c r="I26" i="56"/>
  <c r="I25" i="56"/>
  <c r="I27" i="56"/>
  <c r="I28" i="56"/>
  <c r="I29"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B45" i="74"/>
  <c r="F23" i="56" l="1"/>
  <c r="K46" i="56"/>
  <c r="E22" i="76"/>
  <c r="K39" i="56"/>
  <c r="K45" i="56"/>
  <c r="K38" i="56"/>
  <c r="K26"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42" i="45"/>
  <c r="G94" i="87"/>
  <c r="K31" i="56"/>
  <c r="D95" i="87"/>
  <c r="K41" i="56"/>
  <c r="E95" i="87"/>
  <c r="K33" i="56"/>
  <c r="F78" i="87"/>
  <c r="K42" i="56"/>
  <c r="K28" i="56"/>
  <c r="K43" i="56"/>
  <c r="K25" i="56"/>
  <c r="G78" i="87"/>
  <c r="H78" i="87"/>
  <c r="H95" i="87" s="1"/>
  <c r="C23" i="69" s="1"/>
  <c r="F94" i="87"/>
  <c r="E37" i="47"/>
  <c r="E29" i="47"/>
  <c r="C26" i="69" s="1"/>
  <c r="K37" i="56"/>
  <c r="D21" i="76"/>
  <c r="E47" i="56" s="1"/>
  <c r="F20" i="76"/>
  <c r="F21" i="76" s="1"/>
  <c r="C11" i="69" s="1"/>
  <c r="D103" i="6"/>
  <c r="E23" i="16"/>
  <c r="C129" i="80"/>
  <c r="B46" i="74"/>
  <c r="K47" i="56" l="1"/>
  <c r="G95" i="87"/>
  <c r="F95" i="87"/>
  <c r="K35" i="56"/>
  <c r="D143" i="80"/>
  <c r="D137" i="80"/>
  <c r="D142" i="80"/>
  <c r="D144" i="80"/>
  <c r="D145" i="80"/>
  <c r="D139" i="80"/>
  <c r="D138" i="80"/>
  <c r="D141" i="80"/>
  <c r="D140" i="80"/>
  <c r="D146" i="80"/>
  <c r="C130" i="80"/>
  <c r="C131" i="80" s="1"/>
  <c r="C132" i="80" s="1"/>
  <c r="C133" i="80" s="1"/>
  <c r="F16" i="76"/>
  <c r="F17" i="76"/>
  <c r="B47" i="74"/>
  <c r="E11" i="57" l="1"/>
  <c r="C116" i="80"/>
  <c r="C17" i="57"/>
  <c r="D14" i="76" s="1"/>
  <c r="C134" i="80"/>
  <c r="E144" i="80"/>
  <c r="E146" i="80"/>
  <c r="E140" i="80"/>
  <c r="E139" i="80"/>
  <c r="E145" i="80"/>
  <c r="E138" i="80"/>
  <c r="E143" i="80"/>
  <c r="E137" i="80"/>
  <c r="E141" i="80"/>
  <c r="E142" i="80"/>
  <c r="B48" i="74"/>
  <c r="C92" i="80" l="1"/>
  <c r="C137" i="80" s="1"/>
  <c r="F137" i="80" s="1"/>
  <c r="E17" i="57"/>
  <c r="C31" i="80"/>
  <c r="C122" i="80"/>
  <c r="C98" i="80"/>
  <c r="C124" i="80"/>
  <c r="C100" i="80"/>
  <c r="C123" i="80"/>
  <c r="C99" i="80"/>
  <c r="C125" i="80"/>
  <c r="C101" i="80"/>
  <c r="C119" i="80"/>
  <c r="C95" i="80"/>
  <c r="C118" i="80"/>
  <c r="C94" i="80"/>
  <c r="C120" i="80"/>
  <c r="C96" i="80"/>
  <c r="C117" i="80"/>
  <c r="C93" i="80"/>
  <c r="C121" i="80"/>
  <c r="C97" i="80"/>
  <c r="I42" i="76"/>
  <c r="E35" i="56"/>
  <c r="F14" i="76"/>
  <c r="F21" i="56"/>
  <c r="F14" i="56"/>
  <c r="F16" i="56"/>
  <c r="F20" i="56"/>
  <c r="F17" i="56"/>
  <c r="F22" i="56"/>
  <c r="F18" i="56"/>
  <c r="F13" i="76"/>
  <c r="D18" i="76"/>
  <c r="F19" i="56"/>
  <c r="F15" i="56"/>
  <c r="B49" i="74"/>
  <c r="C149" i="80" l="1"/>
  <c r="G149" i="80" s="1"/>
  <c r="G137" i="80"/>
  <c r="C146" i="80"/>
  <c r="C158" i="80"/>
  <c r="C144" i="80"/>
  <c r="C156" i="80"/>
  <c r="C151" i="80"/>
  <c r="C139" i="80"/>
  <c r="C157" i="80"/>
  <c r="C145" i="80"/>
  <c r="C153" i="80"/>
  <c r="C141" i="80"/>
  <c r="C142" i="80"/>
  <c r="C154" i="80"/>
  <c r="C140" i="80"/>
  <c r="C152" i="80"/>
  <c r="C143" i="80"/>
  <c r="C155" i="80"/>
  <c r="C138" i="80"/>
  <c r="C150" i="80"/>
  <c r="F18" i="76"/>
  <c r="F43" i="56"/>
  <c r="E43" i="56"/>
  <c r="F26" i="56"/>
  <c r="E26" i="56"/>
  <c r="F46" i="56"/>
  <c r="E46" i="56"/>
  <c r="F31" i="56"/>
  <c r="E31" i="56"/>
  <c r="E38" i="56"/>
  <c r="F38" i="56"/>
  <c r="E37" i="56"/>
  <c r="F37" i="56"/>
  <c r="D47" i="56"/>
  <c r="D22" i="76"/>
  <c r="E23" i="56"/>
  <c r="F34" i="56"/>
  <c r="E34" i="56"/>
  <c r="F44" i="56"/>
  <c r="E44" i="56"/>
  <c r="D35" i="56"/>
  <c r="F25" i="56"/>
  <c r="E25" i="56"/>
  <c r="F32" i="56"/>
  <c r="E32" i="56"/>
  <c r="D90" i="56"/>
  <c r="D78" i="56"/>
  <c r="E40" i="56"/>
  <c r="F40" i="56"/>
  <c r="F27" i="56"/>
  <c r="E27" i="56"/>
  <c r="D66" i="56"/>
  <c r="F42" i="56"/>
  <c r="E42" i="56"/>
  <c r="F29" i="56"/>
  <c r="E29" i="56"/>
  <c r="D23" i="56"/>
  <c r="F13" i="56"/>
  <c r="F30" i="56"/>
  <c r="E30" i="56"/>
  <c r="E41" i="56"/>
  <c r="F41" i="56"/>
  <c r="F45" i="56"/>
  <c r="E45" i="56"/>
  <c r="F28" i="56"/>
  <c r="E28" i="56"/>
  <c r="F39" i="56"/>
  <c r="E39" i="56"/>
  <c r="F33" i="56"/>
  <c r="E33" i="56"/>
  <c r="B50" i="74"/>
  <c r="F22" i="76" l="1"/>
  <c r="F149" i="80"/>
  <c r="F141" i="80"/>
  <c r="I141" i="80" s="1"/>
  <c r="H68" i="80" s="1"/>
  <c r="G141" i="80"/>
  <c r="J141" i="80" s="1"/>
  <c r="I68" i="80" s="1"/>
  <c r="G154" i="80"/>
  <c r="J154" i="80" s="1"/>
  <c r="K69" i="80" s="1"/>
  <c r="F154" i="80"/>
  <c r="I154" i="80" s="1"/>
  <c r="J69" i="80" s="1"/>
  <c r="F142" i="80"/>
  <c r="I142" i="80" s="1"/>
  <c r="H69" i="80" s="1"/>
  <c r="G142" i="80"/>
  <c r="J142" i="80" s="1"/>
  <c r="I69" i="80" s="1"/>
  <c r="F150" i="80"/>
  <c r="I150" i="80" s="1"/>
  <c r="J65" i="80" s="1"/>
  <c r="G150" i="80"/>
  <c r="J150" i="80" s="1"/>
  <c r="K65" i="80" s="1"/>
  <c r="G153" i="80"/>
  <c r="J153" i="80" s="1"/>
  <c r="K68" i="80" s="1"/>
  <c r="F153" i="80"/>
  <c r="I153" i="80" s="1"/>
  <c r="J68" i="80" s="1"/>
  <c r="F138" i="80"/>
  <c r="I138" i="80" s="1"/>
  <c r="H65" i="80" s="1"/>
  <c r="G138" i="80"/>
  <c r="J138" i="80" s="1"/>
  <c r="I65" i="80" s="1"/>
  <c r="F145" i="80"/>
  <c r="I145" i="80" s="1"/>
  <c r="H72" i="80" s="1"/>
  <c r="G145" i="80"/>
  <c r="J145" i="80" s="1"/>
  <c r="I72" i="80" s="1"/>
  <c r="G157" i="80"/>
  <c r="J157" i="80" s="1"/>
  <c r="K72" i="80" s="1"/>
  <c r="F157" i="80"/>
  <c r="I157" i="80" s="1"/>
  <c r="J72" i="80" s="1"/>
  <c r="F139" i="80"/>
  <c r="I139" i="80" s="1"/>
  <c r="H66" i="80" s="1"/>
  <c r="G139" i="80"/>
  <c r="J139" i="80" s="1"/>
  <c r="I66" i="80" s="1"/>
  <c r="F151" i="80"/>
  <c r="I151" i="80" s="1"/>
  <c r="J66" i="80" s="1"/>
  <c r="G151" i="80"/>
  <c r="J151" i="80" s="1"/>
  <c r="K66" i="80" s="1"/>
  <c r="G155" i="80"/>
  <c r="J155" i="80" s="1"/>
  <c r="K70" i="80" s="1"/>
  <c r="F155" i="80"/>
  <c r="I155" i="80" s="1"/>
  <c r="J70" i="80" s="1"/>
  <c r="G156" i="80"/>
  <c r="J156" i="80" s="1"/>
  <c r="K71" i="80" s="1"/>
  <c r="F156" i="80"/>
  <c r="I156" i="80" s="1"/>
  <c r="J71" i="80" s="1"/>
  <c r="F143" i="80"/>
  <c r="I143" i="80" s="1"/>
  <c r="H70" i="80" s="1"/>
  <c r="G143" i="80"/>
  <c r="J143" i="80" s="1"/>
  <c r="I70" i="80" s="1"/>
  <c r="F144" i="80"/>
  <c r="I144" i="80" s="1"/>
  <c r="H71" i="80" s="1"/>
  <c r="G144" i="80"/>
  <c r="J144" i="80" s="1"/>
  <c r="I71" i="80" s="1"/>
  <c r="G152" i="80"/>
  <c r="J152" i="80" s="1"/>
  <c r="K67" i="80" s="1"/>
  <c r="F152" i="80"/>
  <c r="I152" i="80" s="1"/>
  <c r="J67" i="80" s="1"/>
  <c r="F158" i="80"/>
  <c r="I158" i="80" s="1"/>
  <c r="J73" i="80" s="1"/>
  <c r="G158" i="80"/>
  <c r="J158" i="80" s="1"/>
  <c r="K73" i="80" s="1"/>
  <c r="F140" i="80"/>
  <c r="I140" i="80" s="1"/>
  <c r="H67" i="80" s="1"/>
  <c r="G140" i="80"/>
  <c r="J140" i="80" s="1"/>
  <c r="I67" i="80" s="1"/>
  <c r="F146" i="80"/>
  <c r="I146" i="80" s="1"/>
  <c r="H73" i="80" s="1"/>
  <c r="G146" i="80"/>
  <c r="J146" i="80" s="1"/>
  <c r="I73" i="80" s="1"/>
  <c r="G44" i="56"/>
  <c r="G43" i="56"/>
  <c r="G30" i="56"/>
  <c r="G33" i="56"/>
  <c r="G39" i="56"/>
  <c r="G45" i="56"/>
  <c r="G28" i="56"/>
  <c r="C10" i="69"/>
  <c r="G46" i="56"/>
  <c r="G29" i="56"/>
  <c r="G25" i="56"/>
  <c r="G26" i="56"/>
  <c r="G38" i="56"/>
  <c r="G41" i="56"/>
  <c r="G42" i="56"/>
  <c r="G32" i="56"/>
  <c r="G31" i="56"/>
  <c r="C12" i="69"/>
  <c r="G34" i="56"/>
  <c r="G37" i="56"/>
  <c r="G27" i="56"/>
  <c r="E18" i="56"/>
  <c r="G18" i="56" s="1"/>
  <c r="E22" i="56"/>
  <c r="G22" i="56" s="1"/>
  <c r="E13" i="56"/>
  <c r="G13" i="56" s="1"/>
  <c r="E21" i="56"/>
  <c r="G21" i="56" s="1"/>
  <c r="E15" i="56"/>
  <c r="G15" i="56" s="1"/>
  <c r="E17" i="56"/>
  <c r="G17" i="56" s="1"/>
  <c r="E16" i="56"/>
  <c r="G16" i="56" s="1"/>
  <c r="E19" i="56"/>
  <c r="G19" i="56" s="1"/>
  <c r="E20" i="56"/>
  <c r="G20" i="56" s="1"/>
  <c r="E48" i="56"/>
  <c r="E14" i="56"/>
  <c r="G14" i="56" s="1"/>
  <c r="G40" i="56"/>
  <c r="B51" i="74"/>
  <c r="I27" i="76" l="1"/>
  <c r="F26" i="76"/>
  <c r="F27" i="76"/>
  <c r="F28" i="76"/>
  <c r="I28" i="76"/>
  <c r="I31" i="76"/>
  <c r="F30" i="76"/>
  <c r="I30" i="76"/>
  <c r="F31" i="76"/>
  <c r="F25" i="76"/>
  <c r="I29" i="76"/>
  <c r="F29" i="76"/>
  <c r="F40" i="80"/>
  <c r="F44" i="80"/>
  <c r="F55" i="80"/>
  <c r="F41" i="80"/>
  <c r="F47" i="80"/>
  <c r="F53" i="80"/>
  <c r="F43" i="80"/>
  <c r="F39" i="80"/>
  <c r="F52" i="80"/>
  <c r="F42" i="80"/>
  <c r="F48" i="80"/>
  <c r="F51" i="80"/>
  <c r="F50" i="80"/>
  <c r="F49" i="80"/>
  <c r="F45" i="80"/>
  <c r="F56" i="80"/>
  <c r="F54" i="80"/>
  <c r="F46" i="80"/>
  <c r="D20" i="5"/>
  <c r="G35" i="56"/>
  <c r="D19" i="5"/>
  <c r="D18" i="5"/>
  <c r="D13" i="5"/>
  <c r="D14" i="5"/>
  <c r="G23" i="56"/>
  <c r="D12" i="5"/>
  <c r="D21" i="5"/>
  <c r="D17" i="5"/>
  <c r="G47" i="56"/>
  <c r="D15" i="5"/>
  <c r="D16" i="5"/>
  <c r="B52" i="74"/>
  <c r="I26" i="76" l="1"/>
  <c r="J78" i="56"/>
  <c r="D111" i="80"/>
  <c r="G111" i="80" s="1"/>
  <c r="F71" i="80" s="1"/>
  <c r="D99" i="80"/>
  <c r="E99" i="80" s="1"/>
  <c r="D123" i="80" s="1"/>
  <c r="E123" i="80" s="1"/>
  <c r="G123" i="80" s="1"/>
  <c r="G71" i="80" s="1"/>
  <c r="D100" i="80"/>
  <c r="E100" i="80" s="1"/>
  <c r="D124" i="80" s="1"/>
  <c r="E124" i="80" s="1"/>
  <c r="G124" i="80" s="1"/>
  <c r="G72" i="80" s="1"/>
  <c r="D95" i="80"/>
  <c r="E95" i="80" s="1"/>
  <c r="D119" i="80" s="1"/>
  <c r="E119" i="80" s="1"/>
  <c r="G119" i="80" s="1"/>
  <c r="G67" i="80" s="1"/>
  <c r="D107" i="80"/>
  <c r="G107" i="80" s="1"/>
  <c r="F67" i="80" s="1"/>
  <c r="D104" i="80"/>
  <c r="D105" i="80"/>
  <c r="G105" i="80" s="1"/>
  <c r="F65" i="80" s="1"/>
  <c r="D93" i="80"/>
  <c r="E93" i="80" s="1"/>
  <c r="D117" i="80" s="1"/>
  <c r="E117" i="80" s="1"/>
  <c r="G117" i="80" s="1"/>
  <c r="G65" i="80" s="1"/>
  <c r="D113" i="80"/>
  <c r="G113" i="80" s="1"/>
  <c r="F73" i="80" s="1"/>
  <c r="D106" i="80"/>
  <c r="G106" i="80" s="1"/>
  <c r="F66" i="80" s="1"/>
  <c r="D109" i="80"/>
  <c r="G109" i="80" s="1"/>
  <c r="F69" i="80" s="1"/>
  <c r="D94" i="80"/>
  <c r="E94" i="80" s="1"/>
  <c r="D118" i="80" s="1"/>
  <c r="E118" i="80" s="1"/>
  <c r="G118" i="80" s="1"/>
  <c r="G66" i="80" s="1"/>
  <c r="D101" i="80"/>
  <c r="E101" i="80" s="1"/>
  <c r="D125" i="80" s="1"/>
  <c r="E125" i="80" s="1"/>
  <c r="G125" i="80" s="1"/>
  <c r="G73" i="80" s="1"/>
  <c r="D92" i="80"/>
  <c r="E92" i="80" s="1"/>
  <c r="D116" i="80" s="1"/>
  <c r="E116" i="80" s="1"/>
  <c r="D112" i="80"/>
  <c r="G112" i="80" s="1"/>
  <c r="F72" i="80" s="1"/>
  <c r="D97" i="80"/>
  <c r="E97" i="80" s="1"/>
  <c r="D121" i="80" s="1"/>
  <c r="E121" i="80" s="1"/>
  <c r="G121" i="80" s="1"/>
  <c r="G69" i="80" s="1"/>
  <c r="D108" i="80"/>
  <c r="G108" i="80" s="1"/>
  <c r="F68" i="80" s="1"/>
  <c r="D96" i="80"/>
  <c r="E96" i="80" s="1"/>
  <c r="D120" i="80" s="1"/>
  <c r="E120" i="80" s="1"/>
  <c r="G120" i="80" s="1"/>
  <c r="G68" i="80" s="1"/>
  <c r="D98" i="80"/>
  <c r="E98" i="80" s="1"/>
  <c r="D122" i="80" s="1"/>
  <c r="E122" i="80" s="1"/>
  <c r="G122" i="80" s="1"/>
  <c r="G70" i="80" s="1"/>
  <c r="D110" i="80"/>
  <c r="G110" i="80" s="1"/>
  <c r="F70" i="80" s="1"/>
  <c r="D22" i="5" a="1"/>
  <c r="D22" i="5" s="1"/>
  <c r="G48" i="56"/>
  <c r="B53" i="74"/>
  <c r="E32" i="76" l="1"/>
  <c r="F66" i="56" s="1"/>
  <c r="I24" i="76"/>
  <c r="B54" i="74"/>
  <c r="F59" i="56" l="1"/>
  <c r="F60" i="56"/>
  <c r="F61" i="56"/>
  <c r="F63" i="56"/>
  <c r="F57" i="56"/>
  <c r="F62" i="56"/>
  <c r="F56" i="56"/>
  <c r="F64" i="56"/>
  <c r="F58" i="56"/>
  <c r="F65" i="56"/>
  <c r="B55" i="74"/>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D32" i="76" l="1"/>
  <c r="F24" i="76"/>
  <c r="F32" i="76" s="1"/>
  <c r="D79" i="80" l="1"/>
  <c r="D87" i="80"/>
  <c r="G87" i="80" s="1"/>
  <c r="D72" i="80" s="1"/>
  <c r="D86" i="80"/>
  <c r="G86" i="80" s="1"/>
  <c r="D71" i="80" s="1"/>
  <c r="D81" i="80"/>
  <c r="G81" i="80" s="1"/>
  <c r="D66" i="80" s="1"/>
  <c r="D80" i="80"/>
  <c r="G80" i="80" s="1"/>
  <c r="D65" i="80" s="1"/>
  <c r="D88" i="80"/>
  <c r="G88" i="80" s="1"/>
  <c r="D73" i="80" s="1"/>
  <c r="C13" i="69"/>
  <c r="D84" i="80"/>
  <c r="G84" i="80" s="1"/>
  <c r="D69" i="80" s="1"/>
  <c r="D82" i="80"/>
  <c r="G82" i="80" s="1"/>
  <c r="D67" i="80" s="1"/>
  <c r="D85" i="80"/>
  <c r="G85" i="80" s="1"/>
  <c r="D70" i="80" s="1"/>
  <c r="D83" i="80"/>
  <c r="G83" i="80" s="1"/>
  <c r="D68" i="80" s="1"/>
  <c r="E66" i="56"/>
  <c r="E60" i="56" l="1"/>
  <c r="G60" i="56" s="1"/>
  <c r="E59" i="56"/>
  <c r="G59" i="56" s="1"/>
  <c r="E62" i="56"/>
  <c r="G62" i="56" s="1"/>
  <c r="E58" i="56"/>
  <c r="G58" i="56" s="1"/>
  <c r="E61" i="56"/>
  <c r="G61" i="56" s="1"/>
  <c r="E65" i="56"/>
  <c r="G65" i="56" s="1"/>
  <c r="E63" i="56"/>
  <c r="G63" i="56" s="1"/>
  <c r="E56" i="56"/>
  <c r="G56" i="56" s="1"/>
  <c r="E64" i="56"/>
  <c r="G64" i="56" s="1"/>
  <c r="E57" i="56"/>
  <c r="G57" i="56" s="1"/>
  <c r="G66" i="56" l="1"/>
  <c r="I24" i="16" l="1"/>
  <c r="I23" i="16" s="1"/>
  <c r="H24" i="16" l="1"/>
  <c r="H23" i="16" s="1"/>
  <c r="E42" i="76"/>
  <c r="J24" i="16" l="1"/>
  <c r="J23" i="16"/>
  <c r="D42" i="76"/>
  <c r="F42" i="76" l="1"/>
  <c r="D119" i="6" l="1"/>
  <c r="K67" i="34" l="1"/>
  <c r="D115" i="6"/>
  <c r="M67" i="34" l="1"/>
  <c r="D117" i="6" l="1"/>
  <c r="D120" i="6" s="1"/>
  <c r="P67" i="34"/>
  <c r="E36" i="16" l="1"/>
  <c r="O84" i="34" l="1"/>
  <c r="J84" i="34" l="1"/>
  <c r="D111" i="6"/>
  <c r="H84" i="34" l="1"/>
  <c r="D107" i="6"/>
  <c r="I18" i="16"/>
  <c r="H18" i="16"/>
  <c r="E112" i="6" l="1"/>
  <c r="E124" i="6" s="1"/>
  <c r="E125" i="6" s="1"/>
  <c r="J18" i="16"/>
  <c r="J36" i="16" s="1"/>
  <c r="D37" i="76"/>
  <c r="H36" i="16"/>
  <c r="I36" i="16"/>
  <c r="E37" i="76"/>
  <c r="G15" i="59"/>
  <c r="F78" i="56" l="1"/>
  <c r="E43" i="76"/>
  <c r="F37" i="76"/>
  <c r="D43" i="76"/>
  <c r="E78" i="56"/>
  <c r="D106" i="6" l="1"/>
  <c r="G84" i="34"/>
  <c r="K66" i="34"/>
  <c r="N84" i="34"/>
  <c r="D109" i="6"/>
  <c r="I78" i="56"/>
  <c r="I37" i="76"/>
  <c r="I43" i="76" s="1"/>
  <c r="G43" i="76"/>
  <c r="C107" i="80"/>
  <c r="F107" i="80" s="1"/>
  <c r="E67" i="80" s="1"/>
  <c r="C113" i="80"/>
  <c r="F113" i="80" s="1"/>
  <c r="E73" i="80" s="1"/>
  <c r="C112" i="80"/>
  <c r="F112" i="80" s="1"/>
  <c r="E72" i="80" s="1"/>
  <c r="C109" i="80"/>
  <c r="F109" i="80" s="1"/>
  <c r="E69" i="80" s="1"/>
  <c r="C105" i="80"/>
  <c r="F105" i="80" s="1"/>
  <c r="E65" i="80" s="1"/>
  <c r="C104" i="80"/>
  <c r="C110" i="80"/>
  <c r="F110" i="80" s="1"/>
  <c r="E70" i="80" s="1"/>
  <c r="C111" i="80"/>
  <c r="F111" i="80" s="1"/>
  <c r="E71" i="80" s="1"/>
  <c r="C108" i="80"/>
  <c r="F108" i="80" s="1"/>
  <c r="E68" i="80" s="1"/>
  <c r="C106" i="80"/>
  <c r="F106" i="80" s="1"/>
  <c r="E66" i="80" s="1"/>
  <c r="F43" i="76"/>
  <c r="F90" i="56"/>
  <c r="E44" i="76"/>
  <c r="E45" i="76" s="1"/>
  <c r="D44" i="76"/>
  <c r="D45" i="76" s="1"/>
  <c r="E90" i="56"/>
  <c r="E72" i="56"/>
  <c r="E69" i="56"/>
  <c r="E77" i="56"/>
  <c r="E76" i="56"/>
  <c r="E70" i="56"/>
  <c r="E75" i="56"/>
  <c r="E73" i="56"/>
  <c r="E74" i="56"/>
  <c r="E71" i="56"/>
  <c r="E68" i="56"/>
  <c r="F70" i="56"/>
  <c r="F74" i="56"/>
  <c r="F73" i="56"/>
  <c r="F75" i="56"/>
  <c r="F76" i="56"/>
  <c r="F77" i="56"/>
  <c r="F72" i="56"/>
  <c r="F68" i="56"/>
  <c r="F69" i="56"/>
  <c r="F71" i="56"/>
  <c r="G77" i="56" l="1"/>
  <c r="G71" i="56"/>
  <c r="G72" i="56"/>
  <c r="C86" i="80"/>
  <c r="F86" i="80" s="1"/>
  <c r="C71" i="80" s="1"/>
  <c r="C88" i="80"/>
  <c r="F88" i="80" s="1"/>
  <c r="C73" i="80" s="1"/>
  <c r="C83" i="80"/>
  <c r="F83" i="80" s="1"/>
  <c r="C68" i="80" s="1"/>
  <c r="C82" i="80"/>
  <c r="F82" i="80" s="1"/>
  <c r="C67" i="80" s="1"/>
  <c r="C79" i="80"/>
  <c r="F44" i="76"/>
  <c r="C80" i="80"/>
  <c r="F80" i="80" s="1"/>
  <c r="C65" i="80" s="1"/>
  <c r="C81" i="80"/>
  <c r="F81" i="80" s="1"/>
  <c r="C66" i="80" s="1"/>
  <c r="C84" i="80"/>
  <c r="F84" i="80" s="1"/>
  <c r="C69" i="80" s="1"/>
  <c r="C14" i="69"/>
  <c r="C87" i="80"/>
  <c r="F87" i="80" s="1"/>
  <c r="C72" i="80" s="1"/>
  <c r="C85" i="80"/>
  <c r="F85" i="80" s="1"/>
  <c r="C70" i="80" s="1"/>
  <c r="F87" i="56"/>
  <c r="F80" i="56"/>
  <c r="F82" i="56"/>
  <c r="F86" i="56"/>
  <c r="F85" i="56"/>
  <c r="F81" i="56"/>
  <c r="F83" i="56"/>
  <c r="F89" i="56"/>
  <c r="F88" i="56"/>
  <c r="F84" i="56"/>
  <c r="F91" i="56"/>
  <c r="E41" i="80"/>
  <c r="E42" i="80"/>
  <c r="G68" i="56"/>
  <c r="E45" i="80"/>
  <c r="E46" i="80"/>
  <c r="I90" i="56"/>
  <c r="E51" i="80"/>
  <c r="E52" i="80"/>
  <c r="M66" i="34"/>
  <c r="K84" i="34"/>
  <c r="G74" i="56"/>
  <c r="E49" i="80"/>
  <c r="E50" i="80"/>
  <c r="E44" i="80"/>
  <c r="E43" i="80"/>
  <c r="G73" i="56"/>
  <c r="D112" i="6"/>
  <c r="G75" i="56"/>
  <c r="E40" i="80"/>
  <c r="E39" i="80"/>
  <c r="G70" i="56"/>
  <c r="E47" i="80"/>
  <c r="E48" i="80"/>
  <c r="E56" i="80"/>
  <c r="E55" i="80"/>
  <c r="G69" i="56"/>
  <c r="E91" i="56"/>
  <c r="E86" i="56"/>
  <c r="E82" i="56"/>
  <c r="E81" i="56"/>
  <c r="E83" i="56"/>
  <c r="E87" i="56"/>
  <c r="E88" i="56"/>
  <c r="E89" i="56"/>
  <c r="E84" i="56"/>
  <c r="E80" i="56"/>
  <c r="G80" i="56" s="1"/>
  <c r="E85" i="56"/>
  <c r="G76" i="56"/>
  <c r="E53" i="80"/>
  <c r="E54" i="80"/>
  <c r="G86" i="56" l="1"/>
  <c r="F18" i="5" s="1"/>
  <c r="G18" i="5" s="1"/>
  <c r="G82" i="56"/>
  <c r="F14" i="5" s="1"/>
  <c r="G14" i="5" s="1"/>
  <c r="G83" i="56"/>
  <c r="F15" i="5" s="1"/>
  <c r="G15" i="5" s="1"/>
  <c r="G81" i="56"/>
  <c r="F13" i="5" s="1"/>
  <c r="G13" i="5" s="1"/>
  <c r="G88" i="56"/>
  <c r="F20" i="5" s="1"/>
  <c r="G20" i="5" s="1"/>
  <c r="G89" i="56"/>
  <c r="F21" i="5" s="1"/>
  <c r="G21" i="5" s="1"/>
  <c r="G85" i="56"/>
  <c r="F17" i="5" s="1"/>
  <c r="G17" i="5" s="1"/>
  <c r="D53" i="80"/>
  <c r="G53" i="80" s="1"/>
  <c r="C19" i="84" s="1"/>
  <c r="D54" i="80"/>
  <c r="G54" i="80" s="1"/>
  <c r="D19" i="84" s="1"/>
  <c r="D48" i="80"/>
  <c r="G48" i="80" s="1"/>
  <c r="D16" i="84" s="1"/>
  <c r="D47" i="80"/>
  <c r="G47" i="80" s="1"/>
  <c r="C16" i="84" s="1"/>
  <c r="D42" i="80"/>
  <c r="G42" i="80" s="1"/>
  <c r="D13" i="84" s="1"/>
  <c r="D41" i="80"/>
  <c r="G41" i="80" s="1"/>
  <c r="C13" i="84" s="1"/>
  <c r="D39" i="80"/>
  <c r="G39" i="80" s="1"/>
  <c r="C12" i="84" s="1"/>
  <c r="D40" i="80"/>
  <c r="G40" i="80" s="1"/>
  <c r="D12" i="84" s="1"/>
  <c r="P66" i="34"/>
  <c r="P84" i="34" s="1"/>
  <c r="M84" i="34"/>
  <c r="F45" i="76"/>
  <c r="C15" i="69"/>
  <c r="G78" i="56"/>
  <c r="F12" i="5"/>
  <c r="D43" i="80"/>
  <c r="G43" i="80" s="1"/>
  <c r="C14" i="84" s="1"/>
  <c r="D44" i="80"/>
  <c r="G44" i="80" s="1"/>
  <c r="D14" i="84" s="1"/>
  <c r="D50" i="80"/>
  <c r="G50" i="80" s="1"/>
  <c r="D17" i="84" s="1"/>
  <c r="D49" i="80"/>
  <c r="G49" i="80" s="1"/>
  <c r="C17" i="84" s="1"/>
  <c r="D124" i="6"/>
  <c r="D125" i="6" s="1"/>
  <c r="D45" i="80"/>
  <c r="G45" i="80" s="1"/>
  <c r="C15" i="84" s="1"/>
  <c r="D46" i="80"/>
  <c r="G46" i="80" s="1"/>
  <c r="D15" i="84" s="1"/>
  <c r="G87" i="56"/>
  <c r="F19" i="5" s="1"/>
  <c r="G19" i="5" s="1"/>
  <c r="D55" i="80"/>
  <c r="G55" i="80" s="1"/>
  <c r="C20" i="84" s="1"/>
  <c r="D56" i="80"/>
  <c r="G56" i="80" s="1"/>
  <c r="D20" i="84" s="1"/>
  <c r="G84" i="56"/>
  <c r="F16" i="5" s="1"/>
  <c r="G16" i="5" s="1"/>
  <c r="D51" i="80"/>
  <c r="G51" i="80" s="1"/>
  <c r="C18" i="84" s="1"/>
  <c r="D52" i="80"/>
  <c r="G52" i="80" s="1"/>
  <c r="D18" i="84" s="1"/>
  <c r="C20" i="69" l="1"/>
  <c r="C16" i="69"/>
  <c r="C24" i="69" s="1"/>
  <c r="F22" i="5" a="1"/>
  <c r="F22" i="5" s="1"/>
  <c r="G12" i="5"/>
  <c r="G90" i="56"/>
  <c r="G91" i="56" s="1"/>
  <c r="C21" i="69" l="1"/>
  <c r="C27" i="69"/>
  <c r="G22" i="5"/>
  <c r="I17" i="76" l="1"/>
  <c r="H32" i="76" l="1"/>
  <c r="J66" i="56" l="1"/>
  <c r="J91" i="56" s="1"/>
  <c r="H44" i="76"/>
  <c r="H45" i="76" s="1"/>
  <c r="G32" i="76"/>
  <c r="I25" i="76"/>
  <c r="I32" i="76" s="1"/>
  <c r="I44" i="76" s="1"/>
  <c r="G44" i="76" l="1"/>
  <c r="I66" i="56"/>
  <c r="I91" i="56" s="1"/>
  <c r="I13" i="76"/>
  <c r="I18" i="76" s="1"/>
  <c r="G18" i="76"/>
  <c r="I22" i="76" l="1"/>
  <c r="I45" i="76" s="1"/>
  <c r="I23" i="56"/>
  <c r="I48" i="56" s="1"/>
  <c r="G22" i="76"/>
  <c r="G45" i="76" s="1"/>
  <c r="C42" i="74" l="1"/>
  <c r="C26" i="74" s="1"/>
  <c r="I43" i="74"/>
  <c r="H43" i="74"/>
  <c r="G43" i="74"/>
  <c r="I44" i="74"/>
  <c r="I45" i="74"/>
  <c r="E79" i="80" l="1"/>
  <c r="F116" i="80"/>
  <c r="H149" i="80"/>
  <c r="H137" i="80"/>
  <c r="E104" i="80"/>
  <c r="H44" i="74"/>
  <c r="G44" i="74"/>
  <c r="I46" i="74"/>
  <c r="I137" i="80" l="1"/>
  <c r="H64" i="80" s="1"/>
  <c r="J137" i="80"/>
  <c r="I64" i="80" s="1"/>
  <c r="G116" i="80"/>
  <c r="G64" i="80" s="1"/>
  <c r="G104" i="80"/>
  <c r="F64" i="80" s="1"/>
  <c r="F104" i="80"/>
  <c r="E64" i="80" s="1"/>
  <c r="J149" i="80"/>
  <c r="K64" i="80" s="1"/>
  <c r="I149" i="80"/>
  <c r="J64" i="80" s="1"/>
  <c r="G79" i="80"/>
  <c r="D64" i="80" s="1"/>
  <c r="F79" i="80"/>
  <c r="C64" i="80" s="1"/>
  <c r="G45" i="74"/>
  <c r="H45" i="74"/>
  <c r="I47" i="74"/>
  <c r="F38" i="80" l="1"/>
  <c r="D37" i="80"/>
  <c r="D38" i="80"/>
  <c r="E38" i="80"/>
  <c r="E37" i="80"/>
  <c r="F37" i="80"/>
  <c r="G46" i="74"/>
  <c r="H46" i="74"/>
  <c r="I48" i="74"/>
  <c r="G38" i="80" l="1"/>
  <c r="D11" i="84" s="1"/>
  <c r="G37" i="80"/>
  <c r="C11" i="84" s="1"/>
  <c r="H47" i="74"/>
  <c r="G47" i="74"/>
  <c r="I49" i="74"/>
  <c r="G48" i="74" l="1"/>
  <c r="H48" i="74"/>
  <c r="I50" i="74"/>
  <c r="H49" i="74" l="1"/>
  <c r="G49" i="74"/>
  <c r="I51" i="74"/>
  <c r="G50" i="74" l="1"/>
  <c r="H50" i="74"/>
  <c r="I52" i="74"/>
  <c r="H51" i="74" l="1"/>
  <c r="G51" i="74"/>
  <c r="I53" i="74"/>
  <c r="H52" i="74" l="1"/>
  <c r="G52" i="74"/>
  <c r="I54" i="74"/>
  <c r="G53" i="74" l="1"/>
  <c r="H53" i="74"/>
  <c r="I55" i="74"/>
  <c r="G54" i="74" l="1"/>
  <c r="H54" i="74"/>
  <c r="I56" i="74"/>
  <c r="H55" i="74" l="1"/>
  <c r="G55" i="74"/>
  <c r="I57" i="74"/>
  <c r="H56" i="74" l="1"/>
  <c r="G56" i="74"/>
  <c r="I58" i="74"/>
  <c r="G57" i="74" l="1"/>
  <c r="H57" i="74"/>
  <c r="I59" i="74"/>
  <c r="G58" i="74" l="1"/>
  <c r="H58" i="74"/>
  <c r="I60" i="74"/>
  <c r="G59" i="74" l="1"/>
  <c r="H59" i="74"/>
  <c r="I61" i="74"/>
  <c r="H60" i="74" l="1"/>
  <c r="G60" i="74"/>
  <c r="I62" i="74"/>
  <c r="H61" i="74" l="1"/>
  <c r="G61" i="74"/>
  <c r="I63" i="74"/>
  <c r="H62" i="74" l="1"/>
  <c r="G62" i="74"/>
  <c r="I64" i="74"/>
  <c r="H63" i="74" l="1"/>
  <c r="G63" i="74"/>
  <c r="I65" i="74"/>
  <c r="H64" i="74" l="1"/>
  <c r="G64" i="74"/>
  <c r="I66" i="74"/>
  <c r="G65" i="74" l="1"/>
  <c r="H65" i="74"/>
  <c r="I67" i="74"/>
  <c r="G66" i="74" l="1"/>
  <c r="H66" i="74"/>
  <c r="I68" i="74"/>
  <c r="H67" i="74" l="1"/>
  <c r="G67" i="74"/>
  <c r="I69" i="74"/>
  <c r="G68" i="74" l="1"/>
  <c r="H68" i="74"/>
  <c r="I70" i="74"/>
  <c r="H69" i="74" l="1"/>
  <c r="G69" i="74"/>
  <c r="I71" i="74"/>
  <c r="G70" i="74" l="1"/>
  <c r="H70" i="74"/>
  <c r="I72" i="74"/>
  <c r="G71" i="74" l="1"/>
  <c r="H71" i="74"/>
  <c r="I73" i="74"/>
  <c r="H72" i="74" l="1"/>
  <c r="G72" i="74"/>
  <c r="I74" i="74"/>
  <c r="H73" i="74" l="1"/>
  <c r="G73" i="74"/>
  <c r="I75" i="74"/>
  <c r="H74" i="74" l="1"/>
  <c r="G74" i="74"/>
  <c r="I76" i="74"/>
  <c r="H75" i="74" l="1"/>
  <c r="G75" i="74"/>
  <c r="I77" i="74"/>
  <c r="G76" i="74" l="1"/>
  <c r="H76" i="74"/>
  <c r="I78" i="74"/>
  <c r="H77" i="74" l="1"/>
  <c r="G77" i="74"/>
  <c r="I79" i="74"/>
  <c r="G78" i="74" l="1"/>
  <c r="H78" i="74"/>
  <c r="I80" i="74"/>
  <c r="H79" i="74" l="1"/>
  <c r="G79" i="74"/>
  <c r="I81" i="74"/>
  <c r="G80" i="74" l="1"/>
  <c r="H80" i="74"/>
  <c r="I82" i="74"/>
  <c r="G81" i="74" l="1"/>
  <c r="H81" i="74"/>
  <c r="I83" i="74"/>
  <c r="H82" i="74" l="1"/>
  <c r="G82" i="74"/>
  <c r="I84" i="74"/>
  <c r="G83" i="74" l="1"/>
  <c r="H83" i="74"/>
  <c r="I85" i="74"/>
  <c r="G84" i="74" l="1"/>
  <c r="H84" i="74"/>
  <c r="I86" i="74"/>
  <c r="H85" i="74" l="1"/>
  <c r="G85" i="74"/>
  <c r="I87" i="74"/>
  <c r="H86" i="74" l="1"/>
  <c r="G86" i="74"/>
  <c r="I88" i="74"/>
  <c r="H87" i="74" l="1"/>
  <c r="G87" i="74"/>
  <c r="I89" i="74"/>
  <c r="G88" i="74" l="1"/>
  <c r="H88" i="74"/>
  <c r="I90" i="74"/>
  <c r="G89" i="74" l="1"/>
  <c r="H89" i="74"/>
  <c r="I91" i="74"/>
  <c r="G90" i="74" l="1"/>
  <c r="H90" i="74"/>
  <c r="I92" i="74"/>
  <c r="G91" i="74" l="1"/>
  <c r="H91" i="74"/>
  <c r="I93" i="74"/>
  <c r="G92" i="74" l="1"/>
  <c r="H92" i="74"/>
  <c r="I94" i="74"/>
  <c r="G93" i="74" l="1"/>
  <c r="H93" i="74"/>
  <c r="I95" i="74"/>
  <c r="H94" i="74" l="1"/>
  <c r="G94" i="74"/>
  <c r="I96" i="74"/>
  <c r="G95" i="74" l="1"/>
  <c r="H95" i="74"/>
  <c r="I97" i="74"/>
  <c r="G96" i="74" l="1"/>
  <c r="H96" i="74"/>
  <c r="I98" i="74"/>
  <c r="H97" i="74" l="1"/>
  <c r="G97" i="74"/>
  <c r="I99" i="74"/>
  <c r="H98" i="74" l="1"/>
  <c r="G98" i="74"/>
  <c r="I100" i="74"/>
  <c r="H99" i="74" l="1"/>
  <c r="G99" i="74"/>
  <c r="I101" i="74"/>
  <c r="G100" i="74" l="1"/>
  <c r="H100" i="74"/>
  <c r="I102" i="74"/>
  <c r="G101" i="74" l="1"/>
  <c r="H101" i="74"/>
  <c r="I103" i="74"/>
  <c r="H102" i="74" l="1"/>
  <c r="G102" i="74"/>
  <c r="I104" i="74"/>
  <c r="H103" i="74" l="1"/>
  <c r="G103" i="74"/>
  <c r="I105" i="74"/>
  <c r="G104" i="74" l="1"/>
  <c r="H104" i="74"/>
  <c r="I106" i="74"/>
  <c r="G105" i="74" l="1"/>
  <c r="H105" i="74"/>
  <c r="I107" i="74"/>
  <c r="H106" i="74" l="1"/>
  <c r="G106" i="74"/>
  <c r="I108" i="74"/>
  <c r="H107" i="74" l="1"/>
  <c r="G107" i="74"/>
  <c r="I109" i="74"/>
  <c r="G108" i="74" l="1"/>
  <c r="H108" i="74"/>
  <c r="I110" i="74"/>
  <c r="H109" i="74" l="1"/>
  <c r="G109" i="74"/>
  <c r="I111" i="74"/>
  <c r="G110" i="74" l="1"/>
  <c r="H110" i="74"/>
  <c r="I112" i="74"/>
  <c r="G111" i="74" l="1"/>
  <c r="H111" i="74"/>
  <c r="I113" i="74"/>
  <c r="H112" i="74" l="1"/>
  <c r="G112" i="74"/>
  <c r="I114" i="74"/>
  <c r="G113" i="74" l="1"/>
  <c r="H113" i="74"/>
  <c r="I115" i="74"/>
  <c r="G114" i="74" l="1"/>
  <c r="H114" i="74"/>
  <c r="I116" i="74"/>
  <c r="H115" i="74" l="1"/>
  <c r="G115" i="74"/>
  <c r="I117" i="74"/>
  <c r="G116" i="74" l="1"/>
  <c r="H116" i="74"/>
  <c r="I118" i="74"/>
  <c r="H117" i="74" l="1"/>
  <c r="G117" i="74"/>
  <c r="I119" i="74"/>
  <c r="G118" i="74" l="1"/>
  <c r="H118" i="74"/>
  <c r="I120" i="74"/>
  <c r="H119" i="74" l="1"/>
  <c r="G119" i="74"/>
  <c r="I121" i="74"/>
  <c r="H120" i="74" l="1"/>
  <c r="G120" i="74"/>
  <c r="I122" i="74"/>
  <c r="H121" i="74" l="1"/>
  <c r="G121" i="74"/>
  <c r="I123" i="74"/>
  <c r="G122" i="74" l="1"/>
  <c r="H122" i="74"/>
  <c r="I124" i="74"/>
  <c r="H123" i="74" l="1"/>
  <c r="G123" i="74"/>
  <c r="I125" i="74"/>
  <c r="H124" i="74" l="1"/>
  <c r="G124" i="74"/>
  <c r="I126" i="74"/>
  <c r="G125" i="74" l="1"/>
  <c r="H125" i="74"/>
  <c r="I127" i="74"/>
  <c r="G126" i="74" l="1"/>
  <c r="H126" i="74"/>
  <c r="I128" i="74"/>
  <c r="G127" i="74" l="1"/>
  <c r="H127" i="74"/>
  <c r="I129" i="74"/>
  <c r="G128" i="74" l="1"/>
  <c r="H128" i="74"/>
  <c r="I130" i="74"/>
  <c r="G129" i="74" l="1"/>
  <c r="H129" i="74"/>
  <c r="I131" i="74"/>
  <c r="H130" i="74" l="1"/>
  <c r="G130" i="74"/>
  <c r="I132" i="74"/>
  <c r="G131" i="74" l="1"/>
  <c r="H131" i="74"/>
  <c r="I133" i="74"/>
  <c r="H132" i="74" l="1"/>
  <c r="G132" i="74"/>
  <c r="I134" i="74"/>
  <c r="G133" i="74" l="1"/>
  <c r="H133" i="74"/>
  <c r="I135" i="74"/>
  <c r="H134" i="74" l="1"/>
  <c r="G134" i="74"/>
  <c r="I136" i="74"/>
  <c r="H135" i="74" l="1"/>
  <c r="G135" i="74"/>
  <c r="I137" i="74"/>
  <c r="G136" i="74" l="1"/>
  <c r="H136" i="74"/>
  <c r="I138" i="74"/>
  <c r="G137" i="74" l="1"/>
  <c r="H137" i="74"/>
  <c r="I139" i="74"/>
  <c r="G138" i="74" l="1"/>
  <c r="H138" i="74"/>
  <c r="I140" i="74"/>
  <c r="G139" i="74" l="1"/>
  <c r="H139" i="74"/>
  <c r="I141" i="74"/>
  <c r="G140" i="74" l="1"/>
  <c r="H140" i="74"/>
  <c r="I142" i="74"/>
  <c r="G141" i="74" l="1"/>
  <c r="H141" i="74"/>
  <c r="I143" i="74"/>
  <c r="G142" i="74" l="1"/>
  <c r="H142" i="74"/>
  <c r="I144" i="74"/>
  <c r="H143" i="74" l="1"/>
  <c r="G143" i="74"/>
  <c r="I145" i="74"/>
  <c r="G144" i="74" l="1"/>
  <c r="H144" i="74"/>
  <c r="I146" i="74"/>
  <c r="H145" i="74" l="1"/>
  <c r="G145" i="74"/>
  <c r="I147" i="74"/>
  <c r="G146" i="74" l="1"/>
  <c r="H146" i="74"/>
  <c r="I148" i="74"/>
  <c r="H147" i="74" l="1"/>
  <c r="G147" i="74"/>
  <c r="I149" i="74"/>
  <c r="G148" i="74" l="1"/>
  <c r="H148" i="74"/>
  <c r="I150" i="74"/>
  <c r="H149" i="74" l="1"/>
  <c r="G149" i="74"/>
  <c r="I151" i="74"/>
  <c r="H150" i="74" l="1"/>
  <c r="G150" i="74"/>
  <c r="I152" i="74"/>
  <c r="H151" i="74" l="1"/>
  <c r="G151" i="74"/>
  <c r="I153" i="74"/>
  <c r="G152" i="74" l="1"/>
  <c r="H152" i="74"/>
  <c r="I154" i="74"/>
  <c r="G153" i="74" l="1"/>
  <c r="H153" i="74"/>
  <c r="I155" i="74"/>
  <c r="G154" i="74" l="1"/>
  <c r="H154" i="74"/>
  <c r="I156" i="74"/>
  <c r="H155" i="74" l="1"/>
  <c r="G155" i="74"/>
  <c r="I157" i="74"/>
  <c r="G156" i="74" l="1"/>
  <c r="H156" i="74"/>
  <c r="I158" i="74"/>
  <c r="G157" i="74" l="1"/>
  <c r="H157" i="74"/>
  <c r="I159" i="74"/>
  <c r="G158" i="74" l="1"/>
  <c r="H158" i="74"/>
  <c r="I160" i="74"/>
  <c r="G159" i="74" l="1"/>
  <c r="H159" i="74"/>
  <c r="I161" i="74"/>
  <c r="H160" i="74" l="1"/>
  <c r="G160" i="74"/>
  <c r="I162" i="74"/>
  <c r="G161" i="74" l="1"/>
  <c r="H161" i="74"/>
  <c r="I163" i="74"/>
  <c r="H162" i="74" l="1"/>
  <c r="G162" i="74"/>
  <c r="I164" i="74"/>
  <c r="G163" i="74" l="1"/>
  <c r="H163" i="74"/>
  <c r="I165" i="74"/>
  <c r="G164" i="74" l="1"/>
  <c r="H164" i="74"/>
  <c r="I166" i="74"/>
  <c r="G165" i="74" l="1"/>
  <c r="H165" i="74"/>
  <c r="I167" i="74"/>
  <c r="H166" i="74" l="1"/>
  <c r="G166" i="74"/>
  <c r="I168" i="74"/>
  <c r="G167" i="74" l="1"/>
  <c r="H167" i="74"/>
  <c r="I169" i="74"/>
  <c r="H168" i="74" l="1"/>
  <c r="G168" i="74"/>
  <c r="I170" i="74"/>
  <c r="H169" i="74" l="1"/>
  <c r="G169" i="74"/>
  <c r="I171" i="74"/>
  <c r="H170" i="74" l="1"/>
  <c r="G170" i="74"/>
  <c r="I172" i="74"/>
  <c r="H171" i="74" l="1"/>
  <c r="G171" i="74"/>
  <c r="I173" i="74"/>
  <c r="H172" i="74" l="1"/>
  <c r="G172" i="74"/>
  <c r="I174" i="74"/>
  <c r="H173" i="74" l="1"/>
  <c r="G173" i="74"/>
  <c r="I175" i="74"/>
  <c r="H174" i="74" l="1"/>
  <c r="G174" i="74"/>
  <c r="I176" i="74"/>
  <c r="G175" i="74" l="1"/>
  <c r="H175" i="74"/>
  <c r="I177" i="74"/>
  <c r="H176" i="74" l="1"/>
  <c r="G176" i="74"/>
  <c r="I178" i="74"/>
  <c r="H177" i="74" l="1"/>
  <c r="G177" i="74"/>
  <c r="I179" i="74"/>
  <c r="H178" i="74" l="1"/>
  <c r="G178" i="74"/>
  <c r="I180" i="74"/>
  <c r="H179" i="74" l="1"/>
  <c r="G179" i="74"/>
  <c r="I181" i="74"/>
  <c r="G180" i="74" l="1"/>
  <c r="H180" i="74"/>
  <c r="I182" i="74"/>
  <c r="G181" i="74" l="1"/>
  <c r="H181" i="74"/>
  <c r="I183" i="74"/>
  <c r="G182" i="74" l="1"/>
  <c r="H182" i="74"/>
  <c r="I184" i="74"/>
  <c r="G183" i="74" l="1"/>
  <c r="H183" i="74"/>
  <c r="I185" i="74"/>
  <c r="H184" i="74" l="1"/>
  <c r="G184" i="74"/>
  <c r="I186" i="74"/>
  <c r="G185" i="74" l="1"/>
  <c r="H185" i="74"/>
  <c r="I187" i="74"/>
  <c r="G186" i="74" l="1"/>
  <c r="H186" i="74"/>
  <c r="I188" i="74"/>
  <c r="G187" i="74" l="1"/>
  <c r="H187" i="74"/>
  <c r="I189" i="74"/>
  <c r="H188" i="74" l="1"/>
  <c r="G188" i="74"/>
  <c r="I190" i="74"/>
  <c r="H189" i="74" l="1"/>
  <c r="G189" i="74"/>
  <c r="I191" i="74"/>
  <c r="H190" i="74" l="1"/>
  <c r="G190" i="74"/>
  <c r="I192" i="74"/>
  <c r="G191" i="74" l="1"/>
  <c r="H191" i="74"/>
  <c r="I193" i="74"/>
  <c r="G192" i="74" l="1"/>
  <c r="H192" i="74"/>
  <c r="I194" i="74"/>
  <c r="G193" i="74" l="1"/>
  <c r="H193" i="74"/>
  <c r="I195" i="74"/>
  <c r="H194" i="74" l="1"/>
  <c r="G194" i="74"/>
  <c r="I196" i="74"/>
  <c r="G195" i="74" l="1"/>
  <c r="H195" i="74"/>
  <c r="I197" i="74"/>
  <c r="G196" i="74" l="1"/>
  <c r="H196" i="74"/>
  <c r="I198" i="74"/>
  <c r="H197" i="74" l="1"/>
  <c r="G197" i="74"/>
  <c r="I199" i="74"/>
  <c r="G198" i="74" l="1"/>
  <c r="H198" i="74"/>
  <c r="I200" i="74"/>
  <c r="H199" i="74" l="1"/>
  <c r="G199" i="74"/>
  <c r="I201" i="74"/>
  <c r="G200" i="74" l="1"/>
  <c r="H200" i="74"/>
  <c r="I202" i="74"/>
  <c r="G201" i="74" l="1"/>
  <c r="H201" i="74"/>
  <c r="I203" i="74"/>
  <c r="H202" i="74" l="1"/>
  <c r="G202" i="74"/>
  <c r="I204" i="74"/>
  <c r="G203" i="74" l="1"/>
  <c r="H203" i="74"/>
  <c r="I205" i="74"/>
  <c r="G204" i="74" l="1"/>
  <c r="H204" i="74"/>
  <c r="I206" i="74"/>
  <c r="G205" i="74" l="1"/>
  <c r="H205" i="74"/>
  <c r="I207" i="74"/>
  <c r="G206" i="74" l="1"/>
  <c r="H206" i="74"/>
  <c r="I208" i="74"/>
  <c r="G207" i="74" l="1"/>
  <c r="H207" i="74"/>
  <c r="I209" i="74"/>
  <c r="H208" i="74" l="1"/>
  <c r="G208" i="74"/>
  <c r="I210" i="74"/>
  <c r="G209" i="74" l="1"/>
  <c r="H209" i="74"/>
  <c r="I211" i="74"/>
  <c r="G210" i="74" l="1"/>
  <c r="H210" i="74"/>
  <c r="I212" i="74"/>
  <c r="G211" i="74" l="1"/>
  <c r="H211" i="74"/>
  <c r="I213" i="74"/>
  <c r="H212" i="74" l="1"/>
  <c r="G212" i="74"/>
  <c r="I214" i="74"/>
  <c r="H213" i="74" l="1"/>
  <c r="G213" i="74"/>
  <c r="I215" i="74"/>
  <c r="G214" i="74" l="1"/>
  <c r="H214" i="74"/>
  <c r="I216" i="74"/>
  <c r="H215" i="74" l="1"/>
  <c r="G215" i="74"/>
  <c r="I217" i="74"/>
  <c r="H216" i="74" l="1"/>
  <c r="G216" i="74"/>
  <c r="I218" i="74"/>
  <c r="G217" i="74" l="1"/>
  <c r="H217" i="74"/>
  <c r="I219" i="74"/>
  <c r="G218" i="74" l="1"/>
  <c r="H218" i="74"/>
  <c r="I220" i="74"/>
  <c r="G219" i="74" l="1"/>
  <c r="H219" i="74"/>
  <c r="I221" i="74"/>
  <c r="H220" i="74" l="1"/>
  <c r="G220" i="74"/>
  <c r="I222" i="74"/>
  <c r="H221" i="74" l="1"/>
  <c r="G221" i="74"/>
  <c r="I223" i="74"/>
  <c r="G222" i="74" l="1"/>
  <c r="H222" i="74"/>
  <c r="I224" i="74"/>
  <c r="H223" i="74" l="1"/>
  <c r="G223" i="74"/>
  <c r="I225" i="74"/>
  <c r="G224" i="74" l="1"/>
  <c r="H224" i="74"/>
  <c r="I226" i="74"/>
  <c r="G225" i="74" l="1"/>
  <c r="H225" i="74"/>
  <c r="I227" i="74"/>
  <c r="G226" i="74" l="1"/>
  <c r="H226" i="74"/>
  <c r="I228" i="74"/>
  <c r="G227" i="74" l="1"/>
  <c r="H227" i="74"/>
  <c r="I229" i="74"/>
  <c r="G228" i="74" l="1"/>
  <c r="H228" i="74"/>
  <c r="I230" i="74"/>
  <c r="G229" i="74" l="1"/>
  <c r="H229" i="74"/>
  <c r="I231" i="74"/>
  <c r="G230" i="74" l="1"/>
  <c r="H230" i="74"/>
  <c r="I232" i="74"/>
  <c r="G231" i="74" l="1"/>
  <c r="H231" i="74"/>
  <c r="I233" i="74"/>
  <c r="H232" i="74" l="1"/>
  <c r="G232" i="74"/>
  <c r="I234" i="74"/>
  <c r="G233" i="74" l="1"/>
  <c r="H233" i="74"/>
  <c r="I235" i="74"/>
  <c r="H234" i="74" l="1"/>
  <c r="G234" i="74"/>
  <c r="I236" i="74"/>
  <c r="G235" i="74" l="1"/>
  <c r="H235" i="74"/>
  <c r="I237" i="74"/>
  <c r="G236" i="74" l="1"/>
  <c r="H236" i="74"/>
  <c r="I238" i="74"/>
  <c r="G237" i="74" l="1"/>
  <c r="H237" i="74"/>
  <c r="I239" i="74"/>
  <c r="G238" i="74" l="1"/>
  <c r="H238" i="74"/>
  <c r="I240" i="74"/>
  <c r="G239" i="74" l="1"/>
  <c r="H239" i="74"/>
  <c r="I241" i="74"/>
  <c r="G240" i="74" l="1"/>
  <c r="H240" i="74"/>
  <c r="I242" i="74"/>
  <c r="G241" i="74" l="1"/>
  <c r="H241" i="74"/>
  <c r="I243" i="74"/>
  <c r="G242" i="74" l="1"/>
  <c r="H242" i="74"/>
  <c r="I244" i="74"/>
  <c r="H243" i="74" l="1"/>
  <c r="G243" i="74"/>
  <c r="I245" i="74"/>
  <c r="H244" i="74" l="1"/>
  <c r="G244" i="74"/>
  <c r="I246" i="74"/>
  <c r="G245" i="74" l="1"/>
  <c r="H245" i="74"/>
  <c r="I247" i="74"/>
  <c r="H246" i="74" l="1"/>
  <c r="G246" i="74"/>
  <c r="I248" i="74"/>
  <c r="G247" i="74" l="1"/>
  <c r="H247" i="74"/>
  <c r="I249" i="74"/>
  <c r="G248" i="74" l="1"/>
  <c r="H248" i="74"/>
  <c r="I250" i="74"/>
  <c r="G249" i="74" l="1"/>
  <c r="H249" i="74"/>
  <c r="I251" i="74"/>
  <c r="H250" i="74" l="1"/>
  <c r="G250" i="74"/>
  <c r="I252" i="74"/>
  <c r="H251" i="74" l="1"/>
  <c r="G251" i="74"/>
  <c r="I253" i="74"/>
  <c r="H252" i="74" l="1"/>
  <c r="G252" i="74"/>
  <c r="I254" i="74"/>
  <c r="H253" i="74" l="1"/>
  <c r="G253" i="74"/>
  <c r="I255" i="74"/>
  <c r="G254" i="74" l="1"/>
  <c r="H254" i="74"/>
  <c r="I256" i="74"/>
  <c r="H255" i="74" l="1"/>
  <c r="G255" i="74"/>
  <c r="I257" i="74"/>
  <c r="G256" i="74" l="1"/>
  <c r="H256" i="74"/>
  <c r="I258" i="74"/>
  <c r="G257" i="74" l="1"/>
  <c r="H257" i="74"/>
  <c r="I259" i="74"/>
  <c r="G258" i="74" l="1"/>
  <c r="H258" i="74"/>
  <c r="I260" i="74"/>
  <c r="H259" i="74" l="1"/>
  <c r="G259" i="74"/>
  <c r="I261" i="74"/>
  <c r="G260" i="74" l="1"/>
  <c r="H260" i="74"/>
  <c r="I262" i="74"/>
  <c r="H261" i="74" l="1"/>
  <c r="G261" i="74"/>
  <c r="I263" i="74"/>
  <c r="G262" i="74" l="1"/>
  <c r="H262" i="74"/>
  <c r="I264" i="74"/>
  <c r="H263" i="74" l="1"/>
  <c r="G263" i="74"/>
  <c r="I265" i="74"/>
  <c r="H264" i="74" l="1"/>
  <c r="G264" i="74"/>
  <c r="I266" i="74"/>
  <c r="H265" i="74" l="1"/>
  <c r="G265" i="74"/>
  <c r="I267" i="74"/>
  <c r="H266" i="74" l="1"/>
  <c r="G266" i="74"/>
  <c r="I268" i="74"/>
  <c r="G267" i="74" l="1"/>
  <c r="H267" i="74"/>
  <c r="I269" i="74"/>
  <c r="G268" i="74" l="1"/>
  <c r="H268" i="74"/>
  <c r="I270" i="74"/>
  <c r="G269" i="74" l="1"/>
  <c r="H269" i="74"/>
  <c r="I271" i="74"/>
  <c r="G270" i="74" l="1"/>
  <c r="H270" i="74"/>
  <c r="I272" i="74"/>
  <c r="G271" i="74" l="1"/>
  <c r="H271" i="74"/>
  <c r="I273" i="74"/>
  <c r="H272" i="74" l="1"/>
  <c r="G272" i="74"/>
  <c r="I274" i="74"/>
  <c r="H273" i="74" l="1"/>
  <c r="G273" i="74"/>
  <c r="I275" i="74"/>
  <c r="H274" i="74" l="1"/>
  <c r="G274" i="74"/>
  <c r="I276" i="74"/>
  <c r="G275" i="74" l="1"/>
  <c r="H275" i="74"/>
  <c r="I277" i="74"/>
  <c r="G276" i="74" l="1"/>
  <c r="H276" i="74"/>
  <c r="I278" i="74"/>
  <c r="H277" i="74" l="1"/>
  <c r="G277" i="74"/>
  <c r="I279" i="74"/>
  <c r="G278" i="74" l="1"/>
  <c r="H278" i="74"/>
  <c r="I280" i="74"/>
  <c r="H279" i="74" l="1"/>
  <c r="G279" i="74"/>
  <c r="I281" i="74"/>
  <c r="G280" i="74" l="1"/>
  <c r="H280" i="74"/>
  <c r="I282" i="74"/>
  <c r="H281" i="74" l="1"/>
  <c r="G281" i="74"/>
  <c r="I283" i="74"/>
  <c r="G282" i="74" l="1"/>
  <c r="H282" i="74"/>
  <c r="I284" i="74"/>
  <c r="G283" i="74" l="1"/>
  <c r="H283" i="74"/>
  <c r="I285" i="74"/>
  <c r="G284" i="74" l="1"/>
  <c r="H284" i="74"/>
  <c r="I286" i="74"/>
  <c r="G285" i="74" l="1"/>
  <c r="H285" i="74"/>
  <c r="I287" i="74"/>
  <c r="G286" i="74" l="1"/>
  <c r="H286" i="74"/>
  <c r="I288" i="74"/>
  <c r="G287" i="74" l="1"/>
  <c r="H287" i="74"/>
  <c r="I289" i="74"/>
  <c r="H288" i="74" l="1"/>
  <c r="G288" i="74"/>
  <c r="I290" i="74"/>
  <c r="H289" i="74" l="1"/>
  <c r="G289" i="74"/>
  <c r="I291" i="74"/>
  <c r="G290" i="74" l="1"/>
  <c r="H290" i="74"/>
  <c r="I292" i="74"/>
  <c r="H291" i="74" l="1"/>
  <c r="G291" i="74"/>
  <c r="I293" i="74"/>
  <c r="G292" i="74" l="1"/>
  <c r="H292" i="74"/>
  <c r="I294" i="74"/>
  <c r="H293" i="74" l="1"/>
  <c r="G293" i="74"/>
  <c r="I295" i="74"/>
  <c r="H294" i="74" l="1"/>
  <c r="G294" i="74"/>
  <c r="I296" i="74"/>
  <c r="G295" i="74" l="1"/>
  <c r="H295" i="74"/>
  <c r="I297" i="74"/>
  <c r="G296" i="74" l="1"/>
  <c r="H296" i="74"/>
  <c r="I298" i="74"/>
  <c r="G297" i="74" l="1"/>
  <c r="H297" i="74"/>
  <c r="I299" i="74"/>
  <c r="H298" i="74" l="1"/>
  <c r="G298" i="74"/>
  <c r="I300" i="74"/>
  <c r="H299" i="74" l="1"/>
  <c r="G299" i="74"/>
  <c r="I301" i="74"/>
  <c r="H300" i="74" l="1"/>
  <c r="G300" i="74"/>
  <c r="I302" i="74"/>
  <c r="G301" i="74" l="1"/>
  <c r="H301" i="74"/>
  <c r="I303" i="74"/>
  <c r="H302" i="74" l="1"/>
  <c r="G302" i="74"/>
  <c r="I304" i="74"/>
  <c r="G303" i="74" l="1"/>
  <c r="H303" i="74"/>
  <c r="I305" i="74"/>
  <c r="G304" i="74" l="1"/>
  <c r="H304" i="74"/>
  <c r="I306" i="74"/>
  <c r="G305" i="74" l="1"/>
  <c r="H305" i="74"/>
  <c r="I307" i="74"/>
  <c r="G306" i="74" l="1"/>
  <c r="H306" i="74"/>
  <c r="I308" i="74"/>
  <c r="H307" i="74" l="1"/>
  <c r="G307" i="74"/>
  <c r="I309" i="74"/>
  <c r="G308" i="74" l="1"/>
  <c r="H308" i="74"/>
  <c r="I310" i="74"/>
  <c r="H309" i="74" l="1"/>
  <c r="G309" i="74"/>
  <c r="I311" i="74"/>
  <c r="G310" i="74" l="1"/>
  <c r="H310" i="74"/>
  <c r="I312" i="74"/>
  <c r="G311" i="74" l="1"/>
  <c r="H311" i="74"/>
  <c r="I313" i="74"/>
  <c r="G312" i="74" l="1"/>
  <c r="H312" i="74"/>
  <c r="I314" i="74"/>
  <c r="G313" i="74" l="1"/>
  <c r="H313" i="74"/>
  <c r="I315" i="74"/>
  <c r="G314" i="74" l="1"/>
  <c r="H314" i="74"/>
  <c r="I316" i="74"/>
  <c r="H315" i="74" l="1"/>
  <c r="G315" i="74"/>
  <c r="I317" i="74"/>
  <c r="H316" i="74" l="1"/>
  <c r="G316" i="74"/>
  <c r="I318" i="74"/>
  <c r="H317" i="74" l="1"/>
  <c r="G317" i="74"/>
  <c r="I319" i="74"/>
  <c r="H318" i="74" l="1"/>
  <c r="G318" i="74"/>
  <c r="I320" i="74"/>
  <c r="G319" i="74" l="1"/>
  <c r="H319" i="74"/>
  <c r="I321" i="74"/>
  <c r="H320" i="74" l="1"/>
  <c r="G320" i="74"/>
  <c r="I322" i="74"/>
  <c r="H321" i="74" l="1"/>
  <c r="G321" i="74"/>
  <c r="I323" i="74"/>
  <c r="H322" i="74" l="1"/>
  <c r="G322" i="74"/>
  <c r="I324" i="74"/>
  <c r="G323" i="74" l="1"/>
  <c r="H323" i="74"/>
  <c r="I325" i="74"/>
  <c r="G324" i="74" l="1"/>
  <c r="H324" i="74"/>
  <c r="I326" i="74"/>
  <c r="G325" i="74" l="1"/>
  <c r="H325" i="74"/>
  <c r="I327" i="74"/>
  <c r="H326" i="74" l="1"/>
  <c r="G326" i="74"/>
  <c r="I328" i="74"/>
  <c r="H327" i="74" l="1"/>
  <c r="G327" i="74"/>
  <c r="I329" i="74"/>
  <c r="H328" i="74" l="1"/>
  <c r="G328" i="74"/>
  <c r="I330" i="74"/>
  <c r="G329" i="74" l="1"/>
  <c r="H329" i="74"/>
  <c r="I331" i="74"/>
  <c r="G330" i="74" l="1"/>
  <c r="H330" i="74"/>
  <c r="I332" i="74"/>
  <c r="G331" i="74" l="1"/>
  <c r="H331" i="74"/>
  <c r="I333" i="74"/>
  <c r="G332" i="74" l="1"/>
  <c r="H332" i="74"/>
  <c r="I334" i="74"/>
  <c r="H333" i="74" l="1"/>
  <c r="G333" i="74"/>
  <c r="I335" i="74"/>
  <c r="H334" i="74" l="1"/>
  <c r="G334" i="74"/>
  <c r="I336" i="74"/>
  <c r="G335" i="74" l="1"/>
  <c r="H335" i="74"/>
  <c r="I337" i="74"/>
  <c r="G336" i="74" l="1"/>
  <c r="H336" i="74"/>
  <c r="I338" i="74"/>
  <c r="G337" i="74" l="1"/>
  <c r="H337" i="74"/>
  <c r="I339" i="74"/>
  <c r="H338" i="74" l="1"/>
  <c r="G338" i="74"/>
  <c r="I340" i="74"/>
  <c r="G339" i="74" l="1"/>
  <c r="H339" i="74"/>
  <c r="I341" i="74"/>
  <c r="H340" i="74" l="1"/>
  <c r="G340" i="74"/>
  <c r="I342" i="74"/>
  <c r="G341" i="74" l="1"/>
  <c r="H341" i="74"/>
  <c r="I343" i="74"/>
  <c r="H342" i="74" l="1"/>
  <c r="G342" i="74"/>
  <c r="I344" i="74"/>
  <c r="G343" i="74" l="1"/>
  <c r="H343" i="74"/>
  <c r="I345" i="74"/>
  <c r="H344" i="74" l="1"/>
  <c r="G344" i="74"/>
  <c r="I346" i="74"/>
  <c r="H345" i="74" l="1"/>
  <c r="G345" i="74"/>
  <c r="I347" i="74"/>
  <c r="H346" i="74" l="1"/>
  <c r="G346" i="74"/>
  <c r="I348" i="74"/>
  <c r="H347" i="74" l="1"/>
  <c r="G347" i="74"/>
  <c r="I349" i="74"/>
  <c r="G348" i="74" l="1"/>
  <c r="H348" i="74"/>
  <c r="I350" i="74"/>
  <c r="G349" i="74" l="1"/>
  <c r="H349" i="74"/>
  <c r="I351" i="74"/>
  <c r="H350" i="74" l="1"/>
  <c r="G350" i="74"/>
  <c r="I352" i="74"/>
  <c r="H351" i="74" l="1"/>
  <c r="G351" i="74"/>
  <c r="I353" i="74"/>
  <c r="G352" i="74" l="1"/>
  <c r="H352" i="74"/>
  <c r="I354" i="74"/>
  <c r="H353" i="74" l="1"/>
  <c r="G353" i="74"/>
  <c r="I355" i="74"/>
  <c r="H354" i="74" l="1"/>
  <c r="G354" i="74"/>
  <c r="I356" i="74"/>
  <c r="G355" i="74" l="1"/>
  <c r="H355" i="74"/>
  <c r="I357" i="74"/>
  <c r="H356" i="74" l="1"/>
  <c r="G356" i="74"/>
  <c r="I358" i="74"/>
  <c r="G357" i="74" l="1"/>
  <c r="H357" i="74"/>
  <c r="I359" i="74"/>
  <c r="H358" i="74" l="1"/>
  <c r="G358" i="74"/>
  <c r="I360" i="74"/>
  <c r="H359" i="74" l="1"/>
  <c r="G359" i="74"/>
  <c r="I361" i="74"/>
  <c r="G360" i="74" l="1"/>
  <c r="H360" i="74"/>
  <c r="I362" i="74"/>
  <c r="G361" i="74" l="1"/>
  <c r="H361" i="74"/>
  <c r="I363" i="74"/>
  <c r="G362" i="74" l="1"/>
  <c r="H362" i="74"/>
  <c r="I364" i="74"/>
  <c r="G363" i="74" l="1"/>
  <c r="H363" i="74"/>
  <c r="I365" i="74"/>
  <c r="G364" i="74" l="1"/>
  <c r="H364" i="74"/>
  <c r="I366" i="74"/>
  <c r="G365" i="74" l="1"/>
  <c r="H365" i="74"/>
  <c r="I367" i="74"/>
  <c r="G366" i="74" l="1"/>
  <c r="H366" i="74"/>
  <c r="I368" i="74"/>
  <c r="H367" i="74" l="1"/>
  <c r="G367" i="74"/>
  <c r="I369" i="74"/>
  <c r="H368" i="74" l="1"/>
  <c r="G368" i="74"/>
  <c r="I370" i="74"/>
  <c r="H369" i="74" l="1"/>
  <c r="G369" i="74"/>
  <c r="I371" i="74"/>
  <c r="G370" i="74" l="1"/>
  <c r="H370" i="74"/>
  <c r="I372" i="74"/>
  <c r="G371" i="74" l="1"/>
  <c r="H371" i="74"/>
  <c r="I373" i="74"/>
  <c r="G372" i="74" l="1"/>
  <c r="H372" i="74"/>
  <c r="I374" i="74"/>
  <c r="H373" i="74" l="1"/>
  <c r="G373" i="74"/>
  <c r="I375" i="74"/>
  <c r="G374" i="74" l="1"/>
  <c r="H374" i="74"/>
  <c r="I376" i="74"/>
  <c r="H375" i="74" l="1"/>
  <c r="G375" i="74"/>
  <c r="I377" i="74"/>
  <c r="H376" i="74" l="1"/>
  <c r="G376" i="74"/>
  <c r="I378" i="74"/>
  <c r="G377" i="74" l="1"/>
  <c r="H377" i="74"/>
  <c r="I379" i="74"/>
  <c r="H378" i="74" l="1"/>
  <c r="G378" i="74"/>
  <c r="I380" i="74"/>
  <c r="H379" i="74" l="1"/>
  <c r="G379" i="74"/>
  <c r="I381" i="74"/>
  <c r="G380" i="74" l="1"/>
  <c r="H380" i="74"/>
  <c r="I382" i="74"/>
  <c r="G381" i="74" l="1"/>
  <c r="H381" i="74"/>
  <c r="I383" i="74"/>
  <c r="G382" i="74" l="1"/>
  <c r="H382" i="74"/>
  <c r="I384" i="74"/>
  <c r="H383" i="74" l="1"/>
  <c r="G383" i="74"/>
  <c r="I385" i="74"/>
  <c r="H384" i="74" l="1"/>
  <c r="G384" i="74"/>
  <c r="I386" i="74"/>
  <c r="H385" i="74" l="1"/>
  <c r="G385" i="74"/>
  <c r="I387" i="74"/>
  <c r="H386" i="74" l="1"/>
  <c r="G386" i="74"/>
  <c r="I388" i="74"/>
  <c r="G387" i="74" l="1"/>
  <c r="H387" i="74"/>
  <c r="I389" i="74"/>
  <c r="G388" i="74" l="1"/>
  <c r="H388" i="74"/>
  <c r="I390" i="74"/>
  <c r="H389" i="74" l="1"/>
  <c r="G389" i="74"/>
  <c r="I391" i="74"/>
  <c r="H390" i="74" l="1"/>
  <c r="G390" i="74"/>
  <c r="I392" i="74"/>
  <c r="G391" i="74" l="1"/>
  <c r="H391" i="74"/>
  <c r="I393" i="74"/>
  <c r="G392" i="74" l="1"/>
  <c r="H392" i="74"/>
  <c r="I394" i="74"/>
  <c r="H393" i="74" l="1"/>
  <c r="G393" i="74"/>
  <c r="I395" i="74"/>
  <c r="H394" i="74" l="1"/>
  <c r="G394" i="74"/>
  <c r="I396" i="74"/>
  <c r="H395" i="74" l="1"/>
  <c r="G395" i="74"/>
  <c r="I397" i="74"/>
  <c r="H396" i="74" l="1"/>
  <c r="G396" i="74"/>
  <c r="I398" i="74"/>
  <c r="H397" i="74" l="1"/>
  <c r="G397" i="74"/>
  <c r="I399" i="74"/>
  <c r="H398" i="74" l="1"/>
  <c r="G398" i="74"/>
  <c r="I400" i="74"/>
  <c r="H399" i="74" l="1"/>
  <c r="G399" i="74"/>
  <c r="I401" i="74"/>
  <c r="H400" i="74" l="1"/>
  <c r="G400" i="74"/>
  <c r="I402" i="74"/>
  <c r="G401" i="74" l="1"/>
  <c r="H401" i="74"/>
  <c r="I403" i="74"/>
  <c r="G402" i="74" l="1"/>
  <c r="H402" i="74"/>
  <c r="I404" i="74"/>
  <c r="H403" i="74" l="1"/>
  <c r="G403" i="74"/>
  <c r="I405" i="74"/>
  <c r="G404" i="74" l="1"/>
  <c r="H404" i="74"/>
  <c r="I406" i="74"/>
  <c r="H405" i="74" l="1"/>
  <c r="G405" i="74"/>
  <c r="G406" i="74" l="1"/>
  <c r="H406" i="74"/>
  <c r="I407" i="74"/>
  <c r="I42" i="74" s="1"/>
  <c r="E42" i="74"/>
  <c r="G407" i="74" l="1"/>
  <c r="G42" i="74" s="1"/>
  <c r="H407" i="74"/>
  <c r="H42" i="74" s="1"/>
  <c r="J80" i="56" l="1"/>
  <c r="I68" i="56" l="1"/>
  <c r="I80" i="56"/>
  <c r="K80" i="56" s="1"/>
  <c r="I69" i="56"/>
  <c r="J69" i="56"/>
  <c r="J56" i="56"/>
  <c r="I56" i="56"/>
  <c r="I13" i="56"/>
  <c r="J13" i="56"/>
  <c r="J57" i="56"/>
  <c r="I57" i="56"/>
  <c r="I81" i="56"/>
  <c r="J81" i="56"/>
  <c r="I14" i="56"/>
  <c r="J14" i="56"/>
  <c r="J68" i="56" l="1"/>
  <c r="K68" i="56" s="1"/>
  <c r="K57" i="56"/>
  <c r="K56" i="56"/>
  <c r="I86" i="56"/>
  <c r="J86" i="56"/>
  <c r="I74" i="56"/>
  <c r="J74" i="56"/>
  <c r="I85" i="56"/>
  <c r="J85" i="56"/>
  <c r="K81" i="56"/>
  <c r="I60" i="56"/>
  <c r="J60" i="56"/>
  <c r="J22" i="56"/>
  <c r="I22" i="56"/>
  <c r="I21" i="56"/>
  <c r="J21" i="56"/>
  <c r="J89" i="56"/>
  <c r="I89" i="56"/>
  <c r="J62" i="56"/>
  <c r="I62" i="56"/>
  <c r="K62" i="56" s="1"/>
  <c r="J64" i="56"/>
  <c r="I64" i="56"/>
  <c r="K64" i="56" s="1"/>
  <c r="J19" i="56"/>
  <c r="I19" i="56"/>
  <c r="K19" i="56" s="1"/>
  <c r="J76" i="56"/>
  <c r="I76" i="56"/>
  <c r="K76" i="56" s="1"/>
  <c r="J16" i="56"/>
  <c r="I16" i="56"/>
  <c r="K16" i="56" s="1"/>
  <c r="I88" i="56"/>
  <c r="J88" i="56"/>
  <c r="I20" i="56"/>
  <c r="J20" i="56"/>
  <c r="J59" i="56"/>
  <c r="I59" i="56"/>
  <c r="I83" i="56"/>
  <c r="J83" i="56"/>
  <c r="K13" i="56"/>
  <c r="I70" i="56"/>
  <c r="J70" i="56"/>
  <c r="I18" i="56"/>
  <c r="J18" i="56"/>
  <c r="K69" i="56"/>
  <c r="J61" i="56"/>
  <c r="I61" i="56"/>
  <c r="K61" i="56" s="1"/>
  <c r="I82" i="56"/>
  <c r="J82" i="56"/>
  <c r="I84" i="56"/>
  <c r="J84" i="56"/>
  <c r="I72" i="56"/>
  <c r="J72" i="56"/>
  <c r="J77" i="56"/>
  <c r="I77" i="56"/>
  <c r="K77" i="56" s="1"/>
  <c r="I65" i="56"/>
  <c r="J65" i="56"/>
  <c r="I63" i="56"/>
  <c r="J63" i="56"/>
  <c r="H90" i="56"/>
  <c r="I87" i="56"/>
  <c r="J87" i="56"/>
  <c r="H23" i="56"/>
  <c r="J75" i="56"/>
  <c r="I75" i="56"/>
  <c r="K75" i="56" s="1"/>
  <c r="J71" i="56"/>
  <c r="I71" i="56"/>
  <c r="K71" i="56" s="1"/>
  <c r="J73" i="56"/>
  <c r="I73" i="56"/>
  <c r="I58" i="56"/>
  <c r="J58" i="56"/>
  <c r="H66" i="56"/>
  <c r="I15" i="56"/>
  <c r="J15" i="56"/>
  <c r="K14" i="56"/>
  <c r="H78" i="56"/>
  <c r="I17" i="56"/>
  <c r="J17" i="56"/>
  <c r="K73" i="56" l="1"/>
  <c r="K59" i="56"/>
  <c r="K89" i="56"/>
  <c r="K21" i="56"/>
  <c r="K22" i="56"/>
  <c r="K60" i="56"/>
  <c r="K72" i="56"/>
  <c r="K84" i="56"/>
  <c r="K82" i="56"/>
  <c r="K87" i="56"/>
  <c r="K70" i="56"/>
  <c r="K74" i="56"/>
  <c r="K65" i="56"/>
  <c r="K20" i="56"/>
  <c r="K17" i="56"/>
  <c r="K88" i="56"/>
  <c r="K15" i="56"/>
  <c r="K18" i="56"/>
  <c r="K85" i="56"/>
  <c r="K63" i="56"/>
  <c r="K58" i="56"/>
  <c r="K83" i="56"/>
  <c r="K86" i="56"/>
  <c r="K23" i="56" l="1"/>
  <c r="K48" i="56" s="1"/>
  <c r="K78" i="56"/>
  <c r="K90" i="56"/>
  <c r="K66" i="56"/>
  <c r="K91" i="56" l="1"/>
  <c r="G16" i="59" l="1"/>
  <c r="G47" i="59" s="1"/>
  <c r="E73" i="6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<sst xmlns="http://schemas.openxmlformats.org/spreadsheetml/2006/main" count="1493" uniqueCount="545">
  <si>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</si>
  <si>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</si>
  <si>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</si>
  <si>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</si>
  <si>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</si>
  <si>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</si>
  <si>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</si>
  <si>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</si>
  <si>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</si>
  <si>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</si>
  <si>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</si>
  <si>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</si>
  <si>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</si>
  <si>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</si>
  <si>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</si>
  <si>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</si>
  <si>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</si>
  <si>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</si>
  <si>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</si>
  <si>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</si>
  <si>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</si>
  <si>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</si>
  <si>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</si>
  <si>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</si>
  <si>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</si>
  <si>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</si>
  <si>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</si>
  <si>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</si>
  <si>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</si>
  <si>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</si>
  <si>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</si>
  <si>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</si>
  <si>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</si>
  <si>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</si>
  <si>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</si>
  <si>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</si>
  <si>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</si>
  <si>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</si>
  <si>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</si>
  <si>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</si>
  <si>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</si>
  <si>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</si>
  <si>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</si>
  <si>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</si>
  <si>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</si>
  <si>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</si>
  <si>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</si>
  <si>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</si>
  <si>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</si>
  <si>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</si>
  <si>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</si>
  <si>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</si>
  <si>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</si>
  <si>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</si>
  <si>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</si>
  <si>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</si>
  <si>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</si>
  <si>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</si>
  <si>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</si>
  <si>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</si>
  <si>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</si>
  <si>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</si>
  <si>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</si>
  <si>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</si>
  <si>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</si>
  <si>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</si>
  <si>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</si>
  <si>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</si>
  <si>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</si>
  <si>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</si>
  <si>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</si>
  <si>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</si>
  <si>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</si>
  <si>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</si>
  <si>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</si>
  <si>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</si>
  <si>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</si>
  <si>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</si>
  <si>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</si>
  <si>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</si>
  <si>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</si>
  <si>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</si>
  <si>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</si>
  <si>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</si>
  <si>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</si>
  <si>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</si>
  <si>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</si>
  <si>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</si>
  <si>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</si>
  <si>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</si>
  <si>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</si>
  <si>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</si>
  <si>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</si>
  <si>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</si>
  <si>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</si>
  <si>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</si>
  <si>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</si>
  <si>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</si>
  <si>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</si>
  <si>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</si>
  <si>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</si>
  <si>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</si>
  <si>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</si>
  <si>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</si>
  <si>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</si>
  <si>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</si>
  <si>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</si>
  <si>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</si>
  <si>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</si>
  <si>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</si>
  <si>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</si>
  <si>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</si>
  <si>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</si>
  <si>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</si>
  <si>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</si>
  <si>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</si>
  <si>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</si>
  <si>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</si>
  <si>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</si>
  <si>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</si>
  <si>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</si>
  <si>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</si>
  <si>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</si>
  <si>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</si>
  <si>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</si>
  <si>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</si>
  <si>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</si>
  <si>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</si>
  <si>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</si>
  <si>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</si>
  <si>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</si>
  <si>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</si>
  <si>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</si>
  <si>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</si>
  <si>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</si>
  <si>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</si>
  <si>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</si>
  <si>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</si>
  <si>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</si>
  <si>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</si>
  <si>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</si>
  <si>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</si>
  <si>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</si>
  <si>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</si>
  <si>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</si>
  <si>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</si>
  <si>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</si>
  <si>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</si>
  <si>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</si>
  <si>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</si>
  <si>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</si>
  <si>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</si>
  <si>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</si>
  <si>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</si>
  <si>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</si>
  <si>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</si>
  <si>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</si>
  <si>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</si>
  <si>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</si>
  <si>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</si>
  <si>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</si>
  <si>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</si>
  <si>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</si>
  <si>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</si>
  <si>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</si>
  <si>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</si>
  <si>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</si>
  <si>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</si>
  <si>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</si>
  <si>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</si>
  <si>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</si>
  <si>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</si>
  <si>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</si>
  <si>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</si>
  <si>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</si>
  <si>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</si>
  <si>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</si>
  <si>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</si>
  <si>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</si>
  <si>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</si>
  <si>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</si>
  <si>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</si>
  <si>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</si>
  <si>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</si>
  <si>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</si>
  <si>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</si>
  <si>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</si>
  <si>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</si>
  <si>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</si>
  <si>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</si>
  <si>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</si>
  <si>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</si>
  <si>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</si>
  <si>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</si>
  <si>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</si>
  <si>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</si>
  <si>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</si>
  <si>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</si>
  <si>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</si>
  <si>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</si>
  <si>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</si>
  <si>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</si>
  <si>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</si>
  <si>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</si>
  <si>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</si>
  <si>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</si>
  <si>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</si>
  <si>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</si>
  <si>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</si>
  <si>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</si>
  <si>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</si>
  <si>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</si>
  <si>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</si>
  <si>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</si>
  <si>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</si>
  <si>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</si>
  <si>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</si>
  <si>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</si>
  <si>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</si>
  <si>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</si>
  <si>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</si>
  <si>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</si>
  <si>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</si>
  <si>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</si>
  <si>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</si>
  <si>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</si>
  <si>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</si>
  <si>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</si>
  <si>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</si>
  <si>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</si>
  <si>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</si>
  <si>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</si>
  <si>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</si>
  <si>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</si>
  <si>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</si>
  <si>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</si>
  <si>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</si>
  <si>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</si>
  <si>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</si>
  <si>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</si>
  <si>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</si>
  <si>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</si>
  <si>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</si>
  <si>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</si>
  <si>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</si>
  <si>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</si>
  <si>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</si>
  <si>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</si>
  <si>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</si>
  <si>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</si>
  <si>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</si>
  <si>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</si>
  <si>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</si>
  <si>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</si>
  <si>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</si>
  <si>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</si>
  <si>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</si>
  <si>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</si>
  <si>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</si>
  <si>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</si>
  <si>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</si>
  <si>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</si>
  <si>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</si>
  <si>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</si>
  <si>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</si>
  <si>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</si>
  <si>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</si>
  <si>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</si>
  <si>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</si>
  <si>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</si>
  <si>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</si>
  <si>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</si>
  <si>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</si>
  <si>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</si>
  <si>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</si>
  <si>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</si>
  <si>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</si>
  <si>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</si>
  <si>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</si>
  <si>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</si>
  <si>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</si>
  <si>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</si>
  <si>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</si>
  <si>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</si>
  <si>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</si>
  <si>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</si>
  <si>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</si>
  <si>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</si>
  <si>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</si>
  <si>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</si>
  <si>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</si>
  <si>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</si>
  <si>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</si>
  <si>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</si>
  <si>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</si>
  <si>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</si>
  <si>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</si>
  <si>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</si>
  <si>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</si>
  <si>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</si>
  <si>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</si>
  <si>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</si>
  <si>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</si>
  <si>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</si>
  <si>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</si>
  <si>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</si>
  <si>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</si>
  <si>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</si>
  <si>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</si>
  <si>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</si>
  <si>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</si>
  <si>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</si>
  <si>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</si>
  <si>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</si>
  <si>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</si>
  <si>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</si>
  <si>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</si>
  <si>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</si>
  <si>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</si>
  <si>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</si>
  <si>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</si>
  <si>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</si>
  <si>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</si>
  <si>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</si>
  <si>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</si>
  <si>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</si>
  <si>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</si>
  <si>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</si>
  <si>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</si>
  <si>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</si>
  <si>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</si>
  <si>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</si>
  <si>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</si>
  <si>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</si>
  <si>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</si>
  <si>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</si>
  <si>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</si>
  <si>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</si>
  <si>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</si>
  <si>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</si>
  <si>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</si>
  <si>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</si>
  <si>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</si>
  <si>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</si>
  <si>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</si>
  <si>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</si>
  <si>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</si>
  <si>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</si>
  <si>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</si>
  <si>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</si>
  <si>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</si>
  <si>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</si>
  <si>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</si>
  <si>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</si>
  <si>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</si>
  <si>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</si>
  <si>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</si>
  <si>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</si>
  <si>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</si>
  <si>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</si>
  <si>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</si>
  <si>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</si>
  <si>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</si>
  <si>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</si>
  <si>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</si>
  <si>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</si>
  <si>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</si>
  <si>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</si>
  <si>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</si>
  <si>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</si>
  <si>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</si>
  <si>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</si>
  <si>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</si>
  <si>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</si>
  <si>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</si>
  <si>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</si>
  <si>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</si>
  <si>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</si>
  <si>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</si>
  <si>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</si>
  <si>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</si>
  <si>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</si>
  <si>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</si>
  <si>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</si>
  <si>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</si>
  <si>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</si>
  <si>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</si>
  <si>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</si>
  <si>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</si>
  <si>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</si>
  <si>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</si>
  <si>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</si>
  <si>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</si>
  <si>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</si>
  <si>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</si>
  <si>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</si>
  <si>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</si>
  <si>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</si>
  <si>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</si>
  <si>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</si>
  <si>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</si>
  <si>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</si>
  <si>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</si>
  <si>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</si>
  <si>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</si>
  <si>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</si>
  <si>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</si>
  <si>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</si>
  <si>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</si>
  <si>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</si>
  <si>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</si>
  <si>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</si>
  <si>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</si>
  <si>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</si>
  <si>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</si>
  <si>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</si>
  <si>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</si>
  <si>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</si>
  <si>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</si>
  <si>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</si>
  <si>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</si>
  <si>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</si>
  <si>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</si>
  <si>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</si>
  <si>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</si>
  <si>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</si>
  <si>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</si>
  <si>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</si>
  <si>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</si>
  <si>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</si>
  <si>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</si>
  <si>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</si>
  <si>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</si>
  <si>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</si>
  <si>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</si>
  <si>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</si>
  <si>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</si>
  <si>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</si>
  <si>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</si>
  <si>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</si>
  <si>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</si>
  <si>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</si>
  <si>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</si>
  <si>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</si>
  <si>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</si>
  <si>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</si>
  <si>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</si>
  <si>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</si>
  <si>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</si>
  <si>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</si>
  <si>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</si>
  <si>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</si>
  <si>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</si>
  <si>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</si>
  <si>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</si>
  <si>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</si>
  <si>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</si>
  <si>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</si>
  <si>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</si>
  <si>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</si>
  <si>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</si>
  <si>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</si>
  <si>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</si>
  <si>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</si>
  <si>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</si>
  <si>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</si>
  <si>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</si>
  <si>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</si>
  <si>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</si>
  <si>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</si>
  <si>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</si>
  <si>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</si>
  <si>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</si>
  <si>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</si>
  <si>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</si>
  <si>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</si>
  <si>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</si>
  <si>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</si>
  <si>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</si>
  <si>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</si>
  <si>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Initial acquisition costs</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</si>
  <si>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</si>
  <si>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</si>
  <si>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</si>
  <si>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</si>
  <si>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</si>
  <si>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</si>
  <si>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</si>
  <si>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</si>
  <si>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</si>
  <si>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</si>
  <si>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</si>
  <si>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</si>
  <si>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</si>
  <si>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</si>
  <si>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</si>
  <si>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Transmission</t>
  </si>
  <si>
    <t>Auction Service</t>
  </si>
  <si>
    <t>Shared lease asset depreciation</t>
  </si>
  <si>
    <t>APA (SWQP) PTY LIMITED</t>
  </si>
  <si>
    <t>South West Queensland Pipeline</t>
  </si>
  <si>
    <t>Shared lease asset interest expense</t>
  </si>
  <si>
    <t>Nameplate capacity</t>
  </si>
  <si>
    <t>Queensland</t>
  </si>
  <si>
    <t>67 066 656 219</t>
  </si>
  <si>
    <t>Land and Easements</t>
  </si>
  <si>
    <t>Redirection service</t>
  </si>
  <si>
    <t>Information technology</t>
  </si>
  <si>
    <t>487-512 TJ Westernhaul</t>
  </si>
  <si>
    <t>Section 12</t>
  </si>
  <si>
    <t xml:space="preserve">Section 13 </t>
  </si>
  <si>
    <t>Section 15</t>
  </si>
  <si>
    <t>Section 17</t>
  </si>
  <si>
    <t>Section 18</t>
  </si>
  <si>
    <t>Section 19</t>
  </si>
  <si>
    <t>Section 21</t>
  </si>
  <si>
    <t>Section 22</t>
  </si>
  <si>
    <t>Section 23</t>
  </si>
  <si>
    <t>Section 24</t>
  </si>
  <si>
    <t>Section 25</t>
  </si>
  <si>
    <t>Section 11</t>
  </si>
  <si>
    <t>Section 16</t>
  </si>
  <si>
    <t>2019 to 2025</t>
  </si>
  <si>
    <t xml:space="preserve">Various </t>
  </si>
  <si>
    <t>2013 to 2025</t>
  </si>
  <si>
    <t>Level 10, 121 Castlereagh Street</t>
  </si>
  <si>
    <t>Weighted Average Statutory Accounting Useful life</t>
  </si>
  <si>
    <t>Section 21 &amp; Section 22</t>
  </si>
  <si>
    <t>Information Technology</t>
  </si>
  <si>
    <t>Compressor Station 4</t>
  </si>
  <si>
    <t>2009</t>
  </si>
  <si>
    <t>Wallumbilla Compressor Station</t>
  </si>
  <si>
    <t>QSN Link Pipeline</t>
  </si>
  <si>
    <t>QSN Link works</t>
  </si>
  <si>
    <t>2012</t>
  </si>
  <si>
    <t>Moomba CS - Pipe &amp; Fittings</t>
  </si>
  <si>
    <t>2015</t>
  </si>
  <si>
    <t>Eastern Haul - Pipe &amp; Fittings</t>
  </si>
  <si>
    <t>Wallumbilla CS3 - Pipe &amp; Fittings</t>
  </si>
  <si>
    <t>APA Grid - Phase 1 &amp; 2  (SWQP Portion)</t>
  </si>
  <si>
    <t>2019</t>
  </si>
  <si>
    <t>RBP18 - DN250 Redirection</t>
  </si>
  <si>
    <t>2019,2020</t>
  </si>
  <si>
    <t>DULBYDILLA CREEK (SS6) COMPRESSOR</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</si>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</sst>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u/>
      <sz val="11"/>
      <color theme="10"/>
      <name val="Calibri"/>
      <family val="2"/>
      <scheme val="minor"/>
    </font>
    <font>
      <sz val="10"/>
      <name val="Arial"/>
      <family val="2"/>
    </font>
    <font>
      <sz val="10"/>
      <name val="Swis721 BT"/>
      <family val="2"/>
    </font>
    <font>
      <u/>
      <sz val="10"/>
      <color theme="10"/>
      <name val="Arial"/>
      <family val="2"/>
    </font>
  </fonts>
  <fills count="4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s>
  <cellStyleXfs count="279">
    <xf numFmtId="0" fontId="0" fillId="0" borderId="0"/>
    <xf numFmtId="0" fontId="9"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3" fontId="4"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4" fontId="4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3" fillId="32" borderId="0">
      <alignment vertical="center"/>
    </xf>
    <xf numFmtId="49" fontId="53" fillId="33" borderId="0">
      <alignment vertical="center"/>
    </xf>
    <xf numFmtId="0" fontId="20" fillId="0" borderId="0" applyNumberForma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25" fillId="4" borderId="1" applyNumberFormat="0" applyAlignment="0" applyProtection="0"/>
    <xf numFmtId="0" fontId="25" fillId="5" borderId="1" applyNumberFormat="0" applyAlignment="0" applyProtection="0"/>
    <xf numFmtId="164" fontId="4"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43" fillId="31" borderId="0" applyFont="0" applyBorder="0" applyAlignment="0">
      <alignment horizontal="right"/>
      <protection locked="0"/>
    </xf>
    <xf numFmtId="41" fontId="9" fillId="31" borderId="0" applyFont="0" applyBorder="0" applyAlignment="0">
      <alignment horizontal="right"/>
      <protection locked="0"/>
    </xf>
    <xf numFmtId="165" fontId="9" fillId="30" borderId="0" applyFont="0" applyBorder="0">
      <alignment horizontal="right"/>
      <protection locked="0"/>
    </xf>
    <xf numFmtId="165" fontId="38" fillId="30" borderId="0" applyFont="0" applyBorder="0">
      <alignment horizontal="right"/>
      <protection locked="0"/>
    </xf>
    <xf numFmtId="165" fontId="9" fillId="30"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0" fontId="26" fillId="0" borderId="6" applyNumberFormat="0" applyFill="0" applyAlignment="0" applyProtection="0"/>
    <xf numFmtId="0" fontId="27" fillId="10" borderId="0" applyNumberFormat="0" applyBorder="0" applyAlignment="0" applyProtection="0"/>
    <xf numFmtId="0" fontId="27" fillId="11" borderId="0" applyNumberFormat="0" applyBorder="0" applyAlignment="0" applyProtection="0"/>
    <xf numFmtId="0" fontId="54" fillId="0" borderId="0"/>
    <xf numFmtId="0" fontId="37" fillId="0" borderId="0"/>
    <xf numFmtId="0" fontId="55" fillId="0" borderId="0"/>
    <xf numFmtId="0" fontId="9" fillId="0" borderId="0"/>
    <xf numFmtId="0" fontId="38" fillId="0" borderId="0"/>
    <xf numFmtId="0" fontId="9" fillId="0" borderId="0"/>
    <xf numFmtId="0" fontId="9" fillId="0" borderId="0" applyNumberFormat="0" applyFill="0" applyBorder="0" applyAlignment="0" applyProtection="0"/>
    <xf numFmtId="0" fontId="56" fillId="0" borderId="0"/>
    <xf numFmtId="0" fontId="55"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38" fillId="9" borderId="0"/>
    <xf numFmtId="0" fontId="4" fillId="9" borderId="0"/>
    <xf numFmtId="0" fontId="43" fillId="9" borderId="0"/>
    <xf numFmtId="0" fontId="9" fillId="6" borderId="7" applyNumberFormat="0" applyFont="0" applyAlignment="0" applyProtection="0"/>
    <xf numFmtId="0" fontId="38" fillId="7" borderId="7" applyNumberFormat="0" applyFont="0" applyAlignment="0" applyProtection="0"/>
    <xf numFmtId="0" fontId="9" fillId="7" borderId="7" applyNumberFormat="0" applyFont="0" applyAlignment="0" applyProtection="0"/>
    <xf numFmtId="0" fontId="28" fillId="8" borderId="8" applyNumberFormat="0" applyAlignment="0" applyProtection="0"/>
    <xf numFmtId="0" fontId="28" fillId="9" borderId="8" applyNumberFormat="0" applyAlignment="0" applyProtection="0"/>
    <xf numFmtId="9" fontId="4"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4" fillId="0" borderId="0"/>
    <xf numFmtId="0" fontId="9" fillId="0" borderId="0"/>
    <xf numFmtId="0" fontId="38" fillId="0" borderId="0"/>
    <xf numFmtId="0" fontId="9" fillId="0" borderId="0"/>
    <xf numFmtId="0" fontId="38" fillId="0" borderId="0"/>
    <xf numFmtId="0" fontId="9" fillId="0" borderId="0"/>
    <xf numFmtId="0" fontId="43" fillId="0" borderId="0"/>
    <xf numFmtId="0" fontId="9" fillId="0" borderId="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9" fillId="0" borderId="0"/>
    <xf numFmtId="0" fontId="52" fillId="0" borderId="0"/>
    <xf numFmtId="0" fontId="3" fillId="0" borderId="0"/>
    <xf numFmtId="0" fontId="36" fillId="0" borderId="0"/>
    <xf numFmtId="0" fontId="4" fillId="0" borderId="0"/>
    <xf numFmtId="0" fontId="2" fillId="0" borderId="0"/>
    <xf numFmtId="0" fontId="76" fillId="0" borderId="0" applyNumberForma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1" fillId="0" borderId="0"/>
    <xf numFmtId="0" fontId="76" fillId="0" borderId="0" applyNumberFormat="0" applyFill="0" applyBorder="0" applyAlignment="0" applyProtection="0"/>
    <xf numFmtId="43" fontId="4" fillId="0" borderId="0" applyFont="0" applyFill="0" applyBorder="0" applyAlignment="0" applyProtection="0"/>
    <xf numFmtId="0" fontId="78" fillId="0" borderId="0"/>
    <xf numFmtId="0" fontId="79" fillId="0" borderId="0" applyNumberForma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cellStyleXfs>
  <cellXfs count="451">
    <xf numFmtId="0" fontId="0" fillId="0" borderId="0" xfId="0"/>
    <xf numFmtId="0" fontId="12" fillId="9" borderId="0" xfId="224" applyFont="1"/>
    <xf numFmtId="0" fontId="13" fillId="9" borderId="0" xfId="224" applyFont="1" applyAlignment="1">
      <alignment vertical="center"/>
    </xf>
    <xf numFmtId="0" fontId="12" fillId="9" borderId="0" xfId="224" applyFont="1" applyAlignment="1">
      <alignment vertical="center"/>
    </xf>
    <xf numFmtId="0" fontId="4" fillId="9" borderId="0" xfId="228"/>
    <xf numFmtId="0" fontId="0" fillId="0" borderId="0" xfId="0" applyAlignment="1">
      <alignment horizontal="center" vertical="center"/>
    </xf>
    <xf numFmtId="0" fontId="9" fillId="0" borderId="0" xfId="0" applyFont="1"/>
    <xf numFmtId="43" fontId="0" fillId="0" borderId="0" xfId="0" applyNumberFormat="1"/>
    <xf numFmtId="164" fontId="36" fillId="13" borderId="10" xfId="78" applyNumberFormat="1" applyFont="1" applyFill="1" applyBorder="1" applyAlignment="1"/>
    <xf numFmtId="0" fontId="4" fillId="9" borderId="0" xfId="228" applyProtection="1">
      <protection locked="0"/>
    </xf>
    <xf numFmtId="164" fontId="9" fillId="13" borderId="10" xfId="78" applyNumberFormat="1" applyFont="1" applyFill="1" applyBorder="1" applyAlignment="1" applyProtection="1">
      <alignment horizontal="right"/>
    </xf>
    <xf numFmtId="164" fontId="6" fillId="13" borderId="10" xfId="78" applyNumberFormat="1" applyFont="1" applyFill="1" applyBorder="1" applyAlignment="1" applyProtection="1">
      <alignment horizontal="right"/>
    </xf>
    <xf numFmtId="10" fontId="6" fillId="13" borderId="10" xfId="231" applyNumberFormat="1" applyFont="1" applyFill="1" applyBorder="1" applyAlignment="1">
      <alignment horizontal="right"/>
    </xf>
    <xf numFmtId="168" fontId="9" fillId="34" borderId="10" xfId="231" applyNumberFormat="1" applyFont="1" applyFill="1" applyBorder="1"/>
    <xf numFmtId="164" fontId="9" fillId="34" borderId="10" xfId="78" applyNumberFormat="1" applyFont="1" applyFill="1" applyBorder="1" applyAlignment="1" applyProtection="1">
      <alignment horizontal="right"/>
    </xf>
    <xf numFmtId="167" fontId="11" fillId="28" borderId="0" xfId="0" applyNumberFormat="1" applyFont="1" applyFill="1" applyAlignment="1">
      <alignment horizontal="left" vertical="center" wrapText="1"/>
    </xf>
    <xf numFmtId="169" fontId="6" fillId="13" borderId="10" xfId="233" applyNumberFormat="1" applyFont="1" applyFill="1" applyBorder="1" applyAlignment="1">
      <alignment horizontal="right"/>
    </xf>
    <xf numFmtId="166" fontId="6" fillId="13" borderId="10" xfId="233" applyNumberFormat="1" applyFont="1" applyFill="1" applyBorder="1" applyAlignment="1">
      <alignment horizontal="right"/>
    </xf>
    <xf numFmtId="43" fontId="6" fillId="13" borderId="10" xfId="78" applyFont="1" applyFill="1" applyBorder="1" applyAlignment="1" applyProtection="1">
      <alignment horizontal="right"/>
    </xf>
    <xf numFmtId="49" fontId="11" fillId="35" borderId="10" xfId="228" applyNumberFormat="1" applyFont="1" applyFill="1" applyBorder="1" applyAlignment="1">
      <alignment horizontal="left"/>
    </xf>
    <xf numFmtId="49" fontId="57" fillId="35" borderId="10" xfId="228" applyNumberFormat="1" applyFont="1" applyFill="1" applyBorder="1" applyAlignment="1">
      <alignment horizontal="left"/>
    </xf>
    <xf numFmtId="2" fontId="34" fillId="35" borderId="11" xfId="229" applyNumberFormat="1" applyFont="1" applyFill="1" applyBorder="1" applyAlignment="1">
      <alignment horizontal="left" vertical="center" wrapText="1"/>
    </xf>
    <xf numFmtId="167" fontId="11" fillId="35" borderId="10" xfId="228" quotePrefix="1" applyNumberFormat="1" applyFont="1" applyFill="1" applyBorder="1" applyAlignment="1">
      <alignment vertical="center" wrapText="1"/>
    </xf>
    <xf numFmtId="49" fontId="34" fillId="35" borderId="10" xfId="228" applyNumberFormat="1" applyFont="1" applyFill="1" applyBorder="1" applyAlignment="1">
      <alignment horizontal="center" vertical="center" wrapText="1"/>
    </xf>
    <xf numFmtId="167" fontId="40" fillId="35" borderId="10" xfId="228" quotePrefix="1" applyNumberFormat="1" applyFont="1" applyFill="1" applyBorder="1" applyAlignment="1">
      <alignment horizontal="left" vertical="center" wrapText="1"/>
    </xf>
    <xf numFmtId="167" fontId="57" fillId="35" borderId="10" xfId="228" quotePrefix="1" applyNumberFormat="1" applyFont="1" applyFill="1" applyBorder="1" applyAlignment="1">
      <alignment horizontal="left" vertical="center" wrapText="1" indent="1"/>
    </xf>
    <xf numFmtId="167" fontId="58" fillId="35" borderId="10" xfId="228" quotePrefix="1" applyNumberFormat="1" applyFont="1" applyFill="1" applyBorder="1" applyAlignment="1">
      <alignment horizontal="left" vertical="center" wrapText="1"/>
    </xf>
    <xf numFmtId="49" fontId="57" fillId="35" borderId="10" xfId="228" applyNumberFormat="1" applyFont="1" applyFill="1" applyBorder="1" applyAlignment="1">
      <alignment horizontal="left" indent="1"/>
    </xf>
    <xf numFmtId="49" fontId="57" fillId="35" borderId="10" xfId="232" applyNumberFormat="1" applyFont="1" applyFill="1" applyBorder="1" applyAlignment="1">
      <alignment horizontal="left" vertical="center" wrapText="1" indent="1"/>
    </xf>
    <xf numFmtId="167" fontId="34" fillId="35" borderId="10" xfId="228" quotePrefix="1" applyNumberFormat="1" applyFont="1" applyFill="1" applyBorder="1" applyAlignment="1">
      <alignment horizontal="center" vertical="center" wrapText="1"/>
    </xf>
    <xf numFmtId="2" fontId="34" fillId="35" borderId="10" xfId="228" applyNumberFormat="1" applyFont="1" applyFill="1" applyBorder="1" applyAlignment="1">
      <alignment horizontal="center" vertical="center" wrapText="1"/>
    </xf>
    <xf numFmtId="2" fontId="11" fillId="35" borderId="10" xfId="78" applyNumberFormat="1" applyFont="1" applyFill="1" applyBorder="1" applyAlignment="1" applyProtection="1">
      <alignment horizontal="center"/>
    </xf>
    <xf numFmtId="49" fontId="11" fillId="35" borderId="10" xfId="228" applyNumberFormat="1" applyFont="1" applyFill="1" applyBorder="1"/>
    <xf numFmtId="49" fontId="34" fillId="35" borderId="10" xfId="228" applyNumberFormat="1" applyFont="1" applyFill="1" applyBorder="1" applyAlignment="1">
      <alignment horizontal="left"/>
    </xf>
    <xf numFmtId="49" fontId="11" fillId="35" borderId="10" xfId="228" applyNumberFormat="1" applyFont="1" applyFill="1" applyBorder="1" applyAlignment="1">
      <alignment horizontal="left" wrapText="1"/>
    </xf>
    <xf numFmtId="49" fontId="34" fillId="35" borderId="12" xfId="228" applyNumberFormat="1" applyFont="1" applyFill="1" applyBorder="1" applyAlignment="1">
      <alignment horizontal="center" vertical="center" wrapText="1"/>
    </xf>
    <xf numFmtId="49" fontId="34" fillId="35" borderId="13" xfId="228" applyNumberFormat="1" applyFont="1" applyFill="1" applyBorder="1" applyAlignment="1">
      <alignment horizontal="center" vertical="center" wrapText="1"/>
    </xf>
    <xf numFmtId="49" fontId="34" fillId="35" borderId="10" xfId="231" applyNumberFormat="1" applyFont="1" applyFill="1" applyBorder="1" applyAlignment="1">
      <alignment horizontal="center" vertical="center" wrapText="1"/>
    </xf>
    <xf numFmtId="164" fontId="34" fillId="35" borderId="10" xfId="231" applyNumberFormat="1" applyFont="1" applyFill="1" applyBorder="1" applyAlignment="1">
      <alignment horizontal="right" vertical="center" wrapText="1"/>
    </xf>
    <xf numFmtId="49" fontId="34" fillId="35" borderId="10" xfId="231" applyNumberFormat="1" applyFont="1" applyFill="1" applyBorder="1" applyAlignment="1">
      <alignment horizontal="center"/>
    </xf>
    <xf numFmtId="166" fontId="11" fillId="35" borderId="14" xfId="78" applyNumberFormat="1" applyFont="1" applyFill="1" applyBorder="1" applyAlignment="1" applyProtection="1">
      <alignment horizontal="right" vertical="center"/>
    </xf>
    <xf numFmtId="49" fontId="34" fillId="35" borderId="10" xfId="231" applyNumberFormat="1" applyFont="1" applyFill="1" applyBorder="1" applyAlignment="1">
      <alignment horizontal="right" vertical="center" wrapText="1"/>
    </xf>
    <xf numFmtId="49" fontId="34" fillId="35" borderId="14" xfId="231" applyNumberFormat="1" applyFont="1" applyFill="1" applyBorder="1" applyAlignment="1">
      <alignment horizontal="center"/>
    </xf>
    <xf numFmtId="49" fontId="11" fillId="35" borderId="10" xfId="228" applyNumberFormat="1" applyFont="1" applyFill="1" applyBorder="1" applyAlignment="1">
      <alignment wrapText="1"/>
    </xf>
    <xf numFmtId="167" fontId="34" fillId="35" borderId="10" xfId="229" quotePrefix="1" applyNumberFormat="1" applyFont="1" applyFill="1" applyBorder="1" applyAlignment="1">
      <alignment horizontal="center" vertical="center" wrapText="1"/>
    </xf>
    <xf numFmtId="2" fontId="34" fillId="35" borderId="11" xfId="229" applyNumberFormat="1" applyFont="1" applyFill="1" applyBorder="1" applyAlignment="1">
      <alignment horizontal="center" vertical="center" wrapText="1"/>
    </xf>
    <xf numFmtId="2" fontId="59" fillId="35" borderId="11" xfId="229" applyNumberFormat="1" applyFont="1" applyFill="1" applyBorder="1" applyAlignment="1">
      <alignment horizontal="left" vertical="center" wrapText="1"/>
    </xf>
    <xf numFmtId="41" fontId="11" fillId="35" borderId="15" xfId="229" applyNumberFormat="1" applyFont="1" applyFill="1" applyBorder="1" applyAlignment="1">
      <alignment horizontal="left" indent="1"/>
    </xf>
    <xf numFmtId="41" fontId="8" fillId="35" borderId="15" xfId="229" applyNumberFormat="1" applyFont="1" applyFill="1" applyBorder="1"/>
    <xf numFmtId="164" fontId="34" fillId="35" borderId="10" xfId="231" applyNumberFormat="1" applyFont="1" applyFill="1" applyBorder="1" applyAlignment="1">
      <alignment horizontal="center" vertical="center" wrapText="1"/>
    </xf>
    <xf numFmtId="167" fontId="34" fillId="35" borderId="10" xfId="233" applyNumberFormat="1" applyFont="1" applyFill="1" applyBorder="1" applyAlignment="1">
      <alignment horizontal="center" vertical="center" wrapText="1"/>
    </xf>
    <xf numFmtId="49" fontId="34" fillId="35" borderId="10" xfId="233" applyNumberFormat="1" applyFont="1" applyFill="1" applyBorder="1" applyAlignment="1">
      <alignment horizontal="center" vertical="center" wrapText="1"/>
    </xf>
    <xf numFmtId="49" fontId="59" fillId="35" borderId="10" xfId="233" applyNumberFormat="1" applyFont="1" applyFill="1" applyBorder="1" applyAlignment="1">
      <alignment horizontal="center" vertical="center" wrapText="1"/>
    </xf>
    <xf numFmtId="166" fontId="11" fillId="35" borderId="14" xfId="78" applyNumberFormat="1" applyFont="1" applyFill="1" applyBorder="1" applyAlignment="1" applyProtection="1">
      <alignment horizontal="center" vertical="center"/>
    </xf>
    <xf numFmtId="166" fontId="57" fillId="35" borderId="14" xfId="78" applyNumberFormat="1" applyFont="1" applyFill="1" applyBorder="1" applyAlignment="1" applyProtection="1">
      <alignment horizontal="center" vertical="center"/>
    </xf>
    <xf numFmtId="2" fontId="57" fillId="35" borderId="14" xfId="78" applyNumberFormat="1" applyFont="1" applyFill="1" applyBorder="1" applyAlignment="1" applyProtection="1">
      <alignment horizontal="center" vertical="center"/>
    </xf>
    <xf numFmtId="1" fontId="11" fillId="35" borderId="14" xfId="78" applyNumberFormat="1" applyFont="1" applyFill="1" applyBorder="1" applyAlignment="1" applyProtection="1">
      <alignment horizontal="center" vertical="center"/>
    </xf>
    <xf numFmtId="49" fontId="34" fillId="35" borderId="10" xfId="233" applyNumberFormat="1" applyFont="1" applyFill="1" applyBorder="1" applyAlignment="1">
      <alignment horizontal="left" vertical="center" wrapText="1"/>
    </xf>
    <xf numFmtId="167" fontId="11" fillId="35" borderId="10" xfId="0" applyNumberFormat="1" applyFont="1" applyFill="1" applyBorder="1" applyAlignment="1">
      <alignment horizontal="left" vertical="center" wrapText="1"/>
    </xf>
    <xf numFmtId="49" fontId="11" fillId="35" borderId="10" xfId="233" applyNumberFormat="1" applyFont="1" applyFill="1" applyBorder="1" applyAlignment="1">
      <alignment horizontal="left" vertical="center" wrapText="1"/>
    </xf>
    <xf numFmtId="49" fontId="57" fillId="35" borderId="10" xfId="233" applyNumberFormat="1" applyFont="1" applyFill="1" applyBorder="1" applyAlignment="1">
      <alignment horizontal="left" vertical="center" wrapText="1"/>
    </xf>
    <xf numFmtId="166" fontId="60" fillId="35" borderId="10" xfId="233" applyNumberFormat="1" applyFont="1" applyFill="1" applyBorder="1" applyAlignment="1">
      <alignment horizontal="left"/>
    </xf>
    <xf numFmtId="0" fontId="9" fillId="36" borderId="16" xfId="228" applyFont="1" applyFill="1" applyBorder="1" applyAlignment="1" applyProtection="1">
      <alignment horizontal="center"/>
      <protection locked="0"/>
    </xf>
    <xf numFmtId="166" fontId="9" fillId="36" borderId="16" xfId="228" applyNumberFormat="1" applyFont="1" applyFill="1" applyBorder="1" applyAlignment="1" applyProtection="1">
      <alignment horizontal="center"/>
      <protection locked="0"/>
    </xf>
    <xf numFmtId="166" fontId="9" fillId="36" borderId="10" xfId="228" applyNumberFormat="1" applyFont="1" applyFill="1" applyBorder="1" applyAlignment="1" applyProtection="1">
      <alignment horizontal="center"/>
      <protection locked="0"/>
    </xf>
    <xf numFmtId="166" fontId="9" fillId="36" borderId="10" xfId="228" applyNumberFormat="1" applyFont="1" applyFill="1" applyBorder="1" applyAlignment="1" applyProtection="1">
      <alignment horizontal="left" indent="1"/>
      <protection locked="0"/>
    </xf>
    <xf numFmtId="164" fontId="9" fillId="36" borderId="10" xfId="78" applyNumberFormat="1" applyFont="1" applyFill="1" applyBorder="1" applyAlignment="1" applyProtection="1">
      <alignment horizontal="right"/>
      <protection locked="0"/>
    </xf>
    <xf numFmtId="166" fontId="9" fillId="36" borderId="10" xfId="228" applyNumberFormat="1" applyFont="1" applyFill="1" applyBorder="1" applyAlignment="1" applyProtection="1">
      <alignment horizontal="right"/>
      <protection locked="0"/>
    </xf>
    <xf numFmtId="164" fontId="9" fillId="36" borderId="16" xfId="228" applyNumberFormat="1" applyFont="1" applyFill="1" applyBorder="1" applyAlignment="1" applyProtection="1">
      <alignment horizontal="right"/>
      <protection locked="0"/>
    </xf>
    <xf numFmtId="166" fontId="9" fillId="36" borderId="16" xfId="228" applyNumberFormat="1" applyFont="1" applyFill="1" applyBorder="1" applyAlignment="1" applyProtection="1">
      <alignment horizontal="right"/>
      <protection locked="0"/>
    </xf>
    <xf numFmtId="0" fontId="9" fillId="36" borderId="10" xfId="231" applyFont="1" applyFill="1" applyBorder="1" applyProtection="1">
      <protection locked="0"/>
    </xf>
    <xf numFmtId="164" fontId="9" fillId="36" borderId="10" xfId="231" applyNumberFormat="1" applyFont="1" applyFill="1" applyBorder="1" applyAlignment="1" applyProtection="1">
      <alignment horizontal="right"/>
      <protection locked="0"/>
    </xf>
    <xf numFmtId="10" fontId="9" fillId="36" borderId="10" xfId="231" applyNumberFormat="1" applyFont="1" applyFill="1" applyBorder="1" applyAlignment="1" applyProtection="1">
      <alignment horizontal="right"/>
      <protection locked="0"/>
    </xf>
    <xf numFmtId="168" fontId="9" fillId="36" borderId="10" xfId="231" applyNumberFormat="1" applyFont="1" applyFill="1" applyBorder="1" applyProtection="1">
      <protection locked="0"/>
    </xf>
    <xf numFmtId="14" fontId="9" fillId="36" borderId="10" xfId="231" applyNumberFormat="1" applyFont="1" applyFill="1" applyBorder="1" applyAlignment="1" applyProtection="1">
      <alignment horizontal="center"/>
      <protection locked="0"/>
    </xf>
    <xf numFmtId="169" fontId="9" fillId="36" borderId="16" xfId="228" applyNumberFormat="1" applyFont="1" applyFill="1" applyBorder="1" applyAlignment="1" applyProtection="1">
      <alignment horizontal="right"/>
      <protection locked="0"/>
    </xf>
    <xf numFmtId="166" fontId="9" fillId="36" borderId="10" xfId="233" applyNumberFormat="1" applyFont="1" applyFill="1" applyBorder="1" applyAlignment="1" applyProtection="1">
      <alignment horizontal="right"/>
      <protection locked="0"/>
    </xf>
    <xf numFmtId="169" fontId="9" fillId="36" borderId="10" xfId="233" applyNumberFormat="1" applyFont="1" applyFill="1" applyBorder="1" applyAlignment="1" applyProtection="1">
      <alignment horizontal="right"/>
      <protection locked="0"/>
    </xf>
    <xf numFmtId="1" fontId="9" fillId="36" borderId="10" xfId="233" applyNumberFormat="1" applyFont="1" applyFill="1" applyBorder="1" applyAlignment="1" applyProtection="1">
      <alignment horizontal="right"/>
      <protection locked="0"/>
    </xf>
    <xf numFmtId="164" fontId="9" fillId="36" borderId="10" xfId="233" applyNumberFormat="1" applyFont="1" applyFill="1" applyBorder="1" applyAlignment="1" applyProtection="1">
      <alignment horizontal="right"/>
      <protection locked="0"/>
    </xf>
    <xf numFmtId="14" fontId="9" fillId="36" borderId="10" xfId="231" applyNumberFormat="1" applyFont="1" applyFill="1" applyBorder="1" applyProtection="1">
      <protection locked="0"/>
    </xf>
    <xf numFmtId="164" fontId="9" fillId="36" borderId="10" xfId="231" applyNumberFormat="1" applyFont="1" applyFill="1" applyBorder="1" applyProtection="1">
      <protection locked="0"/>
    </xf>
    <xf numFmtId="167" fontId="41" fillId="37" borderId="0" xfId="0" applyNumberFormat="1" applyFont="1" applyFill="1" applyAlignment="1">
      <alignment horizontal="left" vertical="center" wrapText="1"/>
    </xf>
    <xf numFmtId="10" fontId="36" fillId="13" borderId="10" xfId="240" applyNumberFormat="1" applyFont="1" applyFill="1" applyBorder="1" applyAlignment="1">
      <alignment horizontal="right"/>
    </xf>
    <xf numFmtId="41" fontId="11" fillId="37" borderId="10" xfId="229" applyNumberFormat="1" applyFont="1" applyFill="1" applyBorder="1"/>
    <xf numFmtId="41" fontId="59" fillId="37" borderId="10" xfId="229" applyNumberFormat="1" applyFont="1" applyFill="1" applyBorder="1" applyAlignment="1">
      <alignment horizontal="left"/>
    </xf>
    <xf numFmtId="41" fontId="34" fillId="37" borderId="10" xfId="229" applyNumberFormat="1" applyFont="1" applyFill="1" applyBorder="1"/>
    <xf numFmtId="49" fontId="11" fillId="37" borderId="10" xfId="228" applyNumberFormat="1" applyFont="1" applyFill="1" applyBorder="1"/>
    <xf numFmtId="167" fontId="11" fillId="37" borderId="0" xfId="0" applyNumberFormat="1" applyFont="1" applyFill="1" applyAlignment="1">
      <alignment horizontal="left" vertical="center" wrapText="1"/>
    </xf>
    <xf numFmtId="49" fontId="34" fillId="35" borderId="10" xfId="231" applyNumberFormat="1" applyFont="1" applyFill="1" applyBorder="1" applyAlignment="1">
      <alignment horizontal="center" vertical="center"/>
    </xf>
    <xf numFmtId="164" fontId="9" fillId="38" borderId="10" xfId="78" applyNumberFormat="1" applyFont="1" applyFill="1" applyBorder="1" applyAlignment="1" applyProtection="1">
      <alignment horizontal="right"/>
    </xf>
    <xf numFmtId="0" fontId="53" fillId="32" borderId="0" xfId="151">
      <alignment vertical="center"/>
    </xf>
    <xf numFmtId="0" fontId="45" fillId="0" borderId="0" xfId="0" applyFont="1" applyAlignment="1">
      <alignment horizontal="right" indent="2"/>
    </xf>
    <xf numFmtId="0" fontId="45" fillId="0" borderId="0" xfId="0" applyFont="1"/>
    <xf numFmtId="0" fontId="45" fillId="0" borderId="17" xfId="0" applyFont="1" applyBorder="1"/>
    <xf numFmtId="0" fontId="45" fillId="0" borderId="18" xfId="0" applyFont="1" applyBorder="1"/>
    <xf numFmtId="49" fontId="61" fillId="37" borderId="0" xfId="152" applyFont="1" applyFill="1">
      <alignment vertical="center"/>
    </xf>
    <xf numFmtId="14" fontId="61" fillId="37" borderId="0" xfId="228" applyNumberFormat="1" applyFont="1" applyFill="1" applyAlignment="1">
      <alignment horizontal="left"/>
    </xf>
    <xf numFmtId="14" fontId="61" fillId="37" borderId="0" xfId="228" applyNumberFormat="1" applyFont="1" applyFill="1" applyAlignment="1">
      <alignment horizontal="right"/>
    </xf>
    <xf numFmtId="14" fontId="53" fillId="37" borderId="0" xfId="228" applyNumberFormat="1" applyFont="1" applyFill="1" applyAlignment="1">
      <alignment horizontal="right"/>
    </xf>
    <xf numFmtId="0" fontId="0" fillId="9" borderId="0" xfId="228" applyFont="1"/>
    <xf numFmtId="167" fontId="11" fillId="35" borderId="10" xfId="0" applyNumberFormat="1" applyFont="1" applyFill="1" applyBorder="1" applyAlignment="1">
      <alignment horizontal="center" vertical="center" wrapText="1"/>
    </xf>
    <xf numFmtId="167" fontId="34" fillId="35" borderId="10" xfId="0" applyNumberFormat="1" applyFont="1" applyFill="1" applyBorder="1" applyAlignment="1">
      <alignment horizontal="center" vertical="center" wrapText="1"/>
    </xf>
    <xf numFmtId="167" fontId="60" fillId="35" borderId="10" xfId="0" applyNumberFormat="1" applyFont="1" applyFill="1" applyBorder="1" applyAlignment="1">
      <alignment horizontal="center" vertical="center" wrapText="1"/>
    </xf>
    <xf numFmtId="0" fontId="9" fillId="36" borderId="10" xfId="228" applyFont="1" applyFill="1" applyBorder="1" applyAlignment="1" applyProtection="1">
      <alignment horizontal="center"/>
      <protection locked="0"/>
    </xf>
    <xf numFmtId="0" fontId="0" fillId="39" borderId="0" xfId="0" applyFill="1"/>
    <xf numFmtId="0" fontId="7" fillId="39" borderId="0" xfId="0" applyFont="1" applyFill="1"/>
    <xf numFmtId="49" fontId="34" fillId="35" borderId="10" xfId="228" applyNumberFormat="1" applyFont="1" applyFill="1" applyBorder="1" applyAlignment="1">
      <alignment horizontal="left" vertical="center" wrapText="1"/>
    </xf>
    <xf numFmtId="2" fontId="11" fillId="35" borderId="0" xfId="78" applyNumberFormat="1" applyFont="1" applyFill="1" applyBorder="1" applyAlignment="1" applyProtection="1">
      <alignment horizontal="center"/>
    </xf>
    <xf numFmtId="49" fontId="11" fillId="35" borderId="10" xfId="229" applyNumberFormat="1" applyFont="1" applyFill="1" applyBorder="1" applyAlignment="1">
      <alignment horizontal="center" vertical="center"/>
    </xf>
    <xf numFmtId="170" fontId="9" fillId="13" borderId="10" xfId="80" applyNumberFormat="1" applyFont="1" applyFill="1" applyBorder="1" applyAlignment="1" applyProtection="1">
      <alignment horizontal="right"/>
    </xf>
    <xf numFmtId="2" fontId="11" fillId="35" borderId="10" xfId="80" applyNumberFormat="1" applyFont="1" applyFill="1" applyBorder="1" applyAlignment="1" applyProtection="1">
      <alignment horizontal="center"/>
    </xf>
    <xf numFmtId="49" fontId="57" fillId="35" borderId="10" xfId="229" applyNumberFormat="1" applyFont="1" applyFill="1" applyBorder="1"/>
    <xf numFmtId="164" fontId="9" fillId="13" borderId="10" xfId="80" applyNumberFormat="1" applyFont="1" applyFill="1" applyBorder="1" applyAlignment="1" applyProtection="1">
      <alignment horizontal="right"/>
    </xf>
    <xf numFmtId="164" fontId="6" fillId="13" borderId="10" xfId="80" applyNumberFormat="1" applyFont="1" applyFill="1" applyBorder="1" applyAlignment="1" applyProtection="1">
      <alignment horizontal="right"/>
    </xf>
    <xf numFmtId="164" fontId="6" fillId="38" borderId="10" xfId="80" applyNumberFormat="1" applyFont="1" applyFill="1" applyBorder="1" applyAlignment="1" applyProtection="1">
      <alignment horizontal="right"/>
    </xf>
    <xf numFmtId="49" fontId="11" fillId="35" borderId="10" xfId="228" applyNumberFormat="1" applyFont="1" applyFill="1" applyBorder="1" applyAlignment="1">
      <alignment horizontal="left" vertical="center" wrapText="1"/>
    </xf>
    <xf numFmtId="49" fontId="11" fillId="37" borderId="10" xfId="228" applyNumberFormat="1" applyFont="1" applyFill="1" applyBorder="1" applyAlignment="1">
      <alignment horizontal="left" vertical="center" wrapText="1"/>
    </xf>
    <xf numFmtId="10" fontId="6" fillId="13" borderId="10" xfId="80" applyNumberFormat="1" applyFont="1" applyFill="1" applyBorder="1" applyAlignment="1" applyProtection="1">
      <alignment horizontal="right"/>
    </xf>
    <xf numFmtId="0" fontId="11" fillId="35" borderId="10" xfId="228" applyFont="1" applyFill="1" applyBorder="1" applyAlignment="1">
      <alignment horizontal="left"/>
    </xf>
    <xf numFmtId="49" fontId="34" fillId="37" borderId="10" xfId="228" applyNumberFormat="1" applyFont="1" applyFill="1" applyBorder="1" applyAlignment="1">
      <alignment horizontal="left"/>
    </xf>
    <xf numFmtId="164" fontId="36" fillId="13" borderId="10" xfId="78" applyNumberFormat="1" applyFont="1" applyFill="1" applyBorder="1" applyAlignment="1">
      <alignment horizontal="right"/>
    </xf>
    <xf numFmtId="0" fontId="9" fillId="36" borderId="16" xfId="228" applyFont="1" applyFill="1" applyBorder="1" applyAlignment="1" applyProtection="1">
      <alignment horizontal="right"/>
      <protection locked="0"/>
    </xf>
    <xf numFmtId="2" fontId="9" fillId="36" borderId="16" xfId="228" applyNumberFormat="1" applyFont="1" applyFill="1" applyBorder="1" applyAlignment="1" applyProtection="1">
      <alignment horizontal="right"/>
      <protection locked="0"/>
    </xf>
    <xf numFmtId="167" fontId="11" fillId="35" borderId="10" xfId="228" quotePrefix="1" applyNumberFormat="1" applyFont="1" applyFill="1" applyBorder="1" applyAlignment="1">
      <alignment horizontal="left" vertical="center" wrapText="1"/>
    </xf>
    <xf numFmtId="0" fontId="9" fillId="36" borderId="10" xfId="231" applyFont="1" applyFill="1" applyBorder="1" applyAlignment="1" applyProtection="1">
      <alignment horizontal="left" vertical="center"/>
      <protection locked="0"/>
    </xf>
    <xf numFmtId="164" fontId="9" fillId="39" borderId="10" xfId="231" applyNumberFormat="1" applyFont="1" applyFill="1" applyBorder="1" applyAlignment="1">
      <alignment horizontal="right"/>
    </xf>
    <xf numFmtId="10" fontId="9" fillId="39" borderId="10" xfId="231" applyNumberFormat="1" applyFont="1" applyFill="1" applyBorder="1" applyAlignment="1">
      <alignment horizontal="right"/>
    </xf>
    <xf numFmtId="10" fontId="9" fillId="13" borderId="10" xfId="78" applyNumberFormat="1" applyFont="1" applyFill="1" applyBorder="1" applyAlignment="1" applyProtection="1">
      <alignment horizontal="right"/>
    </xf>
    <xf numFmtId="164" fontId="36" fillId="13" borderId="10" xfId="78" applyNumberFormat="1" applyFont="1" applyFill="1" applyBorder="1" applyAlignment="1" applyProtection="1">
      <alignment horizontal="right"/>
    </xf>
    <xf numFmtId="164" fontId="9" fillId="35" borderId="10" xfId="78" applyNumberFormat="1" applyFont="1" applyFill="1" applyBorder="1" applyAlignment="1" applyProtection="1">
      <alignment horizontal="right"/>
    </xf>
    <xf numFmtId="164" fontId="9" fillId="36" borderId="10" xfId="78" applyNumberFormat="1" applyFont="1" applyFill="1" applyBorder="1" applyAlignment="1" applyProtection="1">
      <alignment horizontal="right" indent="1"/>
      <protection locked="0"/>
    </xf>
    <xf numFmtId="164" fontId="35" fillId="13" borderId="10" xfId="78" applyNumberFormat="1" applyFont="1" applyFill="1" applyBorder="1" applyAlignment="1" applyProtection="1">
      <alignment horizontal="right"/>
    </xf>
    <xf numFmtId="168" fontId="9" fillId="36" borderId="10" xfId="231" applyNumberFormat="1" applyFont="1" applyFill="1" applyBorder="1" applyAlignment="1" applyProtection="1">
      <alignment horizontal="center" vertical="center"/>
      <protection locked="0"/>
    </xf>
    <xf numFmtId="168" fontId="9" fillId="36" borderId="10" xfId="231" applyNumberFormat="1" applyFont="1" applyFill="1" applyBorder="1" applyAlignment="1" applyProtection="1">
      <alignment horizontal="center" vertical="center" wrapText="1"/>
      <protection locked="0"/>
    </xf>
    <xf numFmtId="49" fontId="53" fillId="37" borderId="0" xfId="152" applyFill="1">
      <alignment vertical="center"/>
    </xf>
    <xf numFmtId="167" fontId="34" fillId="35" borderId="10" xfId="228" quotePrefix="1" applyNumberFormat="1" applyFont="1" applyFill="1" applyBorder="1" applyAlignment="1">
      <alignment horizontal="left" vertical="center" wrapText="1"/>
    </xf>
    <xf numFmtId="49" fontId="34" fillId="37" borderId="10" xfId="228" applyNumberFormat="1" applyFont="1" applyFill="1" applyBorder="1"/>
    <xf numFmtId="173" fontId="36" fillId="13" borderId="10" xfId="80" applyNumberFormat="1" applyFont="1" applyFill="1" applyBorder="1" applyAlignment="1">
      <alignment horizontal="right"/>
    </xf>
    <xf numFmtId="173" fontId="36" fillId="13" borderId="10" xfId="80" applyNumberFormat="1" applyFont="1" applyFill="1" applyBorder="1" applyAlignment="1">
      <alignment horizontal="center" vertical="center"/>
    </xf>
    <xf numFmtId="1" fontId="9" fillId="36" borderId="16" xfId="228" applyNumberFormat="1" applyFont="1" applyFill="1" applyBorder="1" applyAlignment="1" applyProtection="1">
      <alignment horizontal="right"/>
      <protection locked="0"/>
    </xf>
    <xf numFmtId="14" fontId="9" fillId="36" borderId="16" xfId="228" applyNumberFormat="1" applyFont="1" applyFill="1" applyBorder="1" applyAlignment="1" applyProtection="1">
      <alignment horizontal="right"/>
      <protection locked="0"/>
    </xf>
    <xf numFmtId="164" fontId="6" fillId="38" borderId="10" xfId="78" applyNumberFormat="1" applyFont="1" applyFill="1" applyBorder="1" applyAlignment="1" applyProtection="1">
      <alignment horizontal="right"/>
    </xf>
    <xf numFmtId="0" fontId="46" fillId="0" borderId="19" xfId="0" applyFont="1" applyBorder="1"/>
    <xf numFmtId="0" fontId="46" fillId="0" borderId="20" xfId="0" applyFont="1" applyBorder="1"/>
    <xf numFmtId="0" fontId="46" fillId="0" borderId="21" xfId="0" applyFont="1" applyBorder="1"/>
    <xf numFmtId="0" fontId="46" fillId="0" borderId="17" xfId="0" applyFont="1" applyBorder="1"/>
    <xf numFmtId="0" fontId="46" fillId="0" borderId="18" xfId="0" applyFont="1" applyBorder="1"/>
    <xf numFmtId="0" fontId="46" fillId="0" borderId="0" xfId="0" applyFont="1"/>
    <xf numFmtId="0" fontId="46" fillId="0" borderId="22" xfId="0" applyFont="1" applyBorder="1"/>
    <xf numFmtId="0" fontId="46" fillId="0" borderId="23" xfId="0" applyFont="1" applyBorder="1" applyAlignment="1">
      <alignment horizontal="right" indent="2"/>
    </xf>
    <xf numFmtId="0" fontId="46" fillId="0" borderId="23" xfId="0" applyFont="1" applyBorder="1"/>
    <xf numFmtId="0" fontId="46" fillId="0" borderId="24" xfId="0" applyFont="1" applyBorder="1"/>
    <xf numFmtId="0" fontId="61" fillId="37" borderId="0" xfId="0" applyFont="1" applyFill="1" applyAlignment="1">
      <alignment horizontal="right" indent="2"/>
    </xf>
    <xf numFmtId="0" fontId="62" fillId="37" borderId="0" xfId="160" quotePrefix="1" applyFont="1" applyFill="1" applyBorder="1" applyAlignment="1" applyProtection="1"/>
    <xf numFmtId="0" fontId="62" fillId="37" borderId="0" xfId="0" quotePrefix="1" applyFont="1" applyFill="1" applyAlignment="1">
      <alignment horizontal="left"/>
    </xf>
    <xf numFmtId="0" fontId="63" fillId="39" borderId="0" xfId="160" quotePrefix="1" applyFont="1" applyFill="1" applyBorder="1" applyAlignment="1" applyProtection="1"/>
    <xf numFmtId="0" fontId="63" fillId="39" borderId="0" xfId="0" quotePrefix="1" applyFont="1" applyFill="1" applyAlignment="1">
      <alignment horizontal="left"/>
    </xf>
    <xf numFmtId="0" fontId="47" fillId="36" borderId="12" xfId="229" applyFont="1" applyFill="1" applyBorder="1" applyAlignment="1" applyProtection="1">
      <alignment horizontal="right" vertical="center"/>
      <protection locked="0"/>
    </xf>
    <xf numFmtId="0" fontId="49" fillId="40" borderId="0" xfId="0" applyFont="1" applyFill="1"/>
    <xf numFmtId="0" fontId="64" fillId="40" borderId="0" xfId="0" applyFont="1" applyFill="1"/>
    <xf numFmtId="0" fontId="9" fillId="36" borderId="10" xfId="233" applyFont="1" applyFill="1" applyBorder="1" applyAlignment="1" applyProtection="1">
      <alignment horizontal="right"/>
      <protection locked="0"/>
    </xf>
    <xf numFmtId="2" fontId="11" fillId="35" borderId="10" xfId="229" applyNumberFormat="1" applyFont="1" applyFill="1" applyBorder="1" applyAlignment="1">
      <alignment horizontal="center" vertical="center" wrapText="1"/>
    </xf>
    <xf numFmtId="41" fontId="11" fillId="35" borderId="10" xfId="229" applyNumberFormat="1" applyFont="1" applyFill="1" applyBorder="1" applyAlignment="1">
      <alignment horizontal="left" indent="1"/>
    </xf>
    <xf numFmtId="49" fontId="59" fillId="35" borderId="10" xfId="229" applyNumberFormat="1" applyFont="1" applyFill="1" applyBorder="1" applyAlignment="1">
      <alignment horizontal="left" vertical="center" wrapText="1"/>
    </xf>
    <xf numFmtId="10" fontId="9" fillId="0" borderId="0" xfId="218" applyNumberFormat="1"/>
    <xf numFmtId="166" fontId="36" fillId="38" borderId="10" xfId="80" applyNumberFormat="1" applyFont="1" applyFill="1" applyBorder="1" applyAlignment="1" applyProtection="1">
      <alignment horizontal="right"/>
    </xf>
    <xf numFmtId="49" fontId="59" fillId="35" borderId="10" xfId="229" applyNumberFormat="1" applyFont="1" applyFill="1" applyBorder="1"/>
    <xf numFmtId="171" fontId="36" fillId="13" borderId="10" xfId="80" applyNumberFormat="1" applyFont="1" applyFill="1" applyBorder="1" applyAlignment="1" applyProtection="1">
      <alignment horizontal="right"/>
    </xf>
    <xf numFmtId="164" fontId="36" fillId="13" borderId="10" xfId="80" applyNumberFormat="1" applyFont="1" applyFill="1" applyBorder="1" applyAlignment="1" applyProtection="1"/>
    <xf numFmtId="170" fontId="36" fillId="13" borderId="10" xfId="80" applyNumberFormat="1" applyFont="1" applyFill="1" applyBorder="1" applyAlignment="1" applyProtection="1"/>
    <xf numFmtId="0" fontId="9" fillId="0" borderId="0" xfId="218" applyAlignment="1">
      <alignment horizontal="left" vertical="center" wrapText="1"/>
    </xf>
    <xf numFmtId="49" fontId="11" fillId="35" borderId="10" xfId="229" applyNumberFormat="1" applyFont="1" applyFill="1" applyBorder="1" applyAlignment="1">
      <alignment horizontal="left" vertical="center" wrapText="1"/>
    </xf>
    <xf numFmtId="49" fontId="34" fillId="35" borderId="10" xfId="229" applyNumberFormat="1" applyFont="1" applyFill="1" applyBorder="1" applyAlignment="1">
      <alignment horizontal="left" vertical="center" wrapText="1"/>
    </xf>
    <xf numFmtId="172" fontId="36" fillId="13" borderId="25" xfId="80" applyNumberFormat="1" applyFont="1" applyFill="1" applyBorder="1" applyAlignment="1" applyProtection="1">
      <alignment horizontal="right"/>
    </xf>
    <xf numFmtId="172" fontId="36" fillId="13" borderId="26" xfId="80" applyNumberFormat="1" applyFont="1" applyFill="1" applyBorder="1" applyAlignment="1" applyProtection="1">
      <alignment horizontal="right"/>
    </xf>
    <xf numFmtId="172" fontId="36" fillId="13" borderId="27" xfId="80" applyNumberFormat="1" applyFont="1" applyFill="1" applyBorder="1" applyAlignment="1" applyProtection="1">
      <alignment horizontal="right"/>
    </xf>
    <xf numFmtId="172" fontId="36" fillId="13" borderId="10" xfId="80" applyNumberFormat="1" applyFont="1" applyFill="1" applyBorder="1" applyAlignment="1" applyProtection="1">
      <alignment horizontal="right"/>
    </xf>
    <xf numFmtId="172" fontId="36" fillId="13" borderId="28" xfId="80" applyNumberFormat="1" applyFont="1" applyFill="1" applyBorder="1" applyAlignment="1" applyProtection="1">
      <alignment horizontal="right"/>
    </xf>
    <xf numFmtId="172" fontId="36" fillId="13" borderId="29" xfId="80" applyNumberFormat="1" applyFont="1" applyFill="1" applyBorder="1" applyAlignment="1" applyProtection="1">
      <alignment horizontal="right"/>
    </xf>
    <xf numFmtId="49" fontId="11" fillId="35" borderId="29" xfId="229" applyNumberFormat="1" applyFont="1" applyFill="1" applyBorder="1" applyAlignment="1">
      <alignment horizontal="center" vertical="center" wrapText="1"/>
    </xf>
    <xf numFmtId="0" fontId="9" fillId="0" borderId="0" xfId="218" applyAlignment="1">
      <alignment horizontal="center" vertical="center"/>
    </xf>
    <xf numFmtId="49" fontId="34" fillId="35" borderId="15" xfId="229" applyNumberFormat="1" applyFont="1" applyFill="1" applyBorder="1" applyAlignment="1">
      <alignment horizontal="center" vertical="center"/>
    </xf>
    <xf numFmtId="0" fontId="7" fillId="39" borderId="0" xfId="229" applyFont="1" applyFill="1"/>
    <xf numFmtId="173" fontId="36" fillId="13" borderId="10" xfId="80" applyNumberFormat="1" applyFont="1" applyFill="1" applyBorder="1" applyAlignment="1" applyProtection="1">
      <alignment horizontal="right"/>
    </xf>
    <xf numFmtId="49" fontId="57" fillId="35" borderId="10" xfId="229" applyNumberFormat="1" applyFont="1" applyFill="1" applyBorder="1" applyAlignment="1">
      <alignment horizontal="center" vertical="center"/>
    </xf>
    <xf numFmtId="49" fontId="57" fillId="37" borderId="10" xfId="229" applyNumberFormat="1" applyFont="1" applyFill="1" applyBorder="1"/>
    <xf numFmtId="49" fontId="11" fillId="35" borderId="0" xfId="229" applyNumberFormat="1" applyFont="1" applyFill="1" applyAlignment="1">
      <alignment horizontal="left"/>
    </xf>
    <xf numFmtId="49" fontId="11" fillId="35" borderId="10" xfId="229" applyNumberFormat="1" applyFont="1" applyFill="1" applyBorder="1" applyAlignment="1">
      <alignment horizontal="left"/>
    </xf>
    <xf numFmtId="0" fontId="7" fillId="9" borderId="0" xfId="229" applyFont="1"/>
    <xf numFmtId="0" fontId="9" fillId="0" borderId="0" xfId="218"/>
    <xf numFmtId="0" fontId="9" fillId="9" borderId="0" xfId="229"/>
    <xf numFmtId="14" fontId="57" fillId="35" borderId="10" xfId="228" applyNumberFormat="1" applyFont="1" applyFill="1" applyBorder="1" applyAlignment="1">
      <alignment horizontal="right"/>
    </xf>
    <xf numFmtId="14" fontId="59" fillId="35" borderId="10" xfId="228" applyNumberFormat="1" applyFont="1" applyFill="1" applyBorder="1" applyAlignment="1">
      <alignment horizontal="right"/>
    </xf>
    <xf numFmtId="49" fontId="57" fillId="35" borderId="10" xfId="232" applyNumberFormat="1" applyFont="1" applyFill="1" applyBorder="1" applyAlignment="1">
      <alignment horizontal="left" vertical="center" wrapText="1"/>
    </xf>
    <xf numFmtId="0" fontId="65" fillId="0" borderId="0" xfId="0" applyFont="1"/>
    <xf numFmtId="0" fontId="0" fillId="0" borderId="0" xfId="0" applyAlignment="1">
      <alignment horizontal="left" vertical="center"/>
    </xf>
    <xf numFmtId="0" fontId="7" fillId="0" borderId="0" xfId="0" applyFont="1"/>
    <xf numFmtId="9" fontId="36" fillId="36" borderId="10" xfId="242" applyFont="1" applyFill="1" applyBorder="1" applyAlignment="1" applyProtection="1">
      <alignment horizontal="right"/>
      <protection locked="0"/>
    </xf>
    <xf numFmtId="10" fontId="36" fillId="36" borderId="10" xfId="242" applyNumberFormat="1" applyFont="1" applyFill="1" applyBorder="1" applyAlignment="1" applyProtection="1">
      <alignment horizontal="right"/>
      <protection locked="0"/>
    </xf>
    <xf numFmtId="49" fontId="34" fillId="35" borderId="0" xfId="229" applyNumberFormat="1" applyFont="1" applyFill="1" applyAlignment="1">
      <alignment horizontal="left" vertical="center" wrapText="1"/>
    </xf>
    <xf numFmtId="2" fontId="36" fillId="13" borderId="10" xfId="80" applyNumberFormat="1" applyFont="1" applyFill="1" applyBorder="1" applyAlignment="1" applyProtection="1">
      <alignment horizontal="right"/>
    </xf>
    <xf numFmtId="49" fontId="11" fillId="35" borderId="0" xfId="229" applyNumberFormat="1" applyFont="1" applyFill="1" applyAlignment="1">
      <alignment horizontal="left" vertical="center" wrapText="1"/>
    </xf>
    <xf numFmtId="10" fontId="9" fillId="38" borderId="10" xfId="80" applyNumberFormat="1" applyFont="1" applyFill="1" applyBorder="1" applyAlignment="1" applyProtection="1">
      <alignment horizontal="right"/>
    </xf>
    <xf numFmtId="0" fontId="33" fillId="9" borderId="0" xfId="227" applyFont="1" applyFill="1"/>
    <xf numFmtId="0" fontId="4" fillId="9" borderId="0" xfId="231"/>
    <xf numFmtId="0" fontId="5" fillId="9" borderId="0" xfId="231" applyFont="1"/>
    <xf numFmtId="166" fontId="7" fillId="9" borderId="0" xfId="231" applyNumberFormat="1" applyFont="1" applyAlignment="1">
      <alignment horizontal="left"/>
    </xf>
    <xf numFmtId="49" fontId="9" fillId="9" borderId="0" xfId="231" applyNumberFormat="1" applyFont="1"/>
    <xf numFmtId="164" fontId="9" fillId="38" borderId="10" xfId="231" applyNumberFormat="1" applyFont="1" applyFill="1" applyBorder="1" applyAlignment="1">
      <alignment horizontal="right"/>
    </xf>
    <xf numFmtId="166" fontId="7" fillId="0" borderId="0" xfId="231" applyNumberFormat="1" applyFont="1" applyFill="1" applyAlignment="1">
      <alignment horizontal="left"/>
    </xf>
    <xf numFmtId="164" fontId="9" fillId="9" borderId="0" xfId="231" applyNumberFormat="1" applyFont="1"/>
    <xf numFmtId="49" fontId="34" fillId="35" borderId="10" xfId="234" applyNumberFormat="1" applyFont="1" applyFill="1" applyBorder="1" applyAlignment="1">
      <alignment horizontal="left" vertical="center" wrapText="1"/>
    </xf>
    <xf numFmtId="0" fontId="66" fillId="0" borderId="0" xfId="0" applyFont="1" applyAlignment="1">
      <alignment vertical="center"/>
    </xf>
    <xf numFmtId="0" fontId="7" fillId="9" borderId="0" xfId="228" applyFont="1"/>
    <xf numFmtId="166" fontId="6" fillId="9" borderId="0" xfId="228" applyNumberFormat="1" applyFont="1" applyAlignment="1">
      <alignment horizontal="left"/>
    </xf>
    <xf numFmtId="164" fontId="9" fillId="9" borderId="0" xfId="228" applyNumberFormat="1" applyFont="1" applyAlignment="1">
      <alignment horizontal="center"/>
    </xf>
    <xf numFmtId="14" fontId="9" fillId="38" borderId="16" xfId="228" applyNumberFormat="1" applyFont="1" applyFill="1" applyBorder="1" applyAlignment="1">
      <alignment horizontal="center"/>
    </xf>
    <xf numFmtId="0" fontId="67" fillId="0" borderId="0" xfId="0" applyFont="1"/>
    <xf numFmtId="49" fontId="11" fillId="35" borderId="28" xfId="229" applyNumberFormat="1" applyFont="1" applyFill="1" applyBorder="1" applyAlignment="1">
      <alignment horizontal="center" vertical="center" wrapText="1"/>
    </xf>
    <xf numFmtId="0" fontId="4" fillId="9" borderId="0" xfId="226"/>
    <xf numFmtId="0" fontId="53" fillId="37" borderId="0" xfId="226" applyFont="1" applyFill="1" applyAlignment="1">
      <alignment vertical="center"/>
    </xf>
    <xf numFmtId="0" fontId="4" fillId="9" borderId="0" xfId="226" applyAlignment="1">
      <alignment horizontal="left" vertical="center"/>
    </xf>
    <xf numFmtId="0" fontId="68" fillId="35" borderId="0" xfId="226" applyFont="1" applyFill="1" applyAlignment="1">
      <alignment vertical="center"/>
    </xf>
    <xf numFmtId="0" fontId="69" fillId="35" borderId="0" xfId="226" applyFont="1" applyFill="1" applyAlignment="1">
      <alignment vertical="center"/>
    </xf>
    <xf numFmtId="0" fontId="59" fillId="35" borderId="0" xfId="226" applyFont="1" applyFill="1" applyAlignment="1">
      <alignment vertical="center"/>
    </xf>
    <xf numFmtId="0" fontId="6" fillId="9" borderId="0" xfId="226" applyFont="1"/>
    <xf numFmtId="0" fontId="70" fillId="35" borderId="17" xfId="226" applyFont="1" applyFill="1" applyBorder="1" applyAlignment="1">
      <alignment vertical="center"/>
    </xf>
    <xf numFmtId="0" fontId="70" fillId="35" borderId="0" xfId="226" applyFont="1" applyFill="1" applyAlignment="1">
      <alignment vertical="center"/>
    </xf>
    <xf numFmtId="0" fontId="70" fillId="37" borderId="0" xfId="226" applyFont="1" applyFill="1" applyAlignment="1">
      <alignment vertical="center"/>
    </xf>
    <xf numFmtId="0" fontId="70" fillId="37" borderId="18" xfId="226" applyFont="1" applyFill="1" applyBorder="1" applyAlignment="1">
      <alignment vertical="center"/>
    </xf>
    <xf numFmtId="2" fontId="7" fillId="9" borderId="0" xfId="226" applyNumberFormat="1" applyFont="1" applyAlignment="1">
      <alignment horizontal="left" vertical="center"/>
    </xf>
    <xf numFmtId="0" fontId="7" fillId="9" borderId="0" xfId="226" applyFont="1" applyAlignment="1">
      <alignment horizontal="left" vertical="center"/>
    </xf>
    <xf numFmtId="0" fontId="47" fillId="9" borderId="0" xfId="226" applyFont="1" applyAlignment="1">
      <alignment horizontal="right" vertical="center"/>
    </xf>
    <xf numFmtId="0" fontId="47" fillId="9" borderId="0" xfId="226" applyFont="1"/>
    <xf numFmtId="0" fontId="48" fillId="35" borderId="0" xfId="229" applyFont="1" applyFill="1"/>
    <xf numFmtId="0" fontId="47" fillId="35" borderId="0" xfId="229" applyFont="1" applyFill="1"/>
    <xf numFmtId="0" fontId="70" fillId="35" borderId="17" xfId="229" applyFont="1" applyFill="1" applyBorder="1" applyAlignment="1">
      <alignment horizontal="left" indent="1"/>
    </xf>
    <xf numFmtId="0" fontId="71" fillId="9" borderId="0" xfId="226" applyFont="1"/>
    <xf numFmtId="0" fontId="5" fillId="9" borderId="0" xfId="228" applyFont="1"/>
    <xf numFmtId="164" fontId="9" fillId="9" borderId="0" xfId="228" applyNumberFormat="1" applyFont="1"/>
    <xf numFmtId="39" fontId="9" fillId="9" borderId="0" xfId="228" applyNumberFormat="1" applyFont="1"/>
    <xf numFmtId="0" fontId="9" fillId="9" borderId="0" xfId="228" applyFont="1"/>
    <xf numFmtId="0" fontId="39" fillId="34" borderId="10" xfId="228" applyFont="1" applyFill="1" applyBorder="1"/>
    <xf numFmtId="0" fontId="9" fillId="41" borderId="0" xfId="228" applyFont="1" applyFill="1"/>
    <xf numFmtId="0" fontId="7" fillId="0" borderId="0" xfId="230" applyFont="1" applyFill="1" applyAlignment="1">
      <alignment vertical="center"/>
    </xf>
    <xf numFmtId="166" fontId="6" fillId="9" borderId="0" xfId="229" applyNumberFormat="1" applyFont="1" applyAlignment="1">
      <alignment horizontal="left"/>
    </xf>
    <xf numFmtId="49" fontId="9" fillId="9" borderId="0" xfId="229" applyNumberFormat="1"/>
    <xf numFmtId="2" fontId="9" fillId="9" borderId="0" xfId="229" applyNumberFormat="1"/>
    <xf numFmtId="49" fontId="34" fillId="35" borderId="10" xfId="229" applyNumberFormat="1" applyFont="1" applyFill="1" applyBorder="1" applyAlignment="1">
      <alignment horizontal="center" vertical="center" wrapText="1"/>
    </xf>
    <xf numFmtId="166" fontId="11" fillId="35" borderId="10" xfId="229" applyNumberFormat="1" applyFont="1" applyFill="1" applyBorder="1" applyAlignment="1">
      <alignment horizontal="left"/>
    </xf>
    <xf numFmtId="0" fontId="11" fillId="35" borderId="10" xfId="229" applyFont="1" applyFill="1" applyBorder="1"/>
    <xf numFmtId="0" fontId="9" fillId="36" borderId="10" xfId="80" applyNumberFormat="1" applyFont="1" applyFill="1" applyBorder="1" applyAlignment="1" applyProtection="1">
      <alignment horizontal="right"/>
    </xf>
    <xf numFmtId="0" fontId="34" fillId="35" borderId="10" xfId="229" applyFont="1" applyFill="1" applyBorder="1"/>
    <xf numFmtId="49" fontId="34" fillId="37" borderId="10" xfId="229" applyNumberFormat="1" applyFont="1" applyFill="1" applyBorder="1"/>
    <xf numFmtId="49" fontId="9" fillId="9" borderId="0" xfId="228" applyNumberFormat="1" applyFont="1"/>
    <xf numFmtId="0" fontId="59" fillId="35" borderId="10" xfId="229" applyFont="1" applyFill="1" applyBorder="1"/>
    <xf numFmtId="164" fontId="9" fillId="38" borderId="10" xfId="80" applyNumberFormat="1" applyFont="1" applyFill="1" applyBorder="1" applyAlignment="1" applyProtection="1">
      <alignment horizontal="right"/>
    </xf>
    <xf numFmtId="0" fontId="0" fillId="9" borderId="0" xfId="229" applyFont="1"/>
    <xf numFmtId="0" fontId="39" fillId="34" borderId="10" xfId="229" applyFont="1" applyFill="1" applyBorder="1"/>
    <xf numFmtId="0" fontId="4" fillId="9" borderId="0" xfId="231" applyAlignment="1">
      <alignment horizontal="center" vertical="center"/>
    </xf>
    <xf numFmtId="0" fontId="67" fillId="9" borderId="0" xfId="228" applyFont="1"/>
    <xf numFmtId="0" fontId="9" fillId="41" borderId="0" xfId="230" applyFont="1" applyFill="1" applyAlignment="1">
      <alignment vertical="center"/>
    </xf>
    <xf numFmtId="0" fontId="4" fillId="9" borderId="0" xfId="228" applyAlignment="1">
      <alignment horizontal="left" indent="1"/>
    </xf>
    <xf numFmtId="0" fontId="9" fillId="9" borderId="0" xfId="228" applyFont="1" applyAlignment="1">
      <alignment horizontal="left" indent="1"/>
    </xf>
    <xf numFmtId="43" fontId="4" fillId="9" borderId="0" xfId="228" applyNumberFormat="1"/>
    <xf numFmtId="49" fontId="11" fillId="35" borderId="14" xfId="231" applyNumberFormat="1" applyFont="1" applyFill="1" applyBorder="1" applyAlignment="1">
      <alignment horizontal="center"/>
    </xf>
    <xf numFmtId="2" fontId="11" fillId="35" borderId="10" xfId="78" applyNumberFormat="1" applyFont="1" applyFill="1" applyBorder="1" applyAlignment="1" applyProtection="1">
      <alignment horizontal="center" wrapText="1"/>
    </xf>
    <xf numFmtId="0" fontId="0" fillId="9" borderId="0" xfId="231" applyFont="1"/>
    <xf numFmtId="166" fontId="9" fillId="13" borderId="10" xfId="233" applyNumberFormat="1" applyFont="1" applyFill="1" applyBorder="1" applyAlignment="1">
      <alignment horizontal="right"/>
    </xf>
    <xf numFmtId="0" fontId="72" fillId="36" borderId="10" xfId="0" applyFont="1" applyFill="1" applyBorder="1" applyAlignment="1" applyProtection="1">
      <alignment horizontal="right"/>
      <protection locked="0"/>
    </xf>
    <xf numFmtId="0" fontId="6" fillId="9" borderId="0" xfId="231" applyFont="1" applyAlignment="1">
      <alignment horizontal="right"/>
    </xf>
    <xf numFmtId="0" fontId="4" fillId="9" borderId="0" xfId="231" applyAlignment="1">
      <alignment horizontal="right"/>
    </xf>
    <xf numFmtId="0" fontId="9" fillId="9" borderId="0" xfId="231" applyFont="1"/>
    <xf numFmtId="0" fontId="34" fillId="37" borderId="15" xfId="231" applyFont="1" applyFill="1" applyBorder="1" applyAlignment="1">
      <alignment horizontal="left"/>
    </xf>
    <xf numFmtId="10" fontId="9" fillId="36" borderId="10" xfId="78" applyNumberFormat="1" applyFont="1" applyFill="1" applyBorder="1" applyAlignment="1" applyProtection="1">
      <alignment horizontal="right"/>
      <protection locked="0"/>
    </xf>
    <xf numFmtId="49" fontId="59" fillId="35" borderId="10" xfId="229" applyNumberFormat="1" applyFont="1" applyFill="1" applyBorder="1" applyAlignment="1">
      <alignment vertical="center" wrapText="1"/>
    </xf>
    <xf numFmtId="49" fontId="34" fillId="35" borderId="31" xfId="229" applyNumberFormat="1" applyFont="1" applyFill="1" applyBorder="1" applyAlignment="1">
      <alignment horizontal="left" vertical="center" wrapText="1"/>
    </xf>
    <xf numFmtId="0" fontId="9" fillId="0" borderId="0" xfId="218" applyAlignment="1">
      <alignment vertical="center" wrapText="1"/>
    </xf>
    <xf numFmtId="168" fontId="9" fillId="36" borderId="10" xfId="231" applyNumberFormat="1" applyFont="1" applyFill="1" applyBorder="1" applyAlignment="1" applyProtection="1">
      <alignment horizontal="left" wrapText="1"/>
      <protection locked="0"/>
    </xf>
    <xf numFmtId="0" fontId="9" fillId="36" borderId="10" xfId="231" applyFont="1" applyFill="1" applyBorder="1" applyAlignment="1" applyProtection="1">
      <alignment horizontal="left" wrapText="1"/>
      <protection locked="0"/>
    </xf>
    <xf numFmtId="49" fontId="9" fillId="36" borderId="10" xfId="78" applyNumberFormat="1" applyFont="1" applyFill="1" applyBorder="1" applyAlignment="1" applyProtection="1">
      <alignment horizontal="right"/>
      <protection locked="0"/>
    </xf>
    <xf numFmtId="49" fontId="9" fillId="35" borderId="10" xfId="229" applyNumberFormat="1" applyFill="1" applyBorder="1" applyAlignment="1">
      <alignment horizontal="left"/>
    </xf>
    <xf numFmtId="49" fontId="9" fillId="36" borderId="10" xfId="231" applyNumberFormat="1" applyFont="1" applyFill="1" applyBorder="1" applyProtection="1">
      <protection locked="0"/>
    </xf>
    <xf numFmtId="49" fontId="34" fillId="13" borderId="15" xfId="231" applyNumberFormat="1" applyFont="1" applyFill="1" applyBorder="1" applyAlignment="1">
      <alignment horizontal="right"/>
    </xf>
    <xf numFmtId="49" fontId="60" fillId="35" borderId="10" xfId="229" applyNumberFormat="1" applyFont="1" applyFill="1" applyBorder="1" applyAlignment="1">
      <alignment horizontal="left"/>
    </xf>
    <xf numFmtId="49" fontId="34" fillId="35" borderId="10" xfId="229" quotePrefix="1" applyNumberFormat="1" applyFont="1" applyFill="1" applyBorder="1" applyAlignment="1">
      <alignment horizontal="center" vertical="center" wrapText="1"/>
    </xf>
    <xf numFmtId="49" fontId="60" fillId="35" borderId="10" xfId="233" applyNumberFormat="1" applyFont="1" applyFill="1" applyBorder="1" applyAlignment="1">
      <alignment horizontal="left"/>
    </xf>
    <xf numFmtId="49" fontId="9" fillId="36" borderId="10" xfId="233" applyNumberFormat="1" applyFont="1" applyFill="1" applyBorder="1" applyAlignment="1" applyProtection="1">
      <alignment horizontal="right"/>
      <protection locked="0"/>
    </xf>
    <xf numFmtId="49" fontId="9" fillId="13" borderId="10" xfId="233" applyNumberFormat="1" applyFont="1" applyFill="1" applyBorder="1" applyAlignment="1">
      <alignment horizontal="right"/>
    </xf>
    <xf numFmtId="49" fontId="57" fillId="35" borderId="10" xfId="233" applyNumberFormat="1" applyFont="1" applyFill="1" applyBorder="1" applyAlignment="1">
      <alignment horizontal="left"/>
    </xf>
    <xf numFmtId="49" fontId="9" fillId="36" borderId="10" xfId="233" applyNumberFormat="1" applyFont="1" applyFill="1" applyBorder="1" applyAlignment="1" applyProtection="1">
      <alignment vertical="top"/>
      <protection locked="0"/>
    </xf>
    <xf numFmtId="49" fontId="9" fillId="36" borderId="10" xfId="228" applyNumberFormat="1" applyFont="1" applyFill="1" applyBorder="1" applyAlignment="1" applyProtection="1">
      <alignment horizontal="center"/>
      <protection locked="0"/>
    </xf>
    <xf numFmtId="41" fontId="11" fillId="35" borderId="15" xfId="229" applyNumberFormat="1" applyFont="1" applyFill="1" applyBorder="1" applyAlignment="1" applyProtection="1">
      <alignment horizontal="left" indent="1"/>
      <protection locked="0"/>
    </xf>
    <xf numFmtId="174" fontId="6" fillId="13" borderId="10" xfId="80" applyNumberFormat="1" applyFont="1" applyFill="1" applyBorder="1" applyAlignment="1" applyProtection="1">
      <alignment horizontal="right"/>
    </xf>
    <xf numFmtId="0" fontId="59" fillId="35" borderId="42" xfId="0" applyFont="1" applyFill="1" applyBorder="1"/>
    <xf numFmtId="0" fontId="59" fillId="35" borderId="0" xfId="0" applyFont="1" applyFill="1" applyAlignment="1">
      <alignment horizontal="center"/>
    </xf>
    <xf numFmtId="0" fontId="59" fillId="35" borderId="0" xfId="0" applyFont="1" applyFill="1"/>
    <xf numFmtId="0" fontId="59" fillId="35" borderId="43" xfId="0" applyFont="1" applyFill="1" applyBorder="1"/>
    <xf numFmtId="14" fontId="0" fillId="0" borderId="0" xfId="0" applyNumberFormat="1"/>
    <xf numFmtId="0" fontId="47" fillId="9" borderId="0" xfId="226" applyFont="1" applyAlignment="1">
      <alignment horizontal="left" vertical="center"/>
    </xf>
    <xf numFmtId="0" fontId="48" fillId="35" borderId="0" xfId="229" applyFont="1" applyFill="1" applyAlignment="1">
      <alignment horizontal="right" indent="1"/>
    </xf>
    <xf numFmtId="2" fontId="34" fillId="35" borderId="10" xfId="229" applyNumberFormat="1" applyFont="1" applyFill="1" applyBorder="1" applyAlignment="1">
      <alignment horizontal="center" vertical="center" wrapText="1"/>
    </xf>
    <xf numFmtId="49" fontId="34" fillId="35" borderId="30" xfId="233" applyNumberFormat="1" applyFont="1" applyFill="1" applyBorder="1" applyAlignment="1">
      <alignment horizontal="center" vertical="center" wrapText="1"/>
    </xf>
    <xf numFmtId="49" fontId="34" fillId="35" borderId="0" xfId="233" applyNumberFormat="1" applyFont="1" applyFill="1" applyAlignment="1">
      <alignment horizontal="center" vertical="center" wrapText="1"/>
    </xf>
    <xf numFmtId="166" fontId="4" fillId="36" borderId="10" xfId="228" applyNumberFormat="1" applyFill="1" applyBorder="1" applyAlignment="1" applyProtection="1">
      <alignment horizontal="left" indent="1"/>
      <protection locked="0"/>
    </xf>
    <xf numFmtId="166" fontId="4" fillId="36" borderId="16" xfId="228" applyNumberFormat="1" applyFill="1" applyBorder="1" applyAlignment="1" applyProtection="1">
      <alignment horizontal="center"/>
      <protection locked="0"/>
    </xf>
    <xf numFmtId="164" fontId="4" fillId="36" borderId="10" xfId="231" applyNumberFormat="1" applyFill="1" applyBorder="1" applyAlignment="1" applyProtection="1">
      <alignment horizontal="right"/>
      <protection locked="0"/>
    </xf>
    <xf numFmtId="0" fontId="4" fillId="36" borderId="16" xfId="228" applyFill="1" applyBorder="1" applyAlignment="1" applyProtection="1">
      <alignment horizontal="center"/>
      <protection locked="0"/>
    </xf>
    <xf numFmtId="168" fontId="4" fillId="36" borderId="10" xfId="231" applyNumberFormat="1" applyFill="1" applyBorder="1" applyAlignment="1" applyProtection="1">
      <alignment horizontal="center" vertical="center" wrapText="1"/>
      <protection locked="0"/>
    </xf>
    <xf numFmtId="14" fontId="4" fillId="36" borderId="10" xfId="231" quotePrefix="1" applyNumberFormat="1" applyFill="1" applyBorder="1" applyAlignment="1" applyProtection="1">
      <alignment horizontal="center"/>
      <protection locked="0"/>
    </xf>
    <xf numFmtId="169" fontId="9" fillId="36" borderId="10" xfId="233" applyNumberFormat="1" applyFont="1" applyFill="1" applyBorder="1" applyAlignment="1" applyProtection="1">
      <alignment horizontal="center"/>
      <protection locked="0"/>
    </xf>
    <xf numFmtId="164" fontId="9" fillId="36" borderId="10" xfId="233" applyNumberFormat="1" applyFont="1" applyFill="1" applyBorder="1" applyAlignment="1" applyProtection="1">
      <alignment horizontal="right" vertical="center"/>
      <protection locked="0"/>
    </xf>
    <xf numFmtId="164" fontId="4" fillId="36" borderId="10" xfId="233" applyNumberFormat="1" applyFill="1" applyBorder="1" applyAlignment="1" applyProtection="1">
      <alignment horizontal="right" vertical="center"/>
      <protection locked="0"/>
    </xf>
    <xf numFmtId="0" fontId="4" fillId="36" borderId="10" xfId="231" applyFill="1" applyBorder="1" applyProtection="1">
      <protection locked="0"/>
    </xf>
    <xf numFmtId="164" fontId="4" fillId="36" borderId="10" xfId="78" quotePrefix="1" applyNumberFormat="1" applyFont="1" applyFill="1" applyBorder="1" applyAlignment="1" applyProtection="1">
      <protection locked="0"/>
    </xf>
    <xf numFmtId="169" fontId="4" fillId="36" borderId="10" xfId="233" applyNumberFormat="1" applyFill="1" applyBorder="1" applyAlignment="1" applyProtection="1">
      <alignment horizontal="center"/>
      <protection locked="0"/>
    </xf>
    <xf numFmtId="168" fontId="4" fillId="36" borderId="10" xfId="231" applyNumberFormat="1" applyFill="1" applyBorder="1" applyAlignment="1" applyProtection="1">
      <alignment horizontal="center" vertical="center"/>
      <protection locked="0"/>
    </xf>
    <xf numFmtId="168" fontId="4" fillId="36" borderId="10" xfId="231" applyNumberFormat="1" applyFill="1" applyBorder="1" applyProtection="1">
      <protection locked="0"/>
    </xf>
    <xf numFmtId="0" fontId="4" fillId="36" borderId="10" xfId="80" applyNumberFormat="1" applyFont="1" applyFill="1" applyBorder="1" applyAlignment="1" applyProtection="1">
      <alignment horizontal="center"/>
    </xf>
    <xf numFmtId="49" fontId="4" fillId="36" borderId="10" xfId="228" quotePrefix="1" applyNumberFormat="1" applyFill="1" applyBorder="1" applyAlignment="1" applyProtection="1">
      <alignment horizontal="center" vertical="center" wrapText="1"/>
      <protection locked="0"/>
    </xf>
    <xf numFmtId="49" fontId="4" fillId="36" borderId="10" xfId="78" applyNumberFormat="1" applyFont="1" applyFill="1" applyBorder="1" applyAlignment="1" applyProtection="1">
      <alignment horizontal="center"/>
      <protection locked="0"/>
    </xf>
    <xf numFmtId="49" fontId="4" fillId="36" borderId="10" xfId="78" applyNumberFormat="1" applyFont="1" applyFill="1" applyBorder="1" applyAlignment="1" applyProtection="1">
      <alignment horizontal="right"/>
      <protection locked="0"/>
    </xf>
    <xf numFmtId="49" fontId="4" fillId="36" borderId="10" xfId="80" applyNumberFormat="1" applyFont="1" applyFill="1" applyBorder="1" applyAlignment="1" applyProtection="1">
      <alignment horizontal="center"/>
      <protection locked="0"/>
    </xf>
    <xf numFmtId="49" fontId="0" fillId="36" borderId="10" xfId="80" applyNumberFormat="1" applyFont="1" applyFill="1" applyBorder="1" applyAlignment="1" applyProtection="1">
      <alignment horizontal="center"/>
      <protection locked="0"/>
    </xf>
    <xf numFmtId="49" fontId="4" fillId="36" borderId="10" xfId="231" applyNumberFormat="1" applyFill="1" applyBorder="1" applyAlignment="1" applyProtection="1">
      <alignment horizontal="center"/>
      <protection locked="0"/>
    </xf>
    <xf numFmtId="49" fontId="9" fillId="35" borderId="10" xfId="229" applyNumberFormat="1" applyFill="1" applyBorder="1" applyAlignment="1">
      <alignment horizontal="center"/>
    </xf>
    <xf numFmtId="49" fontId="0" fillId="36" borderId="10" xfId="78" applyNumberFormat="1" applyFont="1" applyFill="1" applyBorder="1" applyAlignment="1" applyProtection="1">
      <alignment horizontal="center"/>
      <protection locked="0"/>
    </xf>
    <xf numFmtId="49" fontId="4" fillId="36" borderId="10" xfId="233" applyNumberFormat="1" applyFill="1" applyBorder="1" applyAlignment="1" applyProtection="1">
      <alignment horizontal="center"/>
      <protection locked="0"/>
    </xf>
    <xf numFmtId="49" fontId="4" fillId="36" borderId="10" xfId="233" applyNumberFormat="1" applyFill="1" applyBorder="1" applyAlignment="1" applyProtection="1">
      <alignment horizontal="center" vertical="top"/>
      <protection locked="0"/>
    </xf>
    <xf numFmtId="168" fontId="4" fillId="36" borderId="10" xfId="231" applyNumberFormat="1" applyFill="1" applyBorder="1" applyAlignment="1" applyProtection="1">
      <alignment horizontal="center"/>
      <protection locked="0"/>
    </xf>
    <xf numFmtId="0" fontId="4" fillId="36" borderId="10" xfId="231" applyFill="1" applyBorder="1" applyAlignment="1" applyProtection="1">
      <alignment horizontal="center"/>
      <protection locked="0"/>
    </xf>
    <xf numFmtId="49" fontId="4" fillId="36" borderId="10" xfId="228" applyNumberFormat="1" applyFill="1" applyBorder="1" applyAlignment="1" applyProtection="1">
      <alignment horizontal="center"/>
      <protection locked="0"/>
    </xf>
    <xf numFmtId="0" fontId="4" fillId="36" borderId="10" xfId="80" applyNumberFormat="1" applyFont="1" applyFill="1" applyBorder="1" applyAlignment="1" applyProtection="1">
      <alignment horizontal="right"/>
    </xf>
    <xf numFmtId="49" fontId="9" fillId="36" borderId="10" xfId="231" applyNumberFormat="1" applyFont="1" applyFill="1" applyBorder="1" applyAlignment="1" applyProtection="1">
      <alignment horizontal="center"/>
      <protection locked="0"/>
    </xf>
    <xf numFmtId="14" fontId="4" fillId="36" borderId="10" xfId="231" applyNumberFormat="1" applyFill="1" applyBorder="1" applyAlignment="1" applyProtection="1">
      <alignment horizontal="center"/>
      <protection locked="0"/>
    </xf>
    <xf numFmtId="0" fontId="9" fillId="36" borderId="10" xfId="233" applyFont="1" applyFill="1" applyBorder="1" applyAlignment="1" applyProtection="1">
      <alignment horizontal="center"/>
      <protection locked="0"/>
    </xf>
    <xf numFmtId="0" fontId="47" fillId="36" borderId="15" xfId="229" applyFont="1" applyFill="1" applyBorder="1" applyAlignment="1" applyProtection="1">
      <alignment horizontal="right" vertical="center"/>
      <protection locked="0"/>
    </xf>
    <xf numFmtId="0" fontId="47" fillId="36" borderId="32" xfId="229" applyFont="1" applyFill="1" applyBorder="1" applyAlignment="1" applyProtection="1">
      <alignment horizontal="right" vertical="center"/>
      <protection locked="0"/>
    </xf>
    <xf numFmtId="0" fontId="47" fillId="36" borderId="16" xfId="229" applyFont="1" applyFill="1" applyBorder="1" applyAlignment="1" applyProtection="1">
      <alignment horizontal="right" vertical="center"/>
      <protection locked="0"/>
    </xf>
    <xf numFmtId="0" fontId="73" fillId="35" borderId="19" xfId="229" applyFont="1" applyFill="1" applyBorder="1" applyAlignment="1">
      <alignment horizontal="center"/>
    </xf>
    <xf numFmtId="0" fontId="73" fillId="35" borderId="20" xfId="229" applyFont="1" applyFill="1" applyBorder="1" applyAlignment="1">
      <alignment horizontal="center"/>
    </xf>
    <xf numFmtId="0" fontId="73" fillId="35" borderId="21" xfId="229" applyFont="1" applyFill="1" applyBorder="1" applyAlignment="1">
      <alignment horizontal="center"/>
    </xf>
    <xf numFmtId="0" fontId="70" fillId="35" borderId="17" xfId="229" applyFont="1" applyFill="1" applyBorder="1" applyAlignment="1">
      <alignment horizontal="left" vertical="top"/>
    </xf>
    <xf numFmtId="49" fontId="7" fillId="36" borderId="32" xfId="226" applyNumberFormat="1" applyFont="1" applyFill="1" applyBorder="1" applyAlignment="1" applyProtection="1">
      <alignment horizontal="right" vertical="center"/>
      <protection locked="0"/>
    </xf>
    <xf numFmtId="49" fontId="47" fillId="36" borderId="32" xfId="225" applyNumberFormat="1" applyFont="1" applyFill="1" applyBorder="1" applyAlignment="1" applyProtection="1">
      <alignment horizontal="right" vertical="center"/>
      <protection locked="0"/>
    </xf>
    <xf numFmtId="49" fontId="47" fillId="36" borderId="16" xfId="225" applyNumberFormat="1" applyFont="1" applyFill="1" applyBorder="1" applyAlignment="1" applyProtection="1">
      <alignment horizontal="right" vertical="center"/>
      <protection locked="0"/>
    </xf>
    <xf numFmtId="0" fontId="70" fillId="35" borderId="30" xfId="226" applyFont="1" applyFill="1" applyBorder="1" applyAlignment="1">
      <alignment horizontal="left" vertical="center" wrapText="1"/>
    </xf>
    <xf numFmtId="0" fontId="70" fillId="35" borderId="0" xfId="226" applyFont="1" applyFill="1" applyAlignment="1">
      <alignment horizontal="left" vertical="center" wrapText="1"/>
    </xf>
    <xf numFmtId="0" fontId="70" fillId="35" borderId="15" xfId="226" applyFont="1" applyFill="1" applyBorder="1" applyAlignment="1">
      <alignment horizontal="left" vertical="center"/>
    </xf>
    <xf numFmtId="0" fontId="70" fillId="35" borderId="16" xfId="226" applyFont="1" applyFill="1" applyBorder="1" applyAlignment="1">
      <alignment horizontal="left" vertical="center"/>
    </xf>
    <xf numFmtId="14" fontId="7" fillId="36" borderId="32" xfId="226" applyNumberFormat="1" applyFont="1" applyFill="1" applyBorder="1" applyAlignment="1" applyProtection="1">
      <alignment horizontal="right" vertical="center"/>
      <protection locked="0"/>
    </xf>
    <xf numFmtId="14" fontId="47" fillId="36" borderId="32" xfId="225" applyNumberFormat="1" applyFont="1" applyFill="1" applyBorder="1" applyAlignment="1" applyProtection="1">
      <alignment horizontal="right" vertical="center"/>
      <protection locked="0"/>
    </xf>
    <xf numFmtId="14" fontId="47" fillId="36" borderId="16" xfId="225" applyNumberFormat="1" applyFont="1" applyFill="1" applyBorder="1" applyAlignment="1" applyProtection="1">
      <alignment horizontal="right" vertical="center"/>
      <protection locked="0"/>
    </xf>
    <xf numFmtId="0" fontId="7" fillId="36" borderId="10" xfId="226" applyFont="1" applyFill="1" applyBorder="1" applyAlignment="1" applyProtection="1">
      <alignment horizontal="right" vertical="center"/>
      <protection locked="0"/>
    </xf>
    <xf numFmtId="0" fontId="47" fillId="36" borderId="10" xfId="226" applyFont="1" applyFill="1" applyBorder="1" applyAlignment="1" applyProtection="1">
      <alignment horizontal="right" vertical="center"/>
      <protection locked="0"/>
    </xf>
    <xf numFmtId="0" fontId="70" fillId="35" borderId="32" xfId="226" applyFont="1" applyFill="1" applyBorder="1" applyAlignment="1">
      <alignment horizontal="left" vertical="center"/>
    </xf>
    <xf numFmtId="0" fontId="7" fillId="36" borderId="32" xfId="226" applyFont="1" applyFill="1" applyBorder="1" applyAlignment="1" applyProtection="1">
      <alignment horizontal="right" vertical="center"/>
      <protection locked="0"/>
    </xf>
    <xf numFmtId="0" fontId="47" fillId="36" borderId="32" xfId="225" applyFont="1" applyFill="1" applyBorder="1" applyAlignment="1" applyProtection="1">
      <alignment horizontal="right" vertical="center"/>
      <protection locked="0"/>
    </xf>
    <xf numFmtId="0" fontId="47" fillId="36" borderId="16" xfId="225" applyFont="1" applyFill="1" applyBorder="1" applyAlignment="1" applyProtection="1">
      <alignment horizontal="right" vertical="center"/>
      <protection locked="0"/>
    </xf>
    <xf numFmtId="0" fontId="70" fillId="35" borderId="0" xfId="226" applyFont="1" applyFill="1" applyAlignment="1">
      <alignment horizontal="left" vertical="center"/>
    </xf>
    <xf numFmtId="0" fontId="48" fillId="35" borderId="0" xfId="229" applyFont="1" applyFill="1" applyAlignment="1">
      <alignment horizontal="right" indent="1"/>
    </xf>
    <xf numFmtId="0" fontId="48" fillId="35" borderId="31" xfId="229" applyFont="1" applyFill="1" applyBorder="1" applyAlignment="1">
      <alignment horizontal="right" indent="1"/>
    </xf>
    <xf numFmtId="0" fontId="73" fillId="35" borderId="22" xfId="229" applyFont="1" applyFill="1" applyBorder="1" applyAlignment="1">
      <alignment horizontal="center"/>
    </xf>
    <xf numFmtId="0" fontId="73" fillId="35" borderId="23" xfId="229" applyFont="1" applyFill="1" applyBorder="1" applyAlignment="1">
      <alignment horizontal="center"/>
    </xf>
    <xf numFmtId="0" fontId="73" fillId="35" borderId="24" xfId="229" applyFont="1" applyFill="1" applyBorder="1" applyAlignment="1">
      <alignment horizontal="center"/>
    </xf>
    <xf numFmtId="0" fontId="70" fillId="35" borderId="22" xfId="229" applyFont="1" applyFill="1" applyBorder="1" applyAlignment="1">
      <alignment horizontal="left" vertical="top"/>
    </xf>
    <xf numFmtId="0" fontId="73" fillId="35" borderId="23" xfId="229" applyFont="1" applyFill="1" applyBorder="1" applyAlignment="1">
      <alignment horizontal="center" vertical="center"/>
    </xf>
    <xf numFmtId="0" fontId="73" fillId="35" borderId="24" xfId="229" applyFont="1" applyFill="1" applyBorder="1" applyAlignment="1">
      <alignment horizontal="center" vertical="center"/>
    </xf>
    <xf numFmtId="0" fontId="48" fillId="35" borderId="18" xfId="229" applyFont="1" applyFill="1" applyBorder="1" applyAlignment="1">
      <alignment horizontal="center"/>
    </xf>
    <xf numFmtId="0" fontId="48" fillId="35" borderId="0" xfId="229" applyFont="1" applyFill="1" applyAlignment="1">
      <alignment horizontal="center"/>
    </xf>
    <xf numFmtId="0" fontId="47" fillId="36" borderId="10" xfId="229" applyFont="1" applyFill="1" applyBorder="1" applyAlignment="1" applyProtection="1">
      <alignment horizontal="right" vertical="center"/>
      <protection locked="0"/>
    </xf>
    <xf numFmtId="0" fontId="47" fillId="35" borderId="30" xfId="229" applyFont="1" applyFill="1" applyBorder="1" applyAlignment="1">
      <alignment horizontal="center"/>
    </xf>
    <xf numFmtId="0" fontId="47" fillId="35" borderId="18" xfId="229" applyFont="1" applyFill="1" applyBorder="1" applyAlignment="1">
      <alignment horizontal="center"/>
    </xf>
    <xf numFmtId="0" fontId="47" fillId="9" borderId="32" xfId="229" applyFont="1" applyBorder="1" applyAlignment="1" applyProtection="1">
      <alignment horizontal="right" vertical="center"/>
      <protection locked="0"/>
    </xf>
    <xf numFmtId="0" fontId="47" fillId="9" borderId="16" xfId="229" applyFont="1" applyBorder="1" applyAlignment="1" applyProtection="1">
      <alignment horizontal="right" vertical="center"/>
      <protection locked="0"/>
    </xf>
    <xf numFmtId="0" fontId="47" fillId="36" borderId="15" xfId="229" quotePrefix="1" applyFont="1" applyFill="1" applyBorder="1" applyAlignment="1" applyProtection="1">
      <alignment horizontal="right" vertical="center"/>
      <protection locked="0"/>
    </xf>
    <xf numFmtId="0" fontId="7" fillId="9" borderId="19" xfId="226" applyFont="1" applyBorder="1" applyAlignment="1">
      <alignment horizontal="left" vertical="center"/>
    </xf>
    <xf numFmtId="0" fontId="47" fillId="9" borderId="20" xfId="226" applyFont="1" applyBorder="1" applyAlignment="1">
      <alignment horizontal="left" vertical="center"/>
    </xf>
    <xf numFmtId="0" fontId="47" fillId="9" borderId="21" xfId="226" applyFont="1" applyBorder="1" applyAlignment="1">
      <alignment horizontal="left" vertical="center"/>
    </xf>
    <xf numFmtId="164" fontId="7" fillId="13" borderId="22" xfId="52" applyFont="1" applyBorder="1" applyAlignment="1">
      <alignment horizontal="left" vertical="center"/>
    </xf>
    <xf numFmtId="0" fontId="47" fillId="9" borderId="23" xfId="226" applyFont="1" applyBorder="1" applyAlignment="1">
      <alignment horizontal="left" vertical="center"/>
    </xf>
    <xf numFmtId="0" fontId="47" fillId="9" borderId="24" xfId="226" applyFont="1" applyBorder="1" applyAlignment="1">
      <alignment horizontal="left" vertical="center"/>
    </xf>
    <xf numFmtId="164" fontId="7" fillId="36" borderId="17" xfId="163" applyFont="1" applyFill="1" applyBorder="1" applyAlignment="1" applyProtection="1">
      <alignment horizontal="left" vertical="center"/>
    </xf>
    <xf numFmtId="0" fontId="47" fillId="36" borderId="0" xfId="226" applyFont="1" applyFill="1" applyAlignment="1">
      <alignment horizontal="left" vertical="center"/>
    </xf>
    <xf numFmtId="0" fontId="47" fillId="36" borderId="18" xfId="226" applyFont="1" applyFill="1" applyBorder="1" applyAlignment="1">
      <alignment horizontal="left" vertical="center"/>
    </xf>
    <xf numFmtId="0" fontId="47" fillId="0" borderId="0" xfId="226" applyFont="1" applyFill="1" applyAlignment="1">
      <alignment horizontal="left" vertical="center"/>
    </xf>
    <xf numFmtId="0" fontId="47" fillId="9" borderId="0" xfId="226" applyFont="1" applyAlignment="1">
      <alignment horizontal="left" vertical="center"/>
    </xf>
    <xf numFmtId="0" fontId="7" fillId="0" borderId="0" xfId="226" applyFont="1" applyFill="1" applyAlignment="1">
      <alignment horizontal="right" vertical="center"/>
    </xf>
    <xf numFmtId="0" fontId="47" fillId="0" borderId="0" xfId="225" applyFont="1" applyFill="1" applyAlignment="1">
      <alignment horizontal="right" vertical="center"/>
    </xf>
    <xf numFmtId="0" fontId="7" fillId="36" borderId="32" xfId="226" applyFont="1" applyFill="1" applyBorder="1" applyAlignment="1" applyProtection="1">
      <alignment horizontal="right" vertical="center" wrapText="1"/>
      <protection locked="0"/>
    </xf>
    <xf numFmtId="0" fontId="47" fillId="36" borderId="32" xfId="225" applyFont="1" applyFill="1" applyBorder="1" applyAlignment="1" applyProtection="1">
      <alignment horizontal="right" vertical="center" wrapText="1"/>
      <protection locked="0"/>
    </xf>
    <xf numFmtId="0" fontId="47" fillId="36" borderId="16" xfId="225" applyFont="1" applyFill="1" applyBorder="1" applyAlignment="1" applyProtection="1">
      <alignment horizontal="right" vertical="center" wrapText="1"/>
      <protection locked="0"/>
    </xf>
    <xf numFmtId="0" fontId="7" fillId="36" borderId="10" xfId="226" applyFont="1" applyFill="1" applyBorder="1" applyAlignment="1" applyProtection="1">
      <alignment horizontal="right" vertical="center" wrapText="1"/>
      <protection locked="0"/>
    </xf>
    <xf numFmtId="0" fontId="47" fillId="36" borderId="10" xfId="226" applyFont="1" applyFill="1" applyBorder="1" applyAlignment="1" applyProtection="1">
      <alignment horizontal="right" vertical="center" wrapText="1"/>
      <protection locked="0"/>
    </xf>
    <xf numFmtId="0" fontId="74" fillId="39" borderId="0" xfId="0" applyFont="1" applyFill="1" applyAlignment="1">
      <alignment horizontal="center"/>
    </xf>
    <xf numFmtId="49" fontId="34" fillId="35" borderId="15" xfId="229" applyNumberFormat="1" applyFont="1" applyFill="1" applyBorder="1" applyAlignment="1">
      <alignment horizontal="center" vertical="center"/>
    </xf>
    <xf numFmtId="49" fontId="34" fillId="35" borderId="16" xfId="229" applyNumberFormat="1" applyFont="1" applyFill="1" applyBorder="1" applyAlignment="1">
      <alignment horizontal="center" vertical="center"/>
    </xf>
    <xf numFmtId="49" fontId="34" fillId="35" borderId="33" xfId="229" applyNumberFormat="1" applyFont="1" applyFill="1" applyBorder="1" applyAlignment="1">
      <alignment horizontal="center" vertical="center"/>
    </xf>
    <xf numFmtId="49" fontId="34" fillId="35" borderId="11" xfId="229" applyNumberFormat="1" applyFont="1" applyFill="1" applyBorder="1" applyAlignment="1">
      <alignment horizontal="center" vertical="center"/>
    </xf>
    <xf numFmtId="2" fontId="34" fillId="35" borderId="11" xfId="228" applyNumberFormat="1" applyFont="1" applyFill="1" applyBorder="1" applyAlignment="1">
      <alignment horizontal="center" vertical="center" wrapText="1"/>
    </xf>
    <xf numFmtId="2" fontId="34" fillId="35" borderId="13" xfId="228" applyNumberFormat="1" applyFont="1" applyFill="1" applyBorder="1" applyAlignment="1">
      <alignment horizontal="center" vertical="center" wrapText="1"/>
    </xf>
    <xf numFmtId="2" fontId="34" fillId="35" borderId="15" xfId="228" applyNumberFormat="1" applyFont="1" applyFill="1" applyBorder="1" applyAlignment="1">
      <alignment horizontal="center" vertical="center" wrapText="1"/>
    </xf>
    <xf numFmtId="2" fontId="34" fillId="35" borderId="32" xfId="228" applyNumberFormat="1" applyFont="1" applyFill="1" applyBorder="1" applyAlignment="1">
      <alignment horizontal="center" vertical="center" wrapText="1"/>
    </xf>
    <xf numFmtId="2" fontId="34" fillId="35" borderId="15" xfId="229" applyNumberFormat="1" applyFont="1" applyFill="1" applyBorder="1" applyAlignment="1">
      <alignment horizontal="center" vertical="center" wrapText="1"/>
    </xf>
    <xf numFmtId="2" fontId="34" fillId="35" borderId="32" xfId="229" applyNumberFormat="1" applyFont="1" applyFill="1" applyBorder="1" applyAlignment="1">
      <alignment horizontal="center" vertical="center" wrapText="1"/>
    </xf>
    <xf numFmtId="2" fontId="34" fillId="35" borderId="16" xfId="229" applyNumberFormat="1" applyFont="1" applyFill="1" applyBorder="1" applyAlignment="1">
      <alignment horizontal="center" vertical="center" wrapText="1"/>
    </xf>
    <xf numFmtId="167" fontId="34" fillId="35" borderId="15" xfId="228" quotePrefix="1" applyNumberFormat="1" applyFont="1" applyFill="1" applyBorder="1" applyAlignment="1">
      <alignment horizontal="left" vertical="center" wrapText="1"/>
    </xf>
    <xf numFmtId="167" fontId="34" fillId="35" borderId="16" xfId="228" quotePrefix="1" applyNumberFormat="1" applyFont="1" applyFill="1" applyBorder="1" applyAlignment="1">
      <alignment horizontal="left" vertical="center" wrapText="1"/>
    </xf>
    <xf numFmtId="0" fontId="7" fillId="39" borderId="0" xfId="0" applyFont="1" applyFill="1" applyAlignment="1">
      <alignment horizontal="left" vertical="top" wrapText="1"/>
    </xf>
    <xf numFmtId="49" fontId="11" fillId="35" borderId="15" xfId="228" applyNumberFormat="1" applyFont="1" applyFill="1" applyBorder="1" applyAlignment="1">
      <alignment horizontal="left" wrapText="1"/>
    </xf>
    <xf numFmtId="49" fontId="11" fillId="35" borderId="16" xfId="228" applyNumberFormat="1" applyFont="1" applyFill="1" applyBorder="1" applyAlignment="1">
      <alignment horizontal="left" wrapText="1"/>
    </xf>
    <xf numFmtId="0" fontId="7" fillId="0" borderId="0" xfId="230" applyFont="1" applyFill="1" applyAlignment="1">
      <alignment horizontal="left" vertical="center"/>
    </xf>
    <xf numFmtId="0" fontId="53" fillId="32" borderId="0" xfId="151" applyAlignment="1">
      <alignment horizontal="left" vertical="top" wrapText="1"/>
    </xf>
    <xf numFmtId="2" fontId="34" fillId="35" borderId="10" xfId="229" applyNumberFormat="1" applyFont="1" applyFill="1" applyBorder="1" applyAlignment="1">
      <alignment horizontal="center" vertical="center" wrapText="1"/>
    </xf>
    <xf numFmtId="0" fontId="7" fillId="39" borderId="0" xfId="0" applyFont="1" applyFill="1" applyAlignment="1">
      <alignment horizontal="left" vertical="center" wrapText="1"/>
    </xf>
    <xf numFmtId="0" fontId="34" fillId="37" borderId="32" xfId="231" applyFont="1" applyFill="1" applyBorder="1" applyAlignment="1">
      <alignment horizontal="left"/>
    </xf>
    <xf numFmtId="0" fontId="34" fillId="37" borderId="16" xfId="231" applyFont="1" applyFill="1" applyBorder="1" applyAlignment="1">
      <alignment horizontal="left"/>
    </xf>
    <xf numFmtId="49" fontId="34" fillId="35" borderId="30" xfId="233" applyNumberFormat="1" applyFont="1" applyFill="1" applyBorder="1" applyAlignment="1">
      <alignment horizontal="center" vertical="center" wrapText="1"/>
    </xf>
    <xf numFmtId="49" fontId="34" fillId="35" borderId="0" xfId="233" applyNumberFormat="1" applyFont="1" applyFill="1" applyAlignment="1">
      <alignment horizontal="center" vertical="center" wrapText="1"/>
    </xf>
    <xf numFmtId="49" fontId="34" fillId="35" borderId="15" xfId="233" applyNumberFormat="1" applyFont="1" applyFill="1" applyBorder="1" applyAlignment="1">
      <alignment horizontal="center" vertical="center" wrapText="1"/>
    </xf>
    <xf numFmtId="49" fontId="34" fillId="35" borderId="16" xfId="233" applyNumberFormat="1" applyFont="1" applyFill="1" applyBorder="1" applyAlignment="1">
      <alignment horizontal="center" vertical="center" wrapText="1"/>
    </xf>
    <xf numFmtId="49" fontId="57" fillId="37" borderId="33" xfId="228" applyNumberFormat="1" applyFont="1" applyFill="1" applyBorder="1" applyAlignment="1">
      <alignment horizontal="left"/>
    </xf>
    <xf numFmtId="49" fontId="57" fillId="37" borderId="34" xfId="228" applyNumberFormat="1" applyFont="1" applyFill="1" applyBorder="1" applyAlignment="1">
      <alignment horizontal="left"/>
    </xf>
    <xf numFmtId="168" fontId="57" fillId="37" borderId="15" xfId="231" applyNumberFormat="1" applyFont="1" applyFill="1" applyBorder="1" applyAlignment="1">
      <alignment horizontal="left"/>
    </xf>
    <xf numFmtId="168" fontId="57" fillId="37" borderId="32" xfId="231" applyNumberFormat="1" applyFont="1" applyFill="1" applyBorder="1" applyAlignment="1">
      <alignment horizontal="left"/>
    </xf>
    <xf numFmtId="168" fontId="57" fillId="37" borderId="16" xfId="231" applyNumberFormat="1" applyFont="1" applyFill="1" applyBorder="1" applyAlignment="1">
      <alignment horizontal="left"/>
    </xf>
    <xf numFmtId="49" fontId="11" fillId="35" borderId="38" xfId="229" applyNumberFormat="1" applyFont="1" applyFill="1" applyBorder="1" applyAlignment="1">
      <alignment horizontal="center" vertical="center" wrapText="1"/>
    </xf>
    <xf numFmtId="49" fontId="11" fillId="35" borderId="39" xfId="229" applyNumberFormat="1" applyFont="1" applyFill="1" applyBorder="1" applyAlignment="1">
      <alignment horizontal="center" vertical="center" wrapText="1"/>
    </xf>
    <xf numFmtId="49" fontId="11" fillId="35" borderId="40" xfId="229" applyNumberFormat="1" applyFont="1" applyFill="1" applyBorder="1" applyAlignment="1">
      <alignment horizontal="center" vertical="center" wrapText="1"/>
    </xf>
    <xf numFmtId="49" fontId="11" fillId="35" borderId="41" xfId="229" applyNumberFormat="1" applyFont="1" applyFill="1" applyBorder="1" applyAlignment="1">
      <alignment horizontal="center" vertical="center" wrapText="1"/>
    </xf>
    <xf numFmtId="49" fontId="59" fillId="35" borderId="14" xfId="229" applyNumberFormat="1" applyFont="1" applyFill="1" applyBorder="1" applyAlignment="1">
      <alignment horizontal="center" vertical="center"/>
    </xf>
    <xf numFmtId="49" fontId="59" fillId="35" borderId="12" xfId="229" applyNumberFormat="1" applyFont="1" applyFill="1" applyBorder="1" applyAlignment="1">
      <alignment horizontal="center" vertical="center"/>
    </xf>
    <xf numFmtId="49" fontId="34" fillId="35" borderId="35" xfId="229" applyNumberFormat="1" applyFont="1" applyFill="1" applyBorder="1" applyAlignment="1">
      <alignment horizontal="center" vertical="center" wrapText="1"/>
    </xf>
    <xf numFmtId="49" fontId="34" fillId="35" borderId="36" xfId="229" applyNumberFormat="1" applyFont="1" applyFill="1" applyBorder="1" applyAlignment="1">
      <alignment horizontal="center" vertical="center" wrapText="1"/>
    </xf>
    <xf numFmtId="49" fontId="75" fillId="35" borderId="35" xfId="229" applyNumberFormat="1" applyFont="1" applyFill="1" applyBorder="1" applyAlignment="1">
      <alignment horizontal="center" vertical="center" wrapText="1"/>
    </xf>
    <xf numFmtId="49" fontId="75" fillId="35" borderId="36" xfId="229" applyNumberFormat="1" applyFont="1" applyFill="1" applyBorder="1" applyAlignment="1">
      <alignment horizontal="center" vertical="center" wrapText="1"/>
    </xf>
    <xf numFmtId="49" fontId="34" fillId="35" borderId="19" xfId="229" applyNumberFormat="1" applyFont="1" applyFill="1" applyBorder="1" applyAlignment="1">
      <alignment horizontal="center" vertical="center" wrapText="1"/>
    </xf>
    <xf numFmtId="49" fontId="34" fillId="35" borderId="20" xfId="229" applyNumberFormat="1" applyFont="1" applyFill="1" applyBorder="1" applyAlignment="1">
      <alignment horizontal="center" vertical="center" wrapText="1"/>
    </xf>
    <xf numFmtId="49" fontId="34" fillId="35" borderId="21" xfId="229" applyNumberFormat="1" applyFont="1" applyFill="1" applyBorder="1" applyAlignment="1">
      <alignment horizontal="center" vertical="center" wrapText="1"/>
    </xf>
    <xf numFmtId="49" fontId="34" fillId="35" borderId="37" xfId="229" applyNumberFormat="1" applyFont="1" applyFill="1" applyBorder="1" applyAlignment="1">
      <alignment horizontal="center" vertical="center" wrapText="1"/>
    </xf>
    <xf numFmtId="49" fontId="11" fillId="35" borderId="14" xfId="229" applyNumberFormat="1" applyFont="1" applyFill="1" applyBorder="1" applyAlignment="1">
      <alignment horizontal="center" vertical="center" wrapText="1"/>
    </xf>
    <xf numFmtId="49" fontId="11" fillId="35" borderId="12" xfId="229" applyNumberFormat="1" applyFont="1" applyFill="1" applyBorder="1" applyAlignment="1">
      <alignment horizontal="center" vertical="center" wrapText="1"/>
    </xf>
    <xf numFmtId="173" fontId="36" fillId="13" borderId="10" xfId="80" applyNumberFormat="1" applyFont="1" applyFill="1" applyBorder="1" applyAlignment="1" applyProtection="1">
      <alignment horizontal="center" vertical="center" wrapText="1"/>
    </xf>
    <xf numFmtId="49" fontId="34" fillId="35" borderId="14" xfId="229" applyNumberFormat="1" applyFont="1" applyFill="1" applyBorder="1" applyAlignment="1">
      <alignment horizontal="center" vertical="center" wrapText="1"/>
    </xf>
    <xf numFmtId="49" fontId="34" fillId="35" borderId="12" xfId="229" applyNumberFormat="1" applyFont="1" applyFill="1" applyBorder="1" applyAlignment="1">
      <alignment horizontal="center" vertical="center" wrapText="1"/>
    </xf>
    <xf numFmtId="2" fontId="34" fillId="35" borderId="14" xfId="229" applyNumberFormat="1" applyFont="1" applyFill="1" applyBorder="1" applyAlignment="1">
      <alignment horizontal="center" vertical="center" wrapText="1"/>
    </xf>
    <xf numFmtId="2" fontId="34" fillId="35" borderId="12" xfId="229" applyNumberFormat="1" applyFont="1" applyFill="1" applyBorder="1" applyAlignment="1">
      <alignment horizontal="center" vertical="center" wrapText="1"/>
    </xf>
    <xf numFmtId="49" fontId="34" fillId="35" borderId="33" xfId="229" applyNumberFormat="1" applyFont="1" applyFill="1" applyBorder="1" applyAlignment="1">
      <alignment horizontal="center" vertical="center" wrapText="1"/>
    </xf>
    <xf numFmtId="49" fontId="34" fillId="35" borderId="11" xfId="229" applyNumberFormat="1" applyFont="1" applyFill="1" applyBorder="1" applyAlignment="1">
      <alignment horizontal="center" vertical="center" wrapText="1"/>
    </xf>
    <xf numFmtId="0" fontId="0" fillId="41" borderId="0" xfId="0" applyFill="1"/>
  </cellXfs>
  <cellStyles count="279">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3" xfId="262" xr:uid="{26A5C37A-3F28-4C12-96E6-28173ED4D24C}"/>
    <cellStyle name="Comma 16" xfId="277" xr:uid="{98E4AD86-4ED8-4133-BFCE-A862BBE81E7D}"/>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98DE74FA-08D7-449C-AEEA-8E936078DA88}"/>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3" xfId="125" xr:uid="{9E720F73-B7BB-42B0-B60F-5919AE639A8D}"/>
    <cellStyle name="Comma 5 4" xfId="273" xr:uid="{9BBEEA16-51A5-4D2D-8EFA-971C3D61051B}"/>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4031E362-51FB-4EB5-AF88-D57B018ED566}"/>
    <cellStyle name="Hyperlink 2 3" xfId="275" xr:uid="{121CC874-2EB9-4B33-A4CB-4A65AA78C117}"/>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C3C5ABB0-C2B2-435B-AC81-AC658FBEE67B}"/>
    <cellStyle name="Normal 2" xfId="215" xr:uid="{BCF64815-8991-4520-9077-B22C533E8BEF}"/>
    <cellStyle name="Normal 2 2" xfId="216" xr:uid="{719DBC7F-130B-4123-8107-776B1CFC2FE8}"/>
    <cellStyle name="Normal 2 4" xfId="276" xr:uid="{77DFC022-8E59-433D-832D-5153C5FC8F25}"/>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69" xr:uid="{75AF78B4-3DB9-4496-B46D-ECE883384FA8}"/>
    <cellStyle name="Normal 3 3" xfId="259" xr:uid="{A28539B0-AA69-4C8D-B896-5970B9B76BC1}"/>
    <cellStyle name="Normal 3 3 2" xfId="268" xr:uid="{DD719441-F82F-4203-A31E-EF8AF17D2544}"/>
    <cellStyle name="Normal 36" xfId="257" xr:uid="{49C3616A-50EC-4DA4-811F-789BF3528854}"/>
    <cellStyle name="Normal 4" xfId="221" xr:uid="{4BCED485-4A9D-4AC5-9829-2AB67EECA1AC}"/>
    <cellStyle name="Normal 4 2" xfId="274" xr:uid="{D6132FD0-9BD5-4517-845A-7480928ABA79}"/>
    <cellStyle name="Normal 42" xfId="271" xr:uid="{3503576B-4792-4713-8809-62BC6FFF9DDE}"/>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 cent 3" xfId="278" xr:uid="{2A8115AB-098E-46DD-82E4-06E641D064B6}"/>
    <cellStyle name="Percent 2" xfId="241" xr:uid="{D3D5ED57-2BF3-42DB-8ABB-E64F0E4F4921}"/>
    <cellStyle name="Percent 2 2" xfId="242" xr:uid="{28EB581D-9B02-4B8C-888F-74E89413EA0C}"/>
    <cellStyle name="Percent 2 2 2" xfId="270" xr:uid="{06E691C2-7DBA-42BD-AB97-4C9933E878AD}"/>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88">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EBFFF0"/>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237376614.73974949</c:v>
                </c:pt>
                <c:pt idx="1">
                  <c:v>0</c:v>
                </c:pt>
                <c:pt idx="2">
                  <c:v>782752.9752234203</c:v>
                </c:pt>
                <c:pt idx="3">
                  <c:v>78878959.179444134</c:v>
                </c:pt>
                <c:pt idx="4">
                  <c:v>573726.53231207794</c:v>
                </c:pt>
                <c:pt idx="5">
                  <c:v>29993.677962930044</c:v>
                </c:pt>
                <c:pt idx="6">
                  <c:v>2143261.9353495673</c:v>
                </c:pt>
                <c:pt idx="7">
                  <c:v>207466.05782323246</c:v>
                </c:pt>
                <c:pt idx="8">
                  <c:v>468666.2270778059</c:v>
                </c:pt>
                <c:pt idx="9">
                  <c:v>13088195.587886592</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99250780.269256204</c:v>
                </c:pt>
                <c:pt idx="1">
                  <c:v>0</c:v>
                </c:pt>
                <c:pt idx="2">
                  <c:v>327280.94818514993</c:v>
                </c:pt>
                <c:pt idx="3">
                  <c:v>32980494.95722159</c:v>
                </c:pt>
                <c:pt idx="4">
                  <c:v>239883.80681718903</c:v>
                </c:pt>
                <c:pt idx="5">
                  <c:v>12540.813863359519</c:v>
                </c:pt>
                <c:pt idx="6">
                  <c:v>896130.47872495418</c:v>
                </c:pt>
                <c:pt idx="7">
                  <c:v>86744.72058217616</c:v>
                </c:pt>
                <c:pt idx="8">
                  <c:v>195956.49206775666</c:v>
                </c:pt>
                <c:pt idx="9">
                  <c:v>5472374.040882539</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502.8</c:v>
                </c:pt>
                <c:pt idx="1">
                  <c:v>502.8</c:v>
                </c:pt>
                <c:pt idx="2">
                  <c:v>502.8</c:v>
                </c:pt>
                <c:pt idx="3">
                  <c:v>502.8</c:v>
                </c:pt>
                <c:pt idx="4">
                  <c:v>502.8</c:v>
                </c:pt>
                <c:pt idx="5">
                  <c:v>502.8</c:v>
                </c:pt>
                <c:pt idx="6">
                  <c:v>502.8</c:v>
                </c:pt>
                <c:pt idx="7">
                  <c:v>502.8</c:v>
                </c:pt>
                <c:pt idx="8">
                  <c:v>502.8</c:v>
                </c:pt>
                <c:pt idx="9">
                  <c:v>502.8</c:v>
                </c:pt>
                <c:pt idx="10">
                  <c:v>502.8</c:v>
                </c:pt>
                <c:pt idx="11">
                  <c:v>502.8</c:v>
                </c:pt>
                <c:pt idx="12">
                  <c:v>502.8</c:v>
                </c:pt>
                <c:pt idx="13">
                  <c:v>502.8</c:v>
                </c:pt>
                <c:pt idx="14">
                  <c:v>502.8</c:v>
                </c:pt>
                <c:pt idx="15">
                  <c:v>502.8</c:v>
                </c:pt>
                <c:pt idx="16">
                  <c:v>502.8</c:v>
                </c:pt>
                <c:pt idx="17">
                  <c:v>502.8</c:v>
                </c:pt>
                <c:pt idx="18">
                  <c:v>502.8</c:v>
                </c:pt>
                <c:pt idx="19">
                  <c:v>502.8</c:v>
                </c:pt>
                <c:pt idx="20">
                  <c:v>502.8</c:v>
                </c:pt>
                <c:pt idx="21">
                  <c:v>502.8</c:v>
                </c:pt>
                <c:pt idx="22">
                  <c:v>502.8</c:v>
                </c:pt>
                <c:pt idx="23">
                  <c:v>502.8</c:v>
                </c:pt>
                <c:pt idx="24">
                  <c:v>502.8</c:v>
                </c:pt>
                <c:pt idx="25">
                  <c:v>502.8</c:v>
                </c:pt>
                <c:pt idx="26">
                  <c:v>502.8</c:v>
                </c:pt>
                <c:pt idx="27">
                  <c:v>502.8</c:v>
                </c:pt>
                <c:pt idx="28">
                  <c:v>502.8</c:v>
                </c:pt>
                <c:pt idx="29">
                  <c:v>502.8</c:v>
                </c:pt>
                <c:pt idx="30">
                  <c:v>502.8</c:v>
                </c:pt>
                <c:pt idx="31">
                  <c:v>502.8</c:v>
                </c:pt>
                <c:pt idx="32">
                  <c:v>502.8</c:v>
                </c:pt>
                <c:pt idx="33">
                  <c:v>502.8</c:v>
                </c:pt>
                <c:pt idx="34">
                  <c:v>502.8</c:v>
                </c:pt>
                <c:pt idx="35">
                  <c:v>502.8</c:v>
                </c:pt>
                <c:pt idx="36">
                  <c:v>502.8</c:v>
                </c:pt>
                <c:pt idx="37">
                  <c:v>502.8</c:v>
                </c:pt>
                <c:pt idx="38">
                  <c:v>502.8</c:v>
                </c:pt>
                <c:pt idx="39">
                  <c:v>502.8</c:v>
                </c:pt>
                <c:pt idx="40">
                  <c:v>502.8</c:v>
                </c:pt>
                <c:pt idx="41">
                  <c:v>502.8</c:v>
                </c:pt>
                <c:pt idx="42">
                  <c:v>502.8</c:v>
                </c:pt>
                <c:pt idx="43">
                  <c:v>502.8</c:v>
                </c:pt>
                <c:pt idx="44">
                  <c:v>502.8</c:v>
                </c:pt>
                <c:pt idx="45">
                  <c:v>502.8</c:v>
                </c:pt>
                <c:pt idx="46">
                  <c:v>502.8</c:v>
                </c:pt>
                <c:pt idx="47">
                  <c:v>502.8</c:v>
                </c:pt>
                <c:pt idx="48">
                  <c:v>502.8</c:v>
                </c:pt>
                <c:pt idx="49">
                  <c:v>502.8</c:v>
                </c:pt>
                <c:pt idx="50">
                  <c:v>502.8</c:v>
                </c:pt>
                <c:pt idx="51">
                  <c:v>502.8</c:v>
                </c:pt>
                <c:pt idx="52">
                  <c:v>502.8</c:v>
                </c:pt>
                <c:pt idx="53">
                  <c:v>502.8</c:v>
                </c:pt>
                <c:pt idx="54">
                  <c:v>502.8</c:v>
                </c:pt>
                <c:pt idx="55">
                  <c:v>502.8</c:v>
                </c:pt>
                <c:pt idx="56">
                  <c:v>502.8</c:v>
                </c:pt>
                <c:pt idx="57">
                  <c:v>502.8</c:v>
                </c:pt>
                <c:pt idx="58">
                  <c:v>502.8</c:v>
                </c:pt>
                <c:pt idx="59">
                  <c:v>502.8</c:v>
                </c:pt>
                <c:pt idx="60">
                  <c:v>502.8</c:v>
                </c:pt>
                <c:pt idx="61">
                  <c:v>502.8</c:v>
                </c:pt>
                <c:pt idx="62">
                  <c:v>492.8</c:v>
                </c:pt>
                <c:pt idx="63">
                  <c:v>492.8</c:v>
                </c:pt>
                <c:pt idx="64">
                  <c:v>492.8</c:v>
                </c:pt>
                <c:pt idx="65">
                  <c:v>492.8</c:v>
                </c:pt>
                <c:pt idx="66">
                  <c:v>492.8</c:v>
                </c:pt>
                <c:pt idx="67">
                  <c:v>492.8</c:v>
                </c:pt>
                <c:pt idx="68">
                  <c:v>492.8</c:v>
                </c:pt>
                <c:pt idx="69">
                  <c:v>492.8</c:v>
                </c:pt>
                <c:pt idx="70">
                  <c:v>492.8</c:v>
                </c:pt>
                <c:pt idx="71">
                  <c:v>492.8</c:v>
                </c:pt>
                <c:pt idx="72">
                  <c:v>492.8</c:v>
                </c:pt>
                <c:pt idx="73">
                  <c:v>492.8</c:v>
                </c:pt>
                <c:pt idx="74">
                  <c:v>492.8</c:v>
                </c:pt>
                <c:pt idx="75">
                  <c:v>492.8</c:v>
                </c:pt>
                <c:pt idx="76">
                  <c:v>492.8</c:v>
                </c:pt>
                <c:pt idx="77">
                  <c:v>492.8</c:v>
                </c:pt>
                <c:pt idx="78">
                  <c:v>492.8</c:v>
                </c:pt>
                <c:pt idx="79">
                  <c:v>492.8</c:v>
                </c:pt>
                <c:pt idx="80">
                  <c:v>492.8</c:v>
                </c:pt>
                <c:pt idx="81">
                  <c:v>492.8</c:v>
                </c:pt>
                <c:pt idx="82">
                  <c:v>492.8</c:v>
                </c:pt>
                <c:pt idx="83">
                  <c:v>492.8</c:v>
                </c:pt>
                <c:pt idx="84">
                  <c:v>492.8</c:v>
                </c:pt>
                <c:pt idx="85">
                  <c:v>492.8</c:v>
                </c:pt>
                <c:pt idx="86">
                  <c:v>492.8</c:v>
                </c:pt>
                <c:pt idx="87">
                  <c:v>492.8</c:v>
                </c:pt>
                <c:pt idx="88">
                  <c:v>492.8</c:v>
                </c:pt>
                <c:pt idx="89">
                  <c:v>492.8</c:v>
                </c:pt>
                <c:pt idx="90">
                  <c:v>492.8</c:v>
                </c:pt>
                <c:pt idx="91">
                  <c:v>492.8</c:v>
                </c:pt>
                <c:pt idx="92">
                  <c:v>300.8</c:v>
                </c:pt>
                <c:pt idx="93">
                  <c:v>300.8</c:v>
                </c:pt>
                <c:pt idx="94">
                  <c:v>300.8</c:v>
                </c:pt>
                <c:pt idx="95">
                  <c:v>300.8</c:v>
                </c:pt>
                <c:pt idx="96">
                  <c:v>300.8</c:v>
                </c:pt>
                <c:pt idx="97">
                  <c:v>300.8</c:v>
                </c:pt>
                <c:pt idx="98">
                  <c:v>300.8</c:v>
                </c:pt>
                <c:pt idx="99">
                  <c:v>300.8</c:v>
                </c:pt>
                <c:pt idx="100">
                  <c:v>300.8</c:v>
                </c:pt>
                <c:pt idx="101">
                  <c:v>300.8</c:v>
                </c:pt>
                <c:pt idx="102">
                  <c:v>300.8</c:v>
                </c:pt>
                <c:pt idx="103">
                  <c:v>300.8</c:v>
                </c:pt>
                <c:pt idx="104">
                  <c:v>300.8</c:v>
                </c:pt>
                <c:pt idx="105">
                  <c:v>300.8</c:v>
                </c:pt>
                <c:pt idx="106">
                  <c:v>300.8</c:v>
                </c:pt>
                <c:pt idx="107">
                  <c:v>300.8</c:v>
                </c:pt>
                <c:pt idx="108">
                  <c:v>300.8</c:v>
                </c:pt>
                <c:pt idx="109">
                  <c:v>300.8</c:v>
                </c:pt>
                <c:pt idx="110">
                  <c:v>300.8</c:v>
                </c:pt>
                <c:pt idx="111">
                  <c:v>300.8</c:v>
                </c:pt>
                <c:pt idx="112">
                  <c:v>300.8</c:v>
                </c:pt>
                <c:pt idx="113">
                  <c:v>300.8</c:v>
                </c:pt>
                <c:pt idx="114">
                  <c:v>300.8</c:v>
                </c:pt>
                <c:pt idx="115">
                  <c:v>300.8</c:v>
                </c:pt>
                <c:pt idx="116">
                  <c:v>300.8</c:v>
                </c:pt>
                <c:pt idx="117">
                  <c:v>300.8</c:v>
                </c:pt>
                <c:pt idx="118">
                  <c:v>300.8</c:v>
                </c:pt>
                <c:pt idx="119">
                  <c:v>300.8</c:v>
                </c:pt>
                <c:pt idx="120">
                  <c:v>300.8</c:v>
                </c:pt>
                <c:pt idx="121">
                  <c:v>300.8</c:v>
                </c:pt>
                <c:pt idx="122">
                  <c:v>300.8</c:v>
                </c:pt>
                <c:pt idx="123">
                  <c:v>300.8</c:v>
                </c:pt>
                <c:pt idx="124">
                  <c:v>300.8</c:v>
                </c:pt>
                <c:pt idx="125">
                  <c:v>300.8</c:v>
                </c:pt>
                <c:pt idx="126">
                  <c:v>300.8</c:v>
                </c:pt>
                <c:pt idx="127">
                  <c:v>300.8</c:v>
                </c:pt>
                <c:pt idx="128">
                  <c:v>300.8</c:v>
                </c:pt>
                <c:pt idx="129">
                  <c:v>300.8</c:v>
                </c:pt>
                <c:pt idx="130">
                  <c:v>300.8</c:v>
                </c:pt>
                <c:pt idx="131">
                  <c:v>300.8</c:v>
                </c:pt>
                <c:pt idx="132">
                  <c:v>300.8</c:v>
                </c:pt>
                <c:pt idx="133">
                  <c:v>300.8</c:v>
                </c:pt>
                <c:pt idx="134">
                  <c:v>300.8</c:v>
                </c:pt>
                <c:pt idx="135">
                  <c:v>300.8</c:v>
                </c:pt>
                <c:pt idx="136">
                  <c:v>300.8</c:v>
                </c:pt>
                <c:pt idx="137">
                  <c:v>300.8</c:v>
                </c:pt>
                <c:pt idx="138">
                  <c:v>300.8</c:v>
                </c:pt>
                <c:pt idx="139">
                  <c:v>300.8</c:v>
                </c:pt>
                <c:pt idx="140">
                  <c:v>300.8</c:v>
                </c:pt>
                <c:pt idx="141">
                  <c:v>300.8</c:v>
                </c:pt>
                <c:pt idx="142">
                  <c:v>300.8</c:v>
                </c:pt>
                <c:pt idx="143">
                  <c:v>300.8</c:v>
                </c:pt>
                <c:pt idx="144">
                  <c:v>300.8</c:v>
                </c:pt>
                <c:pt idx="145">
                  <c:v>300.8</c:v>
                </c:pt>
                <c:pt idx="146">
                  <c:v>300.8</c:v>
                </c:pt>
                <c:pt idx="147">
                  <c:v>300.8</c:v>
                </c:pt>
                <c:pt idx="148">
                  <c:v>300.8</c:v>
                </c:pt>
                <c:pt idx="149">
                  <c:v>300.8</c:v>
                </c:pt>
                <c:pt idx="150">
                  <c:v>300.8</c:v>
                </c:pt>
                <c:pt idx="151">
                  <c:v>300.8</c:v>
                </c:pt>
                <c:pt idx="152">
                  <c:v>300.8</c:v>
                </c:pt>
                <c:pt idx="153">
                  <c:v>300.8</c:v>
                </c:pt>
                <c:pt idx="154">
                  <c:v>300.8</c:v>
                </c:pt>
                <c:pt idx="155">
                  <c:v>300.8</c:v>
                </c:pt>
                <c:pt idx="156">
                  <c:v>300.8</c:v>
                </c:pt>
                <c:pt idx="157">
                  <c:v>300.8</c:v>
                </c:pt>
                <c:pt idx="158">
                  <c:v>300.8</c:v>
                </c:pt>
                <c:pt idx="159">
                  <c:v>300.8</c:v>
                </c:pt>
                <c:pt idx="160">
                  <c:v>300.8</c:v>
                </c:pt>
                <c:pt idx="161">
                  <c:v>300.8</c:v>
                </c:pt>
                <c:pt idx="162">
                  <c:v>300.8</c:v>
                </c:pt>
                <c:pt idx="163">
                  <c:v>300.8</c:v>
                </c:pt>
                <c:pt idx="164">
                  <c:v>300.8</c:v>
                </c:pt>
                <c:pt idx="165">
                  <c:v>300.8</c:v>
                </c:pt>
                <c:pt idx="166">
                  <c:v>300.8</c:v>
                </c:pt>
                <c:pt idx="167">
                  <c:v>300.8</c:v>
                </c:pt>
                <c:pt idx="168">
                  <c:v>300.8</c:v>
                </c:pt>
                <c:pt idx="169">
                  <c:v>300.8</c:v>
                </c:pt>
                <c:pt idx="170">
                  <c:v>300.8</c:v>
                </c:pt>
                <c:pt idx="171">
                  <c:v>300.8</c:v>
                </c:pt>
                <c:pt idx="172">
                  <c:v>300.8</c:v>
                </c:pt>
                <c:pt idx="173">
                  <c:v>300.8</c:v>
                </c:pt>
                <c:pt idx="174">
                  <c:v>300.8</c:v>
                </c:pt>
                <c:pt idx="175">
                  <c:v>300.8</c:v>
                </c:pt>
                <c:pt idx="176">
                  <c:v>300.8</c:v>
                </c:pt>
                <c:pt idx="177">
                  <c:v>300.8</c:v>
                </c:pt>
                <c:pt idx="178">
                  <c:v>300.8</c:v>
                </c:pt>
                <c:pt idx="179">
                  <c:v>300.8</c:v>
                </c:pt>
                <c:pt idx="180">
                  <c:v>300.8</c:v>
                </c:pt>
                <c:pt idx="181">
                  <c:v>300.8</c:v>
                </c:pt>
                <c:pt idx="182">
                  <c:v>300.8</c:v>
                </c:pt>
                <c:pt idx="183">
                  <c:v>300.8</c:v>
                </c:pt>
                <c:pt idx="184">
                  <c:v>292.10000000000002</c:v>
                </c:pt>
                <c:pt idx="185">
                  <c:v>292.10000000000002</c:v>
                </c:pt>
                <c:pt idx="186">
                  <c:v>292.10000000000002</c:v>
                </c:pt>
                <c:pt idx="187">
                  <c:v>292.10000000000002</c:v>
                </c:pt>
                <c:pt idx="188">
                  <c:v>292.10000000000002</c:v>
                </c:pt>
                <c:pt idx="189">
                  <c:v>292.10000000000002</c:v>
                </c:pt>
                <c:pt idx="190">
                  <c:v>292.10000000000002</c:v>
                </c:pt>
                <c:pt idx="191">
                  <c:v>292.10000000000002</c:v>
                </c:pt>
                <c:pt idx="192">
                  <c:v>292.10000000000002</c:v>
                </c:pt>
                <c:pt idx="193">
                  <c:v>292.10000000000002</c:v>
                </c:pt>
                <c:pt idx="194">
                  <c:v>292.10000000000002</c:v>
                </c:pt>
                <c:pt idx="195">
                  <c:v>292.10000000000002</c:v>
                </c:pt>
                <c:pt idx="196">
                  <c:v>292.10000000000002</c:v>
                </c:pt>
                <c:pt idx="197">
                  <c:v>292.10000000000002</c:v>
                </c:pt>
                <c:pt idx="198">
                  <c:v>292.10000000000002</c:v>
                </c:pt>
                <c:pt idx="199">
                  <c:v>292.10000000000002</c:v>
                </c:pt>
                <c:pt idx="200">
                  <c:v>292.10000000000002</c:v>
                </c:pt>
                <c:pt idx="201">
                  <c:v>292.10000000000002</c:v>
                </c:pt>
                <c:pt idx="202">
                  <c:v>292.10000000000002</c:v>
                </c:pt>
                <c:pt idx="203">
                  <c:v>292.10000000000002</c:v>
                </c:pt>
                <c:pt idx="204">
                  <c:v>292.10000000000002</c:v>
                </c:pt>
                <c:pt idx="205">
                  <c:v>292.10000000000002</c:v>
                </c:pt>
                <c:pt idx="206">
                  <c:v>292.10000000000002</c:v>
                </c:pt>
                <c:pt idx="207">
                  <c:v>292.10000000000002</c:v>
                </c:pt>
                <c:pt idx="208">
                  <c:v>292.10000000000002</c:v>
                </c:pt>
                <c:pt idx="209">
                  <c:v>292.10000000000002</c:v>
                </c:pt>
                <c:pt idx="210">
                  <c:v>292.10000000000002</c:v>
                </c:pt>
                <c:pt idx="211">
                  <c:v>292.10000000000002</c:v>
                </c:pt>
                <c:pt idx="212">
                  <c:v>292.10000000000002</c:v>
                </c:pt>
                <c:pt idx="213">
                  <c:v>292.10000000000002</c:v>
                </c:pt>
                <c:pt idx="214">
                  <c:v>292.10000000000002</c:v>
                </c:pt>
                <c:pt idx="215">
                  <c:v>292.10000000000002</c:v>
                </c:pt>
                <c:pt idx="216">
                  <c:v>292.10000000000002</c:v>
                </c:pt>
                <c:pt idx="217">
                  <c:v>292.10000000000002</c:v>
                </c:pt>
                <c:pt idx="218">
                  <c:v>292.10000000000002</c:v>
                </c:pt>
                <c:pt idx="219">
                  <c:v>292.10000000000002</c:v>
                </c:pt>
                <c:pt idx="220">
                  <c:v>292.10000000000002</c:v>
                </c:pt>
                <c:pt idx="221">
                  <c:v>292.10000000000002</c:v>
                </c:pt>
                <c:pt idx="222">
                  <c:v>292.10000000000002</c:v>
                </c:pt>
                <c:pt idx="223">
                  <c:v>292.10000000000002</c:v>
                </c:pt>
                <c:pt idx="224">
                  <c:v>292.10000000000002</c:v>
                </c:pt>
                <c:pt idx="225">
                  <c:v>292.10000000000002</c:v>
                </c:pt>
                <c:pt idx="226">
                  <c:v>292.10000000000002</c:v>
                </c:pt>
                <c:pt idx="227">
                  <c:v>292.10000000000002</c:v>
                </c:pt>
                <c:pt idx="228">
                  <c:v>292.10000000000002</c:v>
                </c:pt>
                <c:pt idx="229">
                  <c:v>292.10000000000002</c:v>
                </c:pt>
                <c:pt idx="230">
                  <c:v>292.10000000000002</c:v>
                </c:pt>
                <c:pt idx="231">
                  <c:v>292.10000000000002</c:v>
                </c:pt>
                <c:pt idx="232">
                  <c:v>292.10000000000002</c:v>
                </c:pt>
                <c:pt idx="233">
                  <c:v>292.10000000000002</c:v>
                </c:pt>
                <c:pt idx="234">
                  <c:v>292.10000000000002</c:v>
                </c:pt>
                <c:pt idx="235">
                  <c:v>292.10000000000002</c:v>
                </c:pt>
                <c:pt idx="236">
                  <c:v>292.10000000000002</c:v>
                </c:pt>
                <c:pt idx="237">
                  <c:v>292.10000000000002</c:v>
                </c:pt>
                <c:pt idx="238">
                  <c:v>292.10000000000002</c:v>
                </c:pt>
                <c:pt idx="239">
                  <c:v>292.10000000000002</c:v>
                </c:pt>
                <c:pt idx="240">
                  <c:v>292.10000000000002</c:v>
                </c:pt>
                <c:pt idx="241">
                  <c:v>292.10000000000002</c:v>
                </c:pt>
                <c:pt idx="242">
                  <c:v>292.10000000000002</c:v>
                </c:pt>
                <c:pt idx="243">
                  <c:v>292.10000000000002</c:v>
                </c:pt>
                <c:pt idx="244">
                  <c:v>292.10000000000002</c:v>
                </c:pt>
                <c:pt idx="245">
                  <c:v>292.10000000000002</c:v>
                </c:pt>
                <c:pt idx="246">
                  <c:v>292.10000000000002</c:v>
                </c:pt>
                <c:pt idx="247">
                  <c:v>292.10000000000002</c:v>
                </c:pt>
                <c:pt idx="248">
                  <c:v>292.10000000000002</c:v>
                </c:pt>
                <c:pt idx="249">
                  <c:v>292.10000000000002</c:v>
                </c:pt>
                <c:pt idx="250">
                  <c:v>292.10000000000002</c:v>
                </c:pt>
                <c:pt idx="251">
                  <c:v>292.10000000000002</c:v>
                </c:pt>
                <c:pt idx="252">
                  <c:v>292.10000000000002</c:v>
                </c:pt>
                <c:pt idx="253">
                  <c:v>292.10000000000002</c:v>
                </c:pt>
                <c:pt idx="254">
                  <c:v>292.10000000000002</c:v>
                </c:pt>
                <c:pt idx="255">
                  <c:v>292.10000000000002</c:v>
                </c:pt>
                <c:pt idx="256">
                  <c:v>292.10000000000002</c:v>
                </c:pt>
                <c:pt idx="257">
                  <c:v>292.10000000000002</c:v>
                </c:pt>
                <c:pt idx="258">
                  <c:v>292.10000000000002</c:v>
                </c:pt>
                <c:pt idx="259">
                  <c:v>292.10000000000002</c:v>
                </c:pt>
                <c:pt idx="260">
                  <c:v>292.10000000000002</c:v>
                </c:pt>
                <c:pt idx="261">
                  <c:v>292.10000000000002</c:v>
                </c:pt>
                <c:pt idx="262">
                  <c:v>292.10000000000002</c:v>
                </c:pt>
                <c:pt idx="263">
                  <c:v>292.10000000000002</c:v>
                </c:pt>
                <c:pt idx="264">
                  <c:v>292.10000000000002</c:v>
                </c:pt>
                <c:pt idx="265">
                  <c:v>292.10000000000002</c:v>
                </c:pt>
                <c:pt idx="266">
                  <c:v>292.10000000000002</c:v>
                </c:pt>
                <c:pt idx="267">
                  <c:v>292.10000000000002</c:v>
                </c:pt>
                <c:pt idx="268">
                  <c:v>292.10000000000002</c:v>
                </c:pt>
                <c:pt idx="269">
                  <c:v>292.10000000000002</c:v>
                </c:pt>
                <c:pt idx="270">
                  <c:v>292.10000000000002</c:v>
                </c:pt>
                <c:pt idx="271">
                  <c:v>292.10000000000002</c:v>
                </c:pt>
                <c:pt idx="272">
                  <c:v>292.10000000000002</c:v>
                </c:pt>
                <c:pt idx="273">
                  <c:v>292.10000000000002</c:v>
                </c:pt>
                <c:pt idx="274">
                  <c:v>344.1</c:v>
                </c:pt>
                <c:pt idx="275">
                  <c:v>344.1</c:v>
                </c:pt>
                <c:pt idx="276">
                  <c:v>344.1</c:v>
                </c:pt>
                <c:pt idx="277">
                  <c:v>344.1</c:v>
                </c:pt>
                <c:pt idx="278">
                  <c:v>344.1</c:v>
                </c:pt>
                <c:pt idx="279">
                  <c:v>344.1</c:v>
                </c:pt>
                <c:pt idx="280">
                  <c:v>344.1</c:v>
                </c:pt>
                <c:pt idx="281">
                  <c:v>344.1</c:v>
                </c:pt>
                <c:pt idx="282">
                  <c:v>344.1</c:v>
                </c:pt>
                <c:pt idx="283">
                  <c:v>344.1</c:v>
                </c:pt>
                <c:pt idx="284">
                  <c:v>344.1</c:v>
                </c:pt>
                <c:pt idx="285">
                  <c:v>344.1</c:v>
                </c:pt>
                <c:pt idx="286">
                  <c:v>344.1</c:v>
                </c:pt>
                <c:pt idx="287">
                  <c:v>344.1</c:v>
                </c:pt>
                <c:pt idx="288">
                  <c:v>344.1</c:v>
                </c:pt>
                <c:pt idx="289">
                  <c:v>344.1</c:v>
                </c:pt>
                <c:pt idx="290">
                  <c:v>344.1</c:v>
                </c:pt>
                <c:pt idx="291">
                  <c:v>344.1</c:v>
                </c:pt>
                <c:pt idx="292">
                  <c:v>344.1</c:v>
                </c:pt>
                <c:pt idx="293">
                  <c:v>344.1</c:v>
                </c:pt>
                <c:pt idx="294">
                  <c:v>344.1</c:v>
                </c:pt>
                <c:pt idx="295">
                  <c:v>344.1</c:v>
                </c:pt>
                <c:pt idx="296">
                  <c:v>344.1</c:v>
                </c:pt>
                <c:pt idx="297">
                  <c:v>344.1</c:v>
                </c:pt>
                <c:pt idx="298">
                  <c:v>344.1</c:v>
                </c:pt>
                <c:pt idx="299">
                  <c:v>344.1</c:v>
                </c:pt>
                <c:pt idx="300">
                  <c:v>344.1</c:v>
                </c:pt>
                <c:pt idx="301">
                  <c:v>344.1</c:v>
                </c:pt>
                <c:pt idx="302">
                  <c:v>344.1</c:v>
                </c:pt>
                <c:pt idx="303">
                  <c:v>344.1</c:v>
                </c:pt>
                <c:pt idx="304">
                  <c:v>489.1</c:v>
                </c:pt>
                <c:pt idx="305">
                  <c:v>489.1</c:v>
                </c:pt>
                <c:pt idx="306">
                  <c:v>489.1</c:v>
                </c:pt>
                <c:pt idx="307">
                  <c:v>489.1</c:v>
                </c:pt>
                <c:pt idx="308">
                  <c:v>489.1</c:v>
                </c:pt>
                <c:pt idx="309">
                  <c:v>489.1</c:v>
                </c:pt>
                <c:pt idx="310">
                  <c:v>489.1</c:v>
                </c:pt>
                <c:pt idx="311">
                  <c:v>489.1</c:v>
                </c:pt>
                <c:pt idx="312">
                  <c:v>489.1</c:v>
                </c:pt>
                <c:pt idx="313">
                  <c:v>489.1</c:v>
                </c:pt>
                <c:pt idx="314">
                  <c:v>489.1</c:v>
                </c:pt>
                <c:pt idx="315">
                  <c:v>489.1</c:v>
                </c:pt>
                <c:pt idx="316">
                  <c:v>489.1</c:v>
                </c:pt>
                <c:pt idx="317">
                  <c:v>489.1</c:v>
                </c:pt>
                <c:pt idx="318">
                  <c:v>489.1</c:v>
                </c:pt>
                <c:pt idx="319">
                  <c:v>489.1</c:v>
                </c:pt>
                <c:pt idx="320">
                  <c:v>489.1</c:v>
                </c:pt>
                <c:pt idx="321">
                  <c:v>489.1</c:v>
                </c:pt>
                <c:pt idx="322">
                  <c:v>489.1</c:v>
                </c:pt>
                <c:pt idx="323">
                  <c:v>489.1</c:v>
                </c:pt>
                <c:pt idx="324">
                  <c:v>489.1</c:v>
                </c:pt>
                <c:pt idx="325">
                  <c:v>489.1</c:v>
                </c:pt>
                <c:pt idx="326">
                  <c:v>489.1</c:v>
                </c:pt>
                <c:pt idx="327">
                  <c:v>489.1</c:v>
                </c:pt>
                <c:pt idx="328">
                  <c:v>489.1</c:v>
                </c:pt>
                <c:pt idx="329">
                  <c:v>489.1</c:v>
                </c:pt>
                <c:pt idx="330">
                  <c:v>489.1</c:v>
                </c:pt>
                <c:pt idx="331">
                  <c:v>489.1</c:v>
                </c:pt>
                <c:pt idx="332">
                  <c:v>489.1</c:v>
                </c:pt>
                <c:pt idx="333">
                  <c:v>489.1</c:v>
                </c:pt>
                <c:pt idx="334">
                  <c:v>489.1</c:v>
                </c:pt>
                <c:pt idx="335">
                  <c:v>489.1</c:v>
                </c:pt>
                <c:pt idx="336">
                  <c:v>489.1</c:v>
                </c:pt>
                <c:pt idx="337">
                  <c:v>489.1</c:v>
                </c:pt>
                <c:pt idx="338">
                  <c:v>489.1</c:v>
                </c:pt>
                <c:pt idx="339">
                  <c:v>489.1</c:v>
                </c:pt>
                <c:pt idx="340">
                  <c:v>489.1</c:v>
                </c:pt>
                <c:pt idx="341">
                  <c:v>489.1</c:v>
                </c:pt>
                <c:pt idx="342">
                  <c:v>489.1</c:v>
                </c:pt>
                <c:pt idx="343">
                  <c:v>489.1</c:v>
                </c:pt>
                <c:pt idx="344">
                  <c:v>489.1</c:v>
                </c:pt>
                <c:pt idx="345">
                  <c:v>489.1</c:v>
                </c:pt>
                <c:pt idx="346">
                  <c:v>489.1</c:v>
                </c:pt>
                <c:pt idx="347">
                  <c:v>489.1</c:v>
                </c:pt>
                <c:pt idx="348">
                  <c:v>489.1</c:v>
                </c:pt>
                <c:pt idx="349">
                  <c:v>489.1</c:v>
                </c:pt>
                <c:pt idx="350">
                  <c:v>489.1</c:v>
                </c:pt>
                <c:pt idx="351">
                  <c:v>489.1</c:v>
                </c:pt>
                <c:pt idx="352">
                  <c:v>489.1</c:v>
                </c:pt>
                <c:pt idx="353">
                  <c:v>489.1</c:v>
                </c:pt>
                <c:pt idx="354">
                  <c:v>489.1</c:v>
                </c:pt>
                <c:pt idx="355">
                  <c:v>489.1</c:v>
                </c:pt>
                <c:pt idx="356">
                  <c:v>489.1</c:v>
                </c:pt>
                <c:pt idx="357">
                  <c:v>489.1</c:v>
                </c:pt>
                <c:pt idx="358">
                  <c:v>489.1</c:v>
                </c:pt>
                <c:pt idx="359">
                  <c:v>489.1</c:v>
                </c:pt>
                <c:pt idx="360">
                  <c:v>489.1</c:v>
                </c:pt>
                <c:pt idx="361">
                  <c:v>489.1</c:v>
                </c:pt>
                <c:pt idx="362">
                  <c:v>489.1</c:v>
                </c:pt>
                <c:pt idx="363">
                  <c:v>489.1</c:v>
                </c:pt>
                <c:pt idx="364">
                  <c:v>489.1</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624.005</c:v>
                </c:pt>
                <c:pt idx="1">
                  <c:v>610.42899999999997</c:v>
                </c:pt>
                <c:pt idx="2">
                  <c:v>594.32999999999993</c:v>
                </c:pt>
                <c:pt idx="3">
                  <c:v>608.58399999999995</c:v>
                </c:pt>
                <c:pt idx="4">
                  <c:v>556.87400000000002</c:v>
                </c:pt>
                <c:pt idx="5">
                  <c:v>580.84500000000003</c:v>
                </c:pt>
                <c:pt idx="6">
                  <c:v>570.68499999999995</c:v>
                </c:pt>
                <c:pt idx="7">
                  <c:v>647.66</c:v>
                </c:pt>
                <c:pt idx="8">
                  <c:v>557.29300000000001</c:v>
                </c:pt>
                <c:pt idx="9">
                  <c:v>477.82400000000001</c:v>
                </c:pt>
                <c:pt idx="10">
                  <c:v>598.41399999999999</c:v>
                </c:pt>
                <c:pt idx="11">
                  <c:v>484.66899999999998</c:v>
                </c:pt>
                <c:pt idx="12">
                  <c:v>538.76900000000001</c:v>
                </c:pt>
                <c:pt idx="13">
                  <c:v>675.31599999999992</c:v>
                </c:pt>
                <c:pt idx="14">
                  <c:v>636.38800000000003</c:v>
                </c:pt>
                <c:pt idx="15">
                  <c:v>642.93500000000006</c:v>
                </c:pt>
                <c:pt idx="16">
                  <c:v>630.78800000000001</c:v>
                </c:pt>
                <c:pt idx="17">
                  <c:v>667.75099999999998</c:v>
                </c:pt>
                <c:pt idx="18">
                  <c:v>577.96899999999994</c:v>
                </c:pt>
                <c:pt idx="19">
                  <c:v>567.18499999999995</c:v>
                </c:pt>
                <c:pt idx="20">
                  <c:v>567.577</c:v>
                </c:pt>
                <c:pt idx="21">
                  <c:v>524.50199999999995</c:v>
                </c:pt>
                <c:pt idx="22">
                  <c:v>588.26599999999996</c:v>
                </c:pt>
                <c:pt idx="23">
                  <c:v>545.18499999999995</c:v>
                </c:pt>
                <c:pt idx="24">
                  <c:v>516.04499999999996</c:v>
                </c:pt>
                <c:pt idx="25">
                  <c:v>569.66100000000006</c:v>
                </c:pt>
                <c:pt idx="26">
                  <c:v>499.18399999999997</c:v>
                </c:pt>
                <c:pt idx="27">
                  <c:v>545.42499999999995</c:v>
                </c:pt>
                <c:pt idx="28">
                  <c:v>539.02600000000007</c:v>
                </c:pt>
                <c:pt idx="29">
                  <c:v>449.02299999999997</c:v>
                </c:pt>
                <c:pt idx="30">
                  <c:v>523.07100000000003</c:v>
                </c:pt>
                <c:pt idx="31">
                  <c:v>498.851</c:v>
                </c:pt>
                <c:pt idx="32">
                  <c:v>503.64699999999999</c:v>
                </c:pt>
                <c:pt idx="33">
                  <c:v>410.476</c:v>
                </c:pt>
                <c:pt idx="34">
                  <c:v>417.86300000000006</c:v>
                </c:pt>
                <c:pt idx="35">
                  <c:v>496.13599999999997</c:v>
                </c:pt>
                <c:pt idx="36">
                  <c:v>473.01500000000004</c:v>
                </c:pt>
                <c:pt idx="37">
                  <c:v>506.89700000000005</c:v>
                </c:pt>
                <c:pt idx="38">
                  <c:v>477.52600000000001</c:v>
                </c:pt>
                <c:pt idx="39">
                  <c:v>572.29</c:v>
                </c:pt>
                <c:pt idx="40">
                  <c:v>478.25799999999998</c:v>
                </c:pt>
                <c:pt idx="41">
                  <c:v>461.755</c:v>
                </c:pt>
                <c:pt idx="42">
                  <c:v>470.62099999999998</c:v>
                </c:pt>
                <c:pt idx="43">
                  <c:v>410.226</c:v>
                </c:pt>
                <c:pt idx="44">
                  <c:v>398.53100000000001</c:v>
                </c:pt>
                <c:pt idx="45">
                  <c:v>383.26299999999998</c:v>
                </c:pt>
                <c:pt idx="46">
                  <c:v>317.57400000000001</c:v>
                </c:pt>
                <c:pt idx="47">
                  <c:v>308.649</c:v>
                </c:pt>
                <c:pt idx="48">
                  <c:v>302.541</c:v>
                </c:pt>
                <c:pt idx="49">
                  <c:v>551.29399999999998</c:v>
                </c:pt>
                <c:pt idx="50">
                  <c:v>403.28000000000003</c:v>
                </c:pt>
                <c:pt idx="51">
                  <c:v>369.99299999999999</c:v>
                </c:pt>
                <c:pt idx="52">
                  <c:v>425.51099999999997</c:v>
                </c:pt>
                <c:pt idx="53">
                  <c:v>349.125</c:v>
                </c:pt>
                <c:pt idx="54">
                  <c:v>147.58100000000002</c:v>
                </c:pt>
                <c:pt idx="55">
                  <c:v>143.46899999999999</c:v>
                </c:pt>
                <c:pt idx="56">
                  <c:v>328.21199999999999</c:v>
                </c:pt>
                <c:pt idx="57">
                  <c:v>350.976</c:v>
                </c:pt>
                <c:pt idx="58">
                  <c:v>217.26900000000001</c:v>
                </c:pt>
                <c:pt idx="59">
                  <c:v>311.58699999999999</c:v>
                </c:pt>
                <c:pt idx="60">
                  <c:v>285.36700000000002</c:v>
                </c:pt>
                <c:pt idx="61">
                  <c:v>133.87</c:v>
                </c:pt>
                <c:pt idx="62">
                  <c:v>171.68600000000001</c:v>
                </c:pt>
                <c:pt idx="63">
                  <c:v>456.08100000000002</c:v>
                </c:pt>
                <c:pt idx="64">
                  <c:v>364.51800000000003</c:v>
                </c:pt>
                <c:pt idx="65">
                  <c:v>385.77300000000002</c:v>
                </c:pt>
                <c:pt idx="66">
                  <c:v>356.32899999999995</c:v>
                </c:pt>
                <c:pt idx="67">
                  <c:v>279.5</c:v>
                </c:pt>
                <c:pt idx="68">
                  <c:v>256.85199999999998</c:v>
                </c:pt>
                <c:pt idx="69">
                  <c:v>317.03800000000001</c:v>
                </c:pt>
                <c:pt idx="70">
                  <c:v>281.52600000000001</c:v>
                </c:pt>
                <c:pt idx="71">
                  <c:v>319.12599999999998</c:v>
                </c:pt>
                <c:pt idx="72">
                  <c:v>249.91300000000001</c:v>
                </c:pt>
                <c:pt idx="73">
                  <c:v>336.55500000000001</c:v>
                </c:pt>
                <c:pt idx="74">
                  <c:v>365.34399999999994</c:v>
                </c:pt>
                <c:pt idx="75">
                  <c:v>143.65299999999999</c:v>
                </c:pt>
                <c:pt idx="76">
                  <c:v>301.93899999999996</c:v>
                </c:pt>
                <c:pt idx="77">
                  <c:v>381.75400000000002</c:v>
                </c:pt>
                <c:pt idx="78">
                  <c:v>383.09199999999998</c:v>
                </c:pt>
                <c:pt idx="79">
                  <c:v>318.26099999999997</c:v>
                </c:pt>
                <c:pt idx="80">
                  <c:v>310.65499999999997</c:v>
                </c:pt>
                <c:pt idx="81">
                  <c:v>307.32100000000003</c:v>
                </c:pt>
                <c:pt idx="82">
                  <c:v>260.964</c:v>
                </c:pt>
                <c:pt idx="83">
                  <c:v>272.32799999999997</c:v>
                </c:pt>
                <c:pt idx="84">
                  <c:v>239.56</c:v>
                </c:pt>
                <c:pt idx="85">
                  <c:v>209.565</c:v>
                </c:pt>
                <c:pt idx="86">
                  <c:v>151.678</c:v>
                </c:pt>
                <c:pt idx="87">
                  <c:v>322.76300000000003</c:v>
                </c:pt>
                <c:pt idx="88">
                  <c:v>199.60500000000002</c:v>
                </c:pt>
                <c:pt idx="89">
                  <c:v>114.506</c:v>
                </c:pt>
                <c:pt idx="90">
                  <c:v>214.18700000000001</c:v>
                </c:pt>
                <c:pt idx="91">
                  <c:v>137.85</c:v>
                </c:pt>
                <c:pt idx="92">
                  <c:v>164.572</c:v>
                </c:pt>
                <c:pt idx="93">
                  <c:v>135.34800000000001</c:v>
                </c:pt>
                <c:pt idx="94">
                  <c:v>96.566000000000003</c:v>
                </c:pt>
                <c:pt idx="95">
                  <c:v>82.375</c:v>
                </c:pt>
                <c:pt idx="96">
                  <c:v>90.320999999999998</c:v>
                </c:pt>
                <c:pt idx="97">
                  <c:v>88.658000000000001</c:v>
                </c:pt>
                <c:pt idx="98">
                  <c:v>92.915999999999997</c:v>
                </c:pt>
                <c:pt idx="99">
                  <c:v>147.387</c:v>
                </c:pt>
                <c:pt idx="100">
                  <c:v>109.062</c:v>
                </c:pt>
                <c:pt idx="101">
                  <c:v>81.236000000000004</c:v>
                </c:pt>
                <c:pt idx="102">
                  <c:v>99.69</c:v>
                </c:pt>
                <c:pt idx="103">
                  <c:v>89.230999999999995</c:v>
                </c:pt>
                <c:pt idx="104">
                  <c:v>96.995000000000005</c:v>
                </c:pt>
                <c:pt idx="105">
                  <c:v>86.85499999999999</c:v>
                </c:pt>
                <c:pt idx="106">
                  <c:v>176.137</c:v>
                </c:pt>
                <c:pt idx="107">
                  <c:v>132.684</c:v>
                </c:pt>
                <c:pt idx="108">
                  <c:v>104.28</c:v>
                </c:pt>
                <c:pt idx="109">
                  <c:v>119.12200000000001</c:v>
                </c:pt>
                <c:pt idx="110">
                  <c:v>115.64500000000001</c:v>
                </c:pt>
                <c:pt idx="111">
                  <c:v>152.51</c:v>
                </c:pt>
                <c:pt idx="112">
                  <c:v>181.57599999999999</c:v>
                </c:pt>
                <c:pt idx="113">
                  <c:v>163.73500000000001</c:v>
                </c:pt>
                <c:pt idx="114">
                  <c:v>172.00900000000001</c:v>
                </c:pt>
                <c:pt idx="115">
                  <c:v>225.56800000000001</c:v>
                </c:pt>
                <c:pt idx="116">
                  <c:v>225.339</c:v>
                </c:pt>
                <c:pt idx="117">
                  <c:v>188.60899999999998</c:v>
                </c:pt>
                <c:pt idx="118">
                  <c:v>130.39099999999999</c:v>
                </c:pt>
                <c:pt idx="119">
                  <c:v>132.76</c:v>
                </c:pt>
                <c:pt idx="120">
                  <c:v>130.50200000000001</c:v>
                </c:pt>
                <c:pt idx="121">
                  <c:v>120.73399999999999</c:v>
                </c:pt>
                <c:pt idx="122">
                  <c:v>118.76799999999999</c:v>
                </c:pt>
                <c:pt idx="123">
                  <c:v>167.14499999999998</c:v>
                </c:pt>
                <c:pt idx="124">
                  <c:v>100.831</c:v>
                </c:pt>
                <c:pt idx="125">
                  <c:v>106.64999999999999</c:v>
                </c:pt>
                <c:pt idx="126">
                  <c:v>121.56399999999999</c:v>
                </c:pt>
                <c:pt idx="127">
                  <c:v>106.09699999999999</c:v>
                </c:pt>
                <c:pt idx="128">
                  <c:v>104.845</c:v>
                </c:pt>
                <c:pt idx="129">
                  <c:v>138.69300000000001</c:v>
                </c:pt>
                <c:pt idx="130">
                  <c:v>107.50999999999999</c:v>
                </c:pt>
                <c:pt idx="131">
                  <c:v>104.773</c:v>
                </c:pt>
                <c:pt idx="132">
                  <c:v>109.041</c:v>
                </c:pt>
                <c:pt idx="133">
                  <c:v>121.75999999999999</c:v>
                </c:pt>
                <c:pt idx="134">
                  <c:v>170.32999999999998</c:v>
                </c:pt>
                <c:pt idx="135">
                  <c:v>143.661</c:v>
                </c:pt>
                <c:pt idx="136">
                  <c:v>140.81100000000001</c:v>
                </c:pt>
                <c:pt idx="137">
                  <c:v>122.127</c:v>
                </c:pt>
                <c:pt idx="138">
                  <c:v>120.599</c:v>
                </c:pt>
                <c:pt idx="139">
                  <c:v>114.02500000000001</c:v>
                </c:pt>
                <c:pt idx="140">
                  <c:v>119.224</c:v>
                </c:pt>
                <c:pt idx="141">
                  <c:v>123.76300000000001</c:v>
                </c:pt>
                <c:pt idx="142">
                  <c:v>130.809</c:v>
                </c:pt>
                <c:pt idx="143">
                  <c:v>103.91199999999999</c:v>
                </c:pt>
                <c:pt idx="144">
                  <c:v>105.351</c:v>
                </c:pt>
                <c:pt idx="145">
                  <c:v>149.54399999999998</c:v>
                </c:pt>
                <c:pt idx="146">
                  <c:v>177.95699999999999</c:v>
                </c:pt>
                <c:pt idx="147">
                  <c:v>172.916</c:v>
                </c:pt>
                <c:pt idx="148">
                  <c:v>151.465</c:v>
                </c:pt>
                <c:pt idx="149">
                  <c:v>115.76300000000001</c:v>
                </c:pt>
                <c:pt idx="150">
                  <c:v>108.64699999999999</c:v>
                </c:pt>
                <c:pt idx="151">
                  <c:v>79.268000000000001</c:v>
                </c:pt>
                <c:pt idx="152">
                  <c:v>82.724000000000004</c:v>
                </c:pt>
                <c:pt idx="153">
                  <c:v>85.775000000000006</c:v>
                </c:pt>
                <c:pt idx="154">
                  <c:v>115.66</c:v>
                </c:pt>
                <c:pt idx="155">
                  <c:v>82.805000000000007</c:v>
                </c:pt>
                <c:pt idx="156">
                  <c:v>91.492999999999995</c:v>
                </c:pt>
                <c:pt idx="157">
                  <c:v>90.833999999999989</c:v>
                </c:pt>
                <c:pt idx="158">
                  <c:v>133.05600000000001</c:v>
                </c:pt>
                <c:pt idx="159">
                  <c:v>107.187</c:v>
                </c:pt>
                <c:pt idx="160">
                  <c:v>101.947</c:v>
                </c:pt>
                <c:pt idx="161">
                  <c:v>108.706</c:v>
                </c:pt>
                <c:pt idx="162">
                  <c:v>98.13</c:v>
                </c:pt>
                <c:pt idx="163">
                  <c:v>148.375</c:v>
                </c:pt>
                <c:pt idx="164">
                  <c:v>180.94400000000002</c:v>
                </c:pt>
                <c:pt idx="165">
                  <c:v>155.14299999999997</c:v>
                </c:pt>
                <c:pt idx="166">
                  <c:v>143.36199999999999</c:v>
                </c:pt>
                <c:pt idx="167">
                  <c:v>159.53</c:v>
                </c:pt>
                <c:pt idx="168">
                  <c:v>141.435</c:v>
                </c:pt>
                <c:pt idx="169">
                  <c:v>134.34199999999998</c:v>
                </c:pt>
                <c:pt idx="170">
                  <c:v>129.49799999999999</c:v>
                </c:pt>
                <c:pt idx="171">
                  <c:v>120.92400000000001</c:v>
                </c:pt>
                <c:pt idx="172">
                  <c:v>132.047</c:v>
                </c:pt>
                <c:pt idx="173">
                  <c:v>132.77000000000001</c:v>
                </c:pt>
                <c:pt idx="174">
                  <c:v>114.76299999999999</c:v>
                </c:pt>
                <c:pt idx="175">
                  <c:v>128.82999999999998</c:v>
                </c:pt>
                <c:pt idx="176">
                  <c:v>103.955</c:v>
                </c:pt>
                <c:pt idx="177">
                  <c:v>124.053</c:v>
                </c:pt>
                <c:pt idx="178">
                  <c:v>121.64400000000001</c:v>
                </c:pt>
                <c:pt idx="179">
                  <c:v>135.67099999999999</c:v>
                </c:pt>
                <c:pt idx="180">
                  <c:v>113.18300000000001</c:v>
                </c:pt>
                <c:pt idx="181">
                  <c:v>110.533</c:v>
                </c:pt>
                <c:pt idx="182">
                  <c:v>177.804</c:v>
                </c:pt>
                <c:pt idx="183">
                  <c:v>194.45</c:v>
                </c:pt>
                <c:pt idx="184">
                  <c:v>109.16799999999999</c:v>
                </c:pt>
                <c:pt idx="185">
                  <c:v>220.541</c:v>
                </c:pt>
                <c:pt idx="186">
                  <c:v>207.18899999999999</c:v>
                </c:pt>
                <c:pt idx="187">
                  <c:v>116.029</c:v>
                </c:pt>
                <c:pt idx="188">
                  <c:v>170.20499999999998</c:v>
                </c:pt>
                <c:pt idx="189">
                  <c:v>150.74799999999999</c:v>
                </c:pt>
                <c:pt idx="190">
                  <c:v>129.58799999999999</c:v>
                </c:pt>
                <c:pt idx="191">
                  <c:v>138.709</c:v>
                </c:pt>
                <c:pt idx="192">
                  <c:v>140.54</c:v>
                </c:pt>
                <c:pt idx="193">
                  <c:v>173.87900000000002</c:v>
                </c:pt>
                <c:pt idx="194">
                  <c:v>160.63200000000001</c:v>
                </c:pt>
                <c:pt idx="195">
                  <c:v>129.256</c:v>
                </c:pt>
                <c:pt idx="196">
                  <c:v>145.40800000000002</c:v>
                </c:pt>
                <c:pt idx="197">
                  <c:v>154.16399999999999</c:v>
                </c:pt>
                <c:pt idx="198">
                  <c:v>143.768</c:v>
                </c:pt>
                <c:pt idx="199">
                  <c:v>128.47399999999999</c:v>
                </c:pt>
                <c:pt idx="200">
                  <c:v>136.959</c:v>
                </c:pt>
                <c:pt idx="201">
                  <c:v>131.33499999999998</c:v>
                </c:pt>
                <c:pt idx="202">
                  <c:v>150.11099999999999</c:v>
                </c:pt>
                <c:pt idx="203">
                  <c:v>159.88499999999999</c:v>
                </c:pt>
                <c:pt idx="204">
                  <c:v>140.143</c:v>
                </c:pt>
                <c:pt idx="205">
                  <c:v>125.40800000000002</c:v>
                </c:pt>
                <c:pt idx="206">
                  <c:v>127.72799999999999</c:v>
                </c:pt>
                <c:pt idx="207">
                  <c:v>130.64999999999998</c:v>
                </c:pt>
                <c:pt idx="208">
                  <c:v>134.452</c:v>
                </c:pt>
                <c:pt idx="209">
                  <c:v>132.62200000000001</c:v>
                </c:pt>
                <c:pt idx="210">
                  <c:v>147.00299999999999</c:v>
                </c:pt>
                <c:pt idx="211">
                  <c:v>130.26</c:v>
                </c:pt>
                <c:pt idx="212">
                  <c:v>120.97</c:v>
                </c:pt>
                <c:pt idx="213">
                  <c:v>109.551</c:v>
                </c:pt>
                <c:pt idx="214">
                  <c:v>110.63</c:v>
                </c:pt>
                <c:pt idx="215">
                  <c:v>162.09699999999998</c:v>
                </c:pt>
                <c:pt idx="216">
                  <c:v>166.23899999999998</c:v>
                </c:pt>
                <c:pt idx="217">
                  <c:v>233.79899999999998</c:v>
                </c:pt>
                <c:pt idx="218">
                  <c:v>189.709</c:v>
                </c:pt>
                <c:pt idx="219">
                  <c:v>137.15899999999999</c:v>
                </c:pt>
                <c:pt idx="220">
                  <c:v>128.25200000000001</c:v>
                </c:pt>
                <c:pt idx="221">
                  <c:v>141.899</c:v>
                </c:pt>
                <c:pt idx="222">
                  <c:v>126.79900000000001</c:v>
                </c:pt>
                <c:pt idx="223">
                  <c:v>93.88600000000001</c:v>
                </c:pt>
                <c:pt idx="224">
                  <c:v>114.63</c:v>
                </c:pt>
                <c:pt idx="225">
                  <c:v>165.529</c:v>
                </c:pt>
                <c:pt idx="226">
                  <c:v>216.029</c:v>
                </c:pt>
                <c:pt idx="227">
                  <c:v>132.31700000000001</c:v>
                </c:pt>
                <c:pt idx="228">
                  <c:v>128.941</c:v>
                </c:pt>
                <c:pt idx="229">
                  <c:v>139.36099999999999</c:v>
                </c:pt>
                <c:pt idx="230">
                  <c:v>130.464</c:v>
                </c:pt>
                <c:pt idx="231">
                  <c:v>125.53900000000002</c:v>
                </c:pt>
                <c:pt idx="232">
                  <c:v>129.94</c:v>
                </c:pt>
                <c:pt idx="233">
                  <c:v>123.37</c:v>
                </c:pt>
                <c:pt idx="234">
                  <c:v>153.93700000000001</c:v>
                </c:pt>
                <c:pt idx="235">
                  <c:v>175.946</c:v>
                </c:pt>
                <c:pt idx="236">
                  <c:v>172.33499999999998</c:v>
                </c:pt>
                <c:pt idx="237">
                  <c:v>141.18700000000001</c:v>
                </c:pt>
                <c:pt idx="238">
                  <c:v>152.184</c:v>
                </c:pt>
                <c:pt idx="239">
                  <c:v>249.178</c:v>
                </c:pt>
                <c:pt idx="240">
                  <c:v>335.05799999999999</c:v>
                </c:pt>
                <c:pt idx="241">
                  <c:v>236.49299999999999</c:v>
                </c:pt>
                <c:pt idx="242">
                  <c:v>314.21000000000004</c:v>
                </c:pt>
                <c:pt idx="243">
                  <c:v>165.41</c:v>
                </c:pt>
                <c:pt idx="244">
                  <c:v>158.916</c:v>
                </c:pt>
                <c:pt idx="245">
                  <c:v>146.411</c:v>
                </c:pt>
                <c:pt idx="246">
                  <c:v>157.51900000000001</c:v>
                </c:pt>
                <c:pt idx="247">
                  <c:v>123.645</c:v>
                </c:pt>
                <c:pt idx="248">
                  <c:v>133.887</c:v>
                </c:pt>
                <c:pt idx="249">
                  <c:v>121.47999999999999</c:v>
                </c:pt>
                <c:pt idx="250">
                  <c:v>224.53100000000001</c:v>
                </c:pt>
                <c:pt idx="251">
                  <c:v>166</c:v>
                </c:pt>
                <c:pt idx="252">
                  <c:v>173.196</c:v>
                </c:pt>
                <c:pt idx="253">
                  <c:v>158.74</c:v>
                </c:pt>
                <c:pt idx="254">
                  <c:v>173.51300000000001</c:v>
                </c:pt>
                <c:pt idx="255">
                  <c:v>195.20100000000002</c:v>
                </c:pt>
                <c:pt idx="256">
                  <c:v>156.75200000000001</c:v>
                </c:pt>
                <c:pt idx="257">
                  <c:v>163.41500000000002</c:v>
                </c:pt>
                <c:pt idx="258">
                  <c:v>127.09400000000001</c:v>
                </c:pt>
                <c:pt idx="259">
                  <c:v>128.94799999999998</c:v>
                </c:pt>
                <c:pt idx="260">
                  <c:v>242.40499999999997</c:v>
                </c:pt>
                <c:pt idx="261">
                  <c:v>133.89699999999999</c:v>
                </c:pt>
                <c:pt idx="262">
                  <c:v>129.84399999999999</c:v>
                </c:pt>
                <c:pt idx="263">
                  <c:v>123.161</c:v>
                </c:pt>
                <c:pt idx="264">
                  <c:v>131.22800000000001</c:v>
                </c:pt>
                <c:pt idx="265">
                  <c:v>124.577</c:v>
                </c:pt>
                <c:pt idx="266">
                  <c:v>115.538</c:v>
                </c:pt>
                <c:pt idx="267">
                  <c:v>125.907</c:v>
                </c:pt>
                <c:pt idx="268">
                  <c:v>122.666</c:v>
                </c:pt>
                <c:pt idx="269">
                  <c:v>144.404</c:v>
                </c:pt>
                <c:pt idx="270">
                  <c:v>150.55000000000001</c:v>
                </c:pt>
                <c:pt idx="271">
                  <c:v>126.59699999999999</c:v>
                </c:pt>
                <c:pt idx="272">
                  <c:v>121.877</c:v>
                </c:pt>
                <c:pt idx="273">
                  <c:v>122.357</c:v>
                </c:pt>
                <c:pt idx="274">
                  <c:v>84.539999999999992</c:v>
                </c:pt>
                <c:pt idx="275">
                  <c:v>118.85300000000001</c:v>
                </c:pt>
                <c:pt idx="276">
                  <c:v>136.41800000000001</c:v>
                </c:pt>
                <c:pt idx="277">
                  <c:v>213.827</c:v>
                </c:pt>
                <c:pt idx="278">
                  <c:v>189.05700000000002</c:v>
                </c:pt>
                <c:pt idx="279">
                  <c:v>153.50200000000001</c:v>
                </c:pt>
                <c:pt idx="280">
                  <c:v>267.25599999999997</c:v>
                </c:pt>
                <c:pt idx="281">
                  <c:v>193.58300000000003</c:v>
                </c:pt>
                <c:pt idx="282">
                  <c:v>176.99799999999999</c:v>
                </c:pt>
                <c:pt idx="283">
                  <c:v>129.23599999999999</c:v>
                </c:pt>
                <c:pt idx="284">
                  <c:v>100.836</c:v>
                </c:pt>
                <c:pt idx="285">
                  <c:v>160.68899999999999</c:v>
                </c:pt>
                <c:pt idx="286">
                  <c:v>117.13500000000001</c:v>
                </c:pt>
                <c:pt idx="287">
                  <c:v>91.515999999999991</c:v>
                </c:pt>
                <c:pt idx="288">
                  <c:v>145.27699999999999</c:v>
                </c:pt>
                <c:pt idx="289">
                  <c:v>136.70600000000002</c:v>
                </c:pt>
                <c:pt idx="290">
                  <c:v>156.73699999999999</c:v>
                </c:pt>
                <c:pt idx="291">
                  <c:v>78.399000000000001</c:v>
                </c:pt>
                <c:pt idx="292">
                  <c:v>75.775000000000006</c:v>
                </c:pt>
                <c:pt idx="293">
                  <c:v>76.921999999999997</c:v>
                </c:pt>
                <c:pt idx="294">
                  <c:v>95.679000000000002</c:v>
                </c:pt>
                <c:pt idx="295">
                  <c:v>94.106999999999999</c:v>
                </c:pt>
                <c:pt idx="296">
                  <c:v>101.45400000000001</c:v>
                </c:pt>
                <c:pt idx="297">
                  <c:v>182.517</c:v>
                </c:pt>
                <c:pt idx="298">
                  <c:v>123.815</c:v>
                </c:pt>
                <c:pt idx="299">
                  <c:v>117.13500000000001</c:v>
                </c:pt>
                <c:pt idx="300">
                  <c:v>131.16300000000001</c:v>
                </c:pt>
                <c:pt idx="301">
                  <c:v>171.119</c:v>
                </c:pt>
                <c:pt idx="302">
                  <c:v>157.74099999999999</c:v>
                </c:pt>
                <c:pt idx="303">
                  <c:v>253.82900000000001</c:v>
                </c:pt>
                <c:pt idx="304">
                  <c:v>363.55700000000002</c:v>
                </c:pt>
                <c:pt idx="305">
                  <c:v>363.36500000000001</c:v>
                </c:pt>
                <c:pt idx="306">
                  <c:v>322.30200000000002</c:v>
                </c:pt>
                <c:pt idx="307">
                  <c:v>312.90800000000002</c:v>
                </c:pt>
                <c:pt idx="308">
                  <c:v>263.64599999999996</c:v>
                </c:pt>
                <c:pt idx="309">
                  <c:v>245.54000000000002</c:v>
                </c:pt>
                <c:pt idx="310">
                  <c:v>278.05200000000002</c:v>
                </c:pt>
                <c:pt idx="311">
                  <c:v>349.68799999999999</c:v>
                </c:pt>
                <c:pt idx="312">
                  <c:v>340.97800000000001</c:v>
                </c:pt>
                <c:pt idx="313">
                  <c:v>255.41899999999998</c:v>
                </c:pt>
                <c:pt idx="314">
                  <c:v>217.79900000000001</c:v>
                </c:pt>
                <c:pt idx="315">
                  <c:v>240.02700000000002</c:v>
                </c:pt>
                <c:pt idx="316">
                  <c:v>469.62599999999998</c:v>
                </c:pt>
                <c:pt idx="317">
                  <c:v>320.57900000000001</c:v>
                </c:pt>
                <c:pt idx="318">
                  <c:v>298.32599999999996</c:v>
                </c:pt>
                <c:pt idx="319">
                  <c:v>384.92</c:v>
                </c:pt>
                <c:pt idx="320">
                  <c:v>364.27099999999996</c:v>
                </c:pt>
                <c:pt idx="321">
                  <c:v>469.42</c:v>
                </c:pt>
                <c:pt idx="322">
                  <c:v>484.88</c:v>
                </c:pt>
                <c:pt idx="323">
                  <c:v>521.33000000000004</c:v>
                </c:pt>
                <c:pt idx="324">
                  <c:v>569.88599999999997</c:v>
                </c:pt>
                <c:pt idx="325">
                  <c:v>463.57600000000002</c:v>
                </c:pt>
                <c:pt idx="326">
                  <c:v>430.60599999999999</c:v>
                </c:pt>
                <c:pt idx="327">
                  <c:v>370.62599999999998</c:v>
                </c:pt>
                <c:pt idx="328">
                  <c:v>369.78100000000001</c:v>
                </c:pt>
                <c:pt idx="329">
                  <c:v>341.64400000000001</c:v>
                </c:pt>
                <c:pt idx="330">
                  <c:v>452.85499999999996</c:v>
                </c:pt>
                <c:pt idx="331">
                  <c:v>448.06700000000001</c:v>
                </c:pt>
                <c:pt idx="332">
                  <c:v>439.61400000000003</c:v>
                </c:pt>
                <c:pt idx="333">
                  <c:v>516.73500000000001</c:v>
                </c:pt>
                <c:pt idx="334">
                  <c:v>500.79700000000003</c:v>
                </c:pt>
                <c:pt idx="335">
                  <c:v>531.75599999999997</c:v>
                </c:pt>
                <c:pt idx="336">
                  <c:v>561.928</c:v>
                </c:pt>
                <c:pt idx="337">
                  <c:v>563.48</c:v>
                </c:pt>
                <c:pt idx="338">
                  <c:v>574.39</c:v>
                </c:pt>
                <c:pt idx="339">
                  <c:v>575.35599999999999</c:v>
                </c:pt>
                <c:pt idx="340">
                  <c:v>527.66899999999998</c:v>
                </c:pt>
                <c:pt idx="341">
                  <c:v>523.58799999999997</c:v>
                </c:pt>
                <c:pt idx="342">
                  <c:v>642.37199999999996</c:v>
                </c:pt>
                <c:pt idx="343">
                  <c:v>663.94299999999998</c:v>
                </c:pt>
                <c:pt idx="344">
                  <c:v>595.66</c:v>
                </c:pt>
                <c:pt idx="345">
                  <c:v>638.60199999999998</c:v>
                </c:pt>
                <c:pt idx="346">
                  <c:v>535.41599999999994</c:v>
                </c:pt>
                <c:pt idx="347">
                  <c:v>572.87900000000002</c:v>
                </c:pt>
                <c:pt idx="348">
                  <c:v>457.01400000000001</c:v>
                </c:pt>
                <c:pt idx="349">
                  <c:v>506.959</c:v>
                </c:pt>
                <c:pt idx="350">
                  <c:v>468.41499999999996</c:v>
                </c:pt>
                <c:pt idx="351">
                  <c:v>422.56700000000001</c:v>
                </c:pt>
                <c:pt idx="352">
                  <c:v>565.92200000000003</c:v>
                </c:pt>
                <c:pt idx="353">
                  <c:v>556.99599999999998</c:v>
                </c:pt>
                <c:pt idx="354">
                  <c:v>482.233</c:v>
                </c:pt>
                <c:pt idx="355">
                  <c:v>454.37900000000002</c:v>
                </c:pt>
                <c:pt idx="356">
                  <c:v>458.29200000000003</c:v>
                </c:pt>
                <c:pt idx="357">
                  <c:v>410.65600000000001</c:v>
                </c:pt>
                <c:pt idx="358">
                  <c:v>376.50700000000001</c:v>
                </c:pt>
                <c:pt idx="359">
                  <c:v>479.81099999999998</c:v>
                </c:pt>
                <c:pt idx="360">
                  <c:v>630.25</c:v>
                </c:pt>
                <c:pt idx="361">
                  <c:v>699.226</c:v>
                </c:pt>
                <c:pt idx="362">
                  <c:v>461.834</c:v>
                </c:pt>
                <c:pt idx="363">
                  <c:v>552.51700000000005</c:v>
                </c:pt>
                <c:pt idx="364">
                  <c:v>570.70100000000002</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512</c:v>
                </c:pt>
                <c:pt idx="1">
                  <c:v>512</c:v>
                </c:pt>
                <c:pt idx="2">
                  <c:v>512</c:v>
                </c:pt>
                <c:pt idx="3">
                  <c:v>512</c:v>
                </c:pt>
                <c:pt idx="4">
                  <c:v>512</c:v>
                </c:pt>
                <c:pt idx="5">
                  <c:v>512</c:v>
                </c:pt>
                <c:pt idx="6">
                  <c:v>512</c:v>
                </c:pt>
                <c:pt idx="7">
                  <c:v>512</c:v>
                </c:pt>
                <c:pt idx="8">
                  <c:v>512</c:v>
                </c:pt>
                <c:pt idx="9">
                  <c:v>512</c:v>
                </c:pt>
                <c:pt idx="10">
                  <c:v>512</c:v>
                </c:pt>
                <c:pt idx="11">
                  <c:v>512</c:v>
                </c:pt>
                <c:pt idx="12">
                  <c:v>512</c:v>
                </c:pt>
                <c:pt idx="13">
                  <c:v>512</c:v>
                </c:pt>
                <c:pt idx="14">
                  <c:v>512</c:v>
                </c:pt>
                <c:pt idx="15">
                  <c:v>512</c:v>
                </c:pt>
                <c:pt idx="16">
                  <c:v>512</c:v>
                </c:pt>
                <c:pt idx="17">
                  <c:v>512</c:v>
                </c:pt>
                <c:pt idx="18">
                  <c:v>512</c:v>
                </c:pt>
                <c:pt idx="19">
                  <c:v>512</c:v>
                </c:pt>
                <c:pt idx="20">
                  <c:v>512</c:v>
                </c:pt>
                <c:pt idx="21">
                  <c:v>512</c:v>
                </c:pt>
                <c:pt idx="22">
                  <c:v>512</c:v>
                </c:pt>
                <c:pt idx="23">
                  <c:v>512</c:v>
                </c:pt>
                <c:pt idx="24">
                  <c:v>512</c:v>
                </c:pt>
                <c:pt idx="25">
                  <c:v>512</c:v>
                </c:pt>
                <c:pt idx="26">
                  <c:v>512</c:v>
                </c:pt>
                <c:pt idx="27">
                  <c:v>512</c:v>
                </c:pt>
                <c:pt idx="28">
                  <c:v>512</c:v>
                </c:pt>
                <c:pt idx="29">
                  <c:v>512</c:v>
                </c:pt>
                <c:pt idx="30">
                  <c:v>512</c:v>
                </c:pt>
                <c:pt idx="31">
                  <c:v>512</c:v>
                </c:pt>
                <c:pt idx="32">
                  <c:v>512</c:v>
                </c:pt>
                <c:pt idx="33">
                  <c:v>512</c:v>
                </c:pt>
                <c:pt idx="34">
                  <c:v>512</c:v>
                </c:pt>
                <c:pt idx="35">
                  <c:v>512</c:v>
                </c:pt>
                <c:pt idx="36">
                  <c:v>512</c:v>
                </c:pt>
                <c:pt idx="37">
                  <c:v>512</c:v>
                </c:pt>
                <c:pt idx="38">
                  <c:v>512</c:v>
                </c:pt>
                <c:pt idx="39">
                  <c:v>512</c:v>
                </c:pt>
                <c:pt idx="40">
                  <c:v>512</c:v>
                </c:pt>
                <c:pt idx="41">
                  <c:v>512</c:v>
                </c:pt>
                <c:pt idx="42">
                  <c:v>512</c:v>
                </c:pt>
                <c:pt idx="43">
                  <c:v>512</c:v>
                </c:pt>
                <c:pt idx="44">
                  <c:v>512</c:v>
                </c:pt>
                <c:pt idx="45">
                  <c:v>512</c:v>
                </c:pt>
                <c:pt idx="46">
                  <c:v>512</c:v>
                </c:pt>
                <c:pt idx="47">
                  <c:v>512</c:v>
                </c:pt>
                <c:pt idx="48">
                  <c:v>512</c:v>
                </c:pt>
                <c:pt idx="49">
                  <c:v>512</c:v>
                </c:pt>
                <c:pt idx="50">
                  <c:v>512</c:v>
                </c:pt>
                <c:pt idx="51">
                  <c:v>512</c:v>
                </c:pt>
                <c:pt idx="52">
                  <c:v>512</c:v>
                </c:pt>
                <c:pt idx="53">
                  <c:v>512</c:v>
                </c:pt>
                <c:pt idx="54">
                  <c:v>512</c:v>
                </c:pt>
                <c:pt idx="55">
                  <c:v>512</c:v>
                </c:pt>
                <c:pt idx="56">
                  <c:v>512</c:v>
                </c:pt>
                <c:pt idx="57">
                  <c:v>512</c:v>
                </c:pt>
                <c:pt idx="58">
                  <c:v>512</c:v>
                </c:pt>
                <c:pt idx="59">
                  <c:v>512</c:v>
                </c:pt>
                <c:pt idx="60">
                  <c:v>512</c:v>
                </c:pt>
                <c:pt idx="61">
                  <c:v>512</c:v>
                </c:pt>
                <c:pt idx="62">
                  <c:v>512</c:v>
                </c:pt>
                <c:pt idx="63">
                  <c:v>512</c:v>
                </c:pt>
                <c:pt idx="64">
                  <c:v>512</c:v>
                </c:pt>
                <c:pt idx="65">
                  <c:v>512</c:v>
                </c:pt>
                <c:pt idx="66">
                  <c:v>512</c:v>
                </c:pt>
                <c:pt idx="67">
                  <c:v>512</c:v>
                </c:pt>
                <c:pt idx="68">
                  <c:v>512</c:v>
                </c:pt>
                <c:pt idx="69">
                  <c:v>512</c:v>
                </c:pt>
                <c:pt idx="70">
                  <c:v>512</c:v>
                </c:pt>
                <c:pt idx="71">
                  <c:v>512</c:v>
                </c:pt>
                <c:pt idx="72">
                  <c:v>512</c:v>
                </c:pt>
                <c:pt idx="73">
                  <c:v>512</c:v>
                </c:pt>
                <c:pt idx="74">
                  <c:v>512</c:v>
                </c:pt>
                <c:pt idx="75">
                  <c:v>512</c:v>
                </c:pt>
                <c:pt idx="76">
                  <c:v>512</c:v>
                </c:pt>
                <c:pt idx="77">
                  <c:v>512</c:v>
                </c:pt>
                <c:pt idx="78">
                  <c:v>512</c:v>
                </c:pt>
                <c:pt idx="79">
                  <c:v>512</c:v>
                </c:pt>
                <c:pt idx="80">
                  <c:v>512</c:v>
                </c:pt>
                <c:pt idx="81">
                  <c:v>512</c:v>
                </c:pt>
                <c:pt idx="82">
                  <c:v>512</c:v>
                </c:pt>
                <c:pt idx="83">
                  <c:v>512</c:v>
                </c:pt>
                <c:pt idx="84">
                  <c:v>512</c:v>
                </c:pt>
                <c:pt idx="85">
                  <c:v>512</c:v>
                </c:pt>
                <c:pt idx="86">
                  <c:v>512</c:v>
                </c:pt>
                <c:pt idx="87">
                  <c:v>512</c:v>
                </c:pt>
                <c:pt idx="88">
                  <c:v>512</c:v>
                </c:pt>
                <c:pt idx="89">
                  <c:v>512</c:v>
                </c:pt>
                <c:pt idx="90">
                  <c:v>512</c:v>
                </c:pt>
                <c:pt idx="91">
                  <c:v>512</c:v>
                </c:pt>
                <c:pt idx="92">
                  <c:v>512</c:v>
                </c:pt>
                <c:pt idx="93">
                  <c:v>512</c:v>
                </c:pt>
                <c:pt idx="94">
                  <c:v>512</c:v>
                </c:pt>
                <c:pt idx="95">
                  <c:v>512</c:v>
                </c:pt>
                <c:pt idx="96">
                  <c:v>512</c:v>
                </c:pt>
                <c:pt idx="97">
                  <c:v>512</c:v>
                </c:pt>
                <c:pt idx="98">
                  <c:v>512</c:v>
                </c:pt>
                <c:pt idx="99">
                  <c:v>512</c:v>
                </c:pt>
                <c:pt idx="100">
                  <c:v>512</c:v>
                </c:pt>
                <c:pt idx="101">
                  <c:v>512</c:v>
                </c:pt>
                <c:pt idx="102">
                  <c:v>512</c:v>
                </c:pt>
                <c:pt idx="103">
                  <c:v>512</c:v>
                </c:pt>
                <c:pt idx="104">
                  <c:v>512</c:v>
                </c:pt>
                <c:pt idx="105">
                  <c:v>512</c:v>
                </c:pt>
                <c:pt idx="106">
                  <c:v>512</c:v>
                </c:pt>
                <c:pt idx="107">
                  <c:v>512</c:v>
                </c:pt>
                <c:pt idx="108">
                  <c:v>512</c:v>
                </c:pt>
                <c:pt idx="109">
                  <c:v>512</c:v>
                </c:pt>
                <c:pt idx="110">
                  <c:v>512</c:v>
                </c:pt>
                <c:pt idx="111">
                  <c:v>512</c:v>
                </c:pt>
                <c:pt idx="112">
                  <c:v>512</c:v>
                </c:pt>
                <c:pt idx="113">
                  <c:v>512</c:v>
                </c:pt>
                <c:pt idx="114">
                  <c:v>512</c:v>
                </c:pt>
                <c:pt idx="115">
                  <c:v>512</c:v>
                </c:pt>
                <c:pt idx="116">
                  <c:v>512</c:v>
                </c:pt>
                <c:pt idx="117">
                  <c:v>512</c:v>
                </c:pt>
                <c:pt idx="118">
                  <c:v>512</c:v>
                </c:pt>
                <c:pt idx="119">
                  <c:v>512</c:v>
                </c:pt>
                <c:pt idx="120">
                  <c:v>512</c:v>
                </c:pt>
                <c:pt idx="121">
                  <c:v>512</c:v>
                </c:pt>
                <c:pt idx="122">
                  <c:v>512</c:v>
                </c:pt>
                <c:pt idx="123">
                  <c:v>512</c:v>
                </c:pt>
                <c:pt idx="124">
                  <c:v>512</c:v>
                </c:pt>
                <c:pt idx="125">
                  <c:v>512</c:v>
                </c:pt>
                <c:pt idx="126">
                  <c:v>512</c:v>
                </c:pt>
                <c:pt idx="127">
                  <c:v>512</c:v>
                </c:pt>
                <c:pt idx="128">
                  <c:v>512</c:v>
                </c:pt>
                <c:pt idx="129">
                  <c:v>512</c:v>
                </c:pt>
                <c:pt idx="130">
                  <c:v>512</c:v>
                </c:pt>
                <c:pt idx="131">
                  <c:v>512</c:v>
                </c:pt>
                <c:pt idx="132">
                  <c:v>512</c:v>
                </c:pt>
                <c:pt idx="133">
                  <c:v>512</c:v>
                </c:pt>
                <c:pt idx="134">
                  <c:v>512</c:v>
                </c:pt>
                <c:pt idx="135">
                  <c:v>512</c:v>
                </c:pt>
                <c:pt idx="136">
                  <c:v>512</c:v>
                </c:pt>
                <c:pt idx="137">
                  <c:v>512</c:v>
                </c:pt>
                <c:pt idx="138">
                  <c:v>512</c:v>
                </c:pt>
                <c:pt idx="139">
                  <c:v>512</c:v>
                </c:pt>
                <c:pt idx="140">
                  <c:v>512</c:v>
                </c:pt>
                <c:pt idx="141">
                  <c:v>512</c:v>
                </c:pt>
                <c:pt idx="142">
                  <c:v>512</c:v>
                </c:pt>
                <c:pt idx="143">
                  <c:v>512</c:v>
                </c:pt>
                <c:pt idx="144">
                  <c:v>512</c:v>
                </c:pt>
                <c:pt idx="145">
                  <c:v>512</c:v>
                </c:pt>
                <c:pt idx="146">
                  <c:v>512</c:v>
                </c:pt>
                <c:pt idx="147">
                  <c:v>512</c:v>
                </c:pt>
                <c:pt idx="148">
                  <c:v>512</c:v>
                </c:pt>
                <c:pt idx="149">
                  <c:v>512</c:v>
                </c:pt>
                <c:pt idx="150">
                  <c:v>512</c:v>
                </c:pt>
                <c:pt idx="151">
                  <c:v>512</c:v>
                </c:pt>
                <c:pt idx="152">
                  <c:v>512</c:v>
                </c:pt>
                <c:pt idx="153">
                  <c:v>512</c:v>
                </c:pt>
                <c:pt idx="154">
                  <c:v>512</c:v>
                </c:pt>
                <c:pt idx="155">
                  <c:v>512</c:v>
                </c:pt>
                <c:pt idx="156">
                  <c:v>512</c:v>
                </c:pt>
                <c:pt idx="157">
                  <c:v>512</c:v>
                </c:pt>
                <c:pt idx="158">
                  <c:v>512</c:v>
                </c:pt>
                <c:pt idx="159">
                  <c:v>512</c:v>
                </c:pt>
                <c:pt idx="160">
                  <c:v>512</c:v>
                </c:pt>
                <c:pt idx="161">
                  <c:v>512</c:v>
                </c:pt>
                <c:pt idx="162">
                  <c:v>512</c:v>
                </c:pt>
                <c:pt idx="163">
                  <c:v>512</c:v>
                </c:pt>
                <c:pt idx="164">
                  <c:v>512</c:v>
                </c:pt>
                <c:pt idx="165">
                  <c:v>512</c:v>
                </c:pt>
                <c:pt idx="166">
                  <c:v>512</c:v>
                </c:pt>
                <c:pt idx="167">
                  <c:v>512</c:v>
                </c:pt>
                <c:pt idx="168">
                  <c:v>512</c:v>
                </c:pt>
                <c:pt idx="169">
                  <c:v>512</c:v>
                </c:pt>
                <c:pt idx="170">
                  <c:v>512</c:v>
                </c:pt>
                <c:pt idx="171">
                  <c:v>512</c:v>
                </c:pt>
                <c:pt idx="172">
                  <c:v>512</c:v>
                </c:pt>
                <c:pt idx="173">
                  <c:v>512</c:v>
                </c:pt>
                <c:pt idx="174">
                  <c:v>512</c:v>
                </c:pt>
                <c:pt idx="175">
                  <c:v>512</c:v>
                </c:pt>
                <c:pt idx="176">
                  <c:v>512</c:v>
                </c:pt>
                <c:pt idx="177">
                  <c:v>512</c:v>
                </c:pt>
                <c:pt idx="178">
                  <c:v>512</c:v>
                </c:pt>
                <c:pt idx="179">
                  <c:v>512</c:v>
                </c:pt>
                <c:pt idx="180">
                  <c:v>512</c:v>
                </c:pt>
                <c:pt idx="181">
                  <c:v>512</c:v>
                </c:pt>
                <c:pt idx="182">
                  <c:v>512</c:v>
                </c:pt>
                <c:pt idx="183">
                  <c:v>512</c:v>
                </c:pt>
                <c:pt idx="184">
                  <c:v>512</c:v>
                </c:pt>
                <c:pt idx="185">
                  <c:v>512</c:v>
                </c:pt>
                <c:pt idx="186">
                  <c:v>512</c:v>
                </c:pt>
                <c:pt idx="187">
                  <c:v>512</c:v>
                </c:pt>
                <c:pt idx="188">
                  <c:v>512</c:v>
                </c:pt>
                <c:pt idx="189">
                  <c:v>512</c:v>
                </c:pt>
                <c:pt idx="190">
                  <c:v>512</c:v>
                </c:pt>
                <c:pt idx="191">
                  <c:v>512</c:v>
                </c:pt>
                <c:pt idx="192">
                  <c:v>512</c:v>
                </c:pt>
                <c:pt idx="193">
                  <c:v>512</c:v>
                </c:pt>
                <c:pt idx="194">
                  <c:v>512</c:v>
                </c:pt>
                <c:pt idx="195">
                  <c:v>512</c:v>
                </c:pt>
                <c:pt idx="196">
                  <c:v>512</c:v>
                </c:pt>
                <c:pt idx="197">
                  <c:v>512</c:v>
                </c:pt>
                <c:pt idx="198">
                  <c:v>512</c:v>
                </c:pt>
                <c:pt idx="199">
                  <c:v>512</c:v>
                </c:pt>
                <c:pt idx="200">
                  <c:v>512</c:v>
                </c:pt>
                <c:pt idx="201">
                  <c:v>512</c:v>
                </c:pt>
                <c:pt idx="202">
                  <c:v>512</c:v>
                </c:pt>
                <c:pt idx="203">
                  <c:v>512</c:v>
                </c:pt>
                <c:pt idx="204">
                  <c:v>512</c:v>
                </c:pt>
                <c:pt idx="205">
                  <c:v>512</c:v>
                </c:pt>
                <c:pt idx="206">
                  <c:v>512</c:v>
                </c:pt>
                <c:pt idx="207">
                  <c:v>512</c:v>
                </c:pt>
                <c:pt idx="208">
                  <c:v>512</c:v>
                </c:pt>
                <c:pt idx="209">
                  <c:v>512</c:v>
                </c:pt>
                <c:pt idx="210">
                  <c:v>512</c:v>
                </c:pt>
                <c:pt idx="211">
                  <c:v>512</c:v>
                </c:pt>
                <c:pt idx="212">
                  <c:v>512</c:v>
                </c:pt>
                <c:pt idx="213">
                  <c:v>512</c:v>
                </c:pt>
                <c:pt idx="214">
                  <c:v>512</c:v>
                </c:pt>
                <c:pt idx="215">
                  <c:v>512</c:v>
                </c:pt>
                <c:pt idx="216">
                  <c:v>512</c:v>
                </c:pt>
                <c:pt idx="217">
                  <c:v>512</c:v>
                </c:pt>
                <c:pt idx="218">
                  <c:v>512</c:v>
                </c:pt>
                <c:pt idx="219">
                  <c:v>512</c:v>
                </c:pt>
                <c:pt idx="220">
                  <c:v>512</c:v>
                </c:pt>
                <c:pt idx="221">
                  <c:v>512</c:v>
                </c:pt>
                <c:pt idx="222">
                  <c:v>512</c:v>
                </c:pt>
                <c:pt idx="223">
                  <c:v>512</c:v>
                </c:pt>
                <c:pt idx="224">
                  <c:v>512</c:v>
                </c:pt>
                <c:pt idx="225">
                  <c:v>512</c:v>
                </c:pt>
                <c:pt idx="226">
                  <c:v>512</c:v>
                </c:pt>
                <c:pt idx="227">
                  <c:v>512</c:v>
                </c:pt>
                <c:pt idx="228">
                  <c:v>512</c:v>
                </c:pt>
                <c:pt idx="229">
                  <c:v>512</c:v>
                </c:pt>
                <c:pt idx="230">
                  <c:v>512</c:v>
                </c:pt>
                <c:pt idx="231">
                  <c:v>512</c:v>
                </c:pt>
                <c:pt idx="232">
                  <c:v>512</c:v>
                </c:pt>
                <c:pt idx="233">
                  <c:v>512</c:v>
                </c:pt>
                <c:pt idx="234">
                  <c:v>512</c:v>
                </c:pt>
                <c:pt idx="235">
                  <c:v>512</c:v>
                </c:pt>
                <c:pt idx="236">
                  <c:v>512</c:v>
                </c:pt>
                <c:pt idx="237">
                  <c:v>512</c:v>
                </c:pt>
                <c:pt idx="238">
                  <c:v>512</c:v>
                </c:pt>
                <c:pt idx="239">
                  <c:v>512</c:v>
                </c:pt>
                <c:pt idx="240">
                  <c:v>512</c:v>
                </c:pt>
                <c:pt idx="241">
                  <c:v>512</c:v>
                </c:pt>
                <c:pt idx="242">
                  <c:v>512</c:v>
                </c:pt>
                <c:pt idx="243">
                  <c:v>512</c:v>
                </c:pt>
                <c:pt idx="244">
                  <c:v>512</c:v>
                </c:pt>
                <c:pt idx="245">
                  <c:v>512</c:v>
                </c:pt>
                <c:pt idx="246">
                  <c:v>512</c:v>
                </c:pt>
                <c:pt idx="247">
                  <c:v>512</c:v>
                </c:pt>
                <c:pt idx="248">
                  <c:v>512</c:v>
                </c:pt>
                <c:pt idx="249">
                  <c:v>512</c:v>
                </c:pt>
                <c:pt idx="250">
                  <c:v>512</c:v>
                </c:pt>
                <c:pt idx="251">
                  <c:v>512</c:v>
                </c:pt>
                <c:pt idx="252">
                  <c:v>512</c:v>
                </c:pt>
                <c:pt idx="253">
                  <c:v>512</c:v>
                </c:pt>
                <c:pt idx="254">
                  <c:v>512</c:v>
                </c:pt>
                <c:pt idx="255">
                  <c:v>512</c:v>
                </c:pt>
                <c:pt idx="256">
                  <c:v>512</c:v>
                </c:pt>
                <c:pt idx="257">
                  <c:v>512</c:v>
                </c:pt>
                <c:pt idx="258">
                  <c:v>512</c:v>
                </c:pt>
                <c:pt idx="259">
                  <c:v>512</c:v>
                </c:pt>
                <c:pt idx="260">
                  <c:v>512</c:v>
                </c:pt>
                <c:pt idx="261">
                  <c:v>512</c:v>
                </c:pt>
                <c:pt idx="262">
                  <c:v>512</c:v>
                </c:pt>
                <c:pt idx="263">
                  <c:v>512</c:v>
                </c:pt>
                <c:pt idx="264">
                  <c:v>512</c:v>
                </c:pt>
                <c:pt idx="265">
                  <c:v>512</c:v>
                </c:pt>
                <c:pt idx="266">
                  <c:v>512</c:v>
                </c:pt>
                <c:pt idx="267">
                  <c:v>512</c:v>
                </c:pt>
                <c:pt idx="268">
                  <c:v>512</c:v>
                </c:pt>
                <c:pt idx="269">
                  <c:v>512</c:v>
                </c:pt>
                <c:pt idx="270">
                  <c:v>512</c:v>
                </c:pt>
                <c:pt idx="271">
                  <c:v>512</c:v>
                </c:pt>
                <c:pt idx="272">
                  <c:v>512</c:v>
                </c:pt>
                <c:pt idx="273">
                  <c:v>512</c:v>
                </c:pt>
                <c:pt idx="274">
                  <c:v>512</c:v>
                </c:pt>
                <c:pt idx="275">
                  <c:v>512</c:v>
                </c:pt>
                <c:pt idx="276">
                  <c:v>512</c:v>
                </c:pt>
                <c:pt idx="277">
                  <c:v>512</c:v>
                </c:pt>
                <c:pt idx="278">
                  <c:v>512</c:v>
                </c:pt>
                <c:pt idx="279">
                  <c:v>512</c:v>
                </c:pt>
                <c:pt idx="280">
                  <c:v>512</c:v>
                </c:pt>
                <c:pt idx="281">
                  <c:v>512</c:v>
                </c:pt>
                <c:pt idx="282">
                  <c:v>512</c:v>
                </c:pt>
                <c:pt idx="283">
                  <c:v>512</c:v>
                </c:pt>
                <c:pt idx="284">
                  <c:v>512</c:v>
                </c:pt>
                <c:pt idx="285">
                  <c:v>512</c:v>
                </c:pt>
                <c:pt idx="286">
                  <c:v>512</c:v>
                </c:pt>
                <c:pt idx="287">
                  <c:v>512</c:v>
                </c:pt>
                <c:pt idx="288">
                  <c:v>512</c:v>
                </c:pt>
                <c:pt idx="289">
                  <c:v>512</c:v>
                </c:pt>
                <c:pt idx="290">
                  <c:v>512</c:v>
                </c:pt>
                <c:pt idx="291">
                  <c:v>512</c:v>
                </c:pt>
                <c:pt idx="292">
                  <c:v>512</c:v>
                </c:pt>
                <c:pt idx="293">
                  <c:v>512</c:v>
                </c:pt>
                <c:pt idx="294">
                  <c:v>512</c:v>
                </c:pt>
                <c:pt idx="295">
                  <c:v>512</c:v>
                </c:pt>
                <c:pt idx="296">
                  <c:v>512</c:v>
                </c:pt>
                <c:pt idx="297">
                  <c:v>512</c:v>
                </c:pt>
                <c:pt idx="298">
                  <c:v>512</c:v>
                </c:pt>
                <c:pt idx="299">
                  <c:v>512</c:v>
                </c:pt>
                <c:pt idx="300">
                  <c:v>512</c:v>
                </c:pt>
                <c:pt idx="301">
                  <c:v>512</c:v>
                </c:pt>
                <c:pt idx="302">
                  <c:v>512</c:v>
                </c:pt>
                <c:pt idx="303">
                  <c:v>512</c:v>
                </c:pt>
                <c:pt idx="304">
                  <c:v>512</c:v>
                </c:pt>
                <c:pt idx="305">
                  <c:v>512</c:v>
                </c:pt>
                <c:pt idx="306">
                  <c:v>512</c:v>
                </c:pt>
                <c:pt idx="307">
                  <c:v>512</c:v>
                </c:pt>
                <c:pt idx="308">
                  <c:v>512</c:v>
                </c:pt>
                <c:pt idx="309">
                  <c:v>512</c:v>
                </c:pt>
                <c:pt idx="310">
                  <c:v>512</c:v>
                </c:pt>
                <c:pt idx="311">
                  <c:v>512</c:v>
                </c:pt>
                <c:pt idx="312">
                  <c:v>512</c:v>
                </c:pt>
                <c:pt idx="313">
                  <c:v>512</c:v>
                </c:pt>
                <c:pt idx="314">
                  <c:v>512</c:v>
                </c:pt>
                <c:pt idx="315">
                  <c:v>512</c:v>
                </c:pt>
                <c:pt idx="316">
                  <c:v>512</c:v>
                </c:pt>
                <c:pt idx="317">
                  <c:v>512</c:v>
                </c:pt>
                <c:pt idx="318">
                  <c:v>512</c:v>
                </c:pt>
                <c:pt idx="319">
                  <c:v>512</c:v>
                </c:pt>
                <c:pt idx="320">
                  <c:v>512</c:v>
                </c:pt>
                <c:pt idx="321">
                  <c:v>512</c:v>
                </c:pt>
                <c:pt idx="322">
                  <c:v>512</c:v>
                </c:pt>
                <c:pt idx="323">
                  <c:v>512</c:v>
                </c:pt>
                <c:pt idx="324">
                  <c:v>512</c:v>
                </c:pt>
                <c:pt idx="325">
                  <c:v>512</c:v>
                </c:pt>
                <c:pt idx="326">
                  <c:v>512</c:v>
                </c:pt>
                <c:pt idx="327">
                  <c:v>512</c:v>
                </c:pt>
                <c:pt idx="328">
                  <c:v>512</c:v>
                </c:pt>
                <c:pt idx="329">
                  <c:v>512</c:v>
                </c:pt>
                <c:pt idx="330">
                  <c:v>512</c:v>
                </c:pt>
                <c:pt idx="331">
                  <c:v>512</c:v>
                </c:pt>
                <c:pt idx="332">
                  <c:v>512</c:v>
                </c:pt>
                <c:pt idx="333">
                  <c:v>512</c:v>
                </c:pt>
                <c:pt idx="334">
                  <c:v>512</c:v>
                </c:pt>
                <c:pt idx="335">
                  <c:v>512</c:v>
                </c:pt>
                <c:pt idx="336">
                  <c:v>512</c:v>
                </c:pt>
                <c:pt idx="337">
                  <c:v>512</c:v>
                </c:pt>
                <c:pt idx="338">
                  <c:v>512</c:v>
                </c:pt>
                <c:pt idx="339">
                  <c:v>512</c:v>
                </c:pt>
                <c:pt idx="340">
                  <c:v>512</c:v>
                </c:pt>
                <c:pt idx="341">
                  <c:v>512</c:v>
                </c:pt>
                <c:pt idx="342">
                  <c:v>512</c:v>
                </c:pt>
                <c:pt idx="343">
                  <c:v>512</c:v>
                </c:pt>
                <c:pt idx="344">
                  <c:v>512</c:v>
                </c:pt>
                <c:pt idx="345">
                  <c:v>512</c:v>
                </c:pt>
                <c:pt idx="346">
                  <c:v>512</c:v>
                </c:pt>
                <c:pt idx="347">
                  <c:v>512</c:v>
                </c:pt>
                <c:pt idx="348">
                  <c:v>512</c:v>
                </c:pt>
                <c:pt idx="349">
                  <c:v>512</c:v>
                </c:pt>
                <c:pt idx="350">
                  <c:v>512</c:v>
                </c:pt>
                <c:pt idx="351">
                  <c:v>512</c:v>
                </c:pt>
                <c:pt idx="352">
                  <c:v>512</c:v>
                </c:pt>
                <c:pt idx="353">
                  <c:v>512</c:v>
                </c:pt>
                <c:pt idx="354">
                  <c:v>512</c:v>
                </c:pt>
                <c:pt idx="355">
                  <c:v>512</c:v>
                </c:pt>
                <c:pt idx="356">
                  <c:v>512</c:v>
                </c:pt>
                <c:pt idx="357">
                  <c:v>512</c:v>
                </c:pt>
                <c:pt idx="358">
                  <c:v>512</c:v>
                </c:pt>
                <c:pt idx="359">
                  <c:v>512</c:v>
                </c:pt>
                <c:pt idx="360">
                  <c:v>512</c:v>
                </c:pt>
                <c:pt idx="361">
                  <c:v>512</c:v>
                </c:pt>
                <c:pt idx="362">
                  <c:v>512</c:v>
                </c:pt>
                <c:pt idx="363">
                  <c:v>512</c:v>
                </c:pt>
                <c:pt idx="364">
                  <c:v>512</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0.16571729134496579</c:v>
                </c:pt>
                <c:pt idx="1">
                  <c:v>0.34942469074743926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0.31153684957449346</c:v>
                </c:pt>
                <c:pt idx="1">
                  <c:v>0.36197627898345663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0.40766485120878226</c:v>
                </c:pt>
                <c:pt idx="1">
                  <c:v>0.63838312348131299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0.88491899212824154</c:v>
                </c:pt>
                <c:pt idx="1">
                  <c:v>1.3497840932122087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273050</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795618"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795618"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100965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774065</xdr:colOff>
      <xdr:row>3</xdr:row>
      <xdr:rowOff>87630</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95250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739775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88265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770890</xdr:colOff>
      <xdr:row>3</xdr:row>
      <xdr:rowOff>95250</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DABF1B03-987B-E19C-CD87-C0C5E43071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54A94ACD-B8DA-1DDF-4D6E-139280AB34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50F55C5D-A982-2386-FDDD-9D33EFD6A1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93345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A6975067-40E2-1686-D323-E087712377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80AFD5C4-969F-160D-F605-6F77BE911E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57150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67340</xdr:colOff>
      <xdr:row>64</xdr:row>
      <xdr:rowOff>76800</xdr:rowOff>
    </xdr:to>
    <xdr:pic>
      <xdr:nvPicPr>
        <xdr:cNvPr id="2" name="Picture 1">
          <a:extLst>
            <a:ext uri="{FF2B5EF4-FFF2-40B4-BE49-F238E27FC236}">
              <a16:creationId xmlns:a16="http://schemas.microsoft.com/office/drawing/2014/main" id="{CF7193D3-1873-79C4-C7CC-8053FF09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0</xdr:row>
      <xdr:rowOff>0</xdr:rowOff>
    </xdr:from>
    <xdr:to>
      <xdr:col>24</xdr:col>
      <xdr:colOff>372140</xdr:colOff>
      <xdr:row>64</xdr:row>
      <xdr:rowOff>76800</xdr:rowOff>
    </xdr:to>
    <xdr:pic>
      <xdr:nvPicPr>
        <xdr:cNvPr id="3" name="Picture 2">
          <a:extLst>
            <a:ext uri="{FF2B5EF4-FFF2-40B4-BE49-F238E27FC236}">
              <a16:creationId xmlns:a16="http://schemas.microsoft.com/office/drawing/2014/main" id="{2535FC16-18EC-08D1-553B-9C3B805F0C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20955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405417</xdr:colOff>
      <xdr:row>62</xdr:row>
      <xdr:rowOff>19050</xdr:rowOff>
    </xdr:to>
    <xdr:pic>
      <xdr:nvPicPr>
        <xdr:cNvPr id="3" name="Picture 2">
          <a:extLst>
            <a:ext uri="{FF2B5EF4-FFF2-40B4-BE49-F238E27FC236}">
              <a16:creationId xmlns:a16="http://schemas.microsoft.com/office/drawing/2014/main" id="{3F59B116-FD9D-EEE7-088A-423D766582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C8A3CD00-F551-B50F-1926-934B0AB1C3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09344251-56EE-1C2B-11BE-6C26762371F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87" tableBorderDxfId="86">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85"/>
    <tableColumn id="4" xr3:uid="{00000000-0010-0000-0100-000004000000}" name="Table"/>
    <tableColumn id="5" xr3:uid="{00000000-0010-0000-0100-000005000000}" name="Cell" dataDxfId="84"/>
    <tableColumn id="6" xr3:uid="{00000000-0010-0000-0100-000006000000}" name="Change"/>
    <tableColumn id="7" xr3:uid="{00000000-0010-0000-0100-000007000000}" name="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Normal="100" workbookViewId="0">
      <pane ySplit="6" topLeftCell="A8" activePane="bottomLeft" state="frozen"/>
      <selection pane="bottomLeft"/>
    </sheetView>
  </sheetViews>
  <sheetFormatPr defaultColWidth="9.28515625" defaultRowHeight="12.75"/>
  <cols>
    <col min="1" max="1" width="41" style="220" customWidth="1"/>
    <col min="2" max="2" width="23.5703125" style="220" customWidth="1"/>
    <col min="3" max="6" width="20.7109375" style="220" customWidth="1"/>
    <col min="7" max="8" width="11.28515625" style="220" customWidth="1"/>
    <col min="9" max="11" width="20.7109375" style="220" customWidth="1"/>
    <col min="12" max="13" width="9.28515625" style="220"/>
    <col min="14" max="14" width="27.28515625" style="220" customWidth="1"/>
    <col min="15" max="16384" width="9.28515625" style="220"/>
  </cols>
  <sheetData>
    <row r="1" spans="1:11" ht="66" customHeight="1"/>
    <row r="2" spans="1:11" ht="20.25" customHeight="1">
      <c r="A2" s="221" t="s">
        <v>0</v>
      </c>
      <c r="B2" s="221"/>
      <c r="C2" s="221"/>
      <c r="D2" s="221"/>
      <c r="E2" s="221"/>
      <c r="F2" s="221"/>
      <c r="G2" s="221"/>
      <c r="H2" s="221"/>
      <c r="I2" s="221"/>
      <c r="J2" s="221"/>
      <c r="K2" s="221"/>
    </row>
    <row r="3" spans="1:11" ht="20.25">
      <c r="A3" s="221" t="s">
        <v>1</v>
      </c>
      <c r="B3" s="221"/>
      <c r="C3" s="221"/>
      <c r="D3" s="221"/>
      <c r="E3" s="221"/>
      <c r="F3" s="221"/>
      <c r="G3" s="221"/>
      <c r="H3" s="221"/>
      <c r="I3" s="221"/>
      <c r="J3" s="221"/>
      <c r="K3" s="221"/>
    </row>
    <row r="4" spans="1:11">
      <c r="A4" s="222"/>
      <c r="B4" s="222"/>
      <c r="C4" s="222"/>
      <c r="D4" s="222"/>
      <c r="E4" s="222"/>
      <c r="F4" s="222"/>
      <c r="G4" s="222"/>
      <c r="H4" s="222"/>
      <c r="I4" s="222"/>
      <c r="J4" s="222"/>
      <c r="K4" s="222"/>
    </row>
    <row r="5" spans="1:11" s="226" customFormat="1" ht="15.75">
      <c r="A5" s="223" t="s">
        <v>2</v>
      </c>
      <c r="B5" s="224"/>
      <c r="C5" s="224"/>
      <c r="D5" s="224"/>
      <c r="E5" s="224"/>
      <c r="F5" s="224"/>
      <c r="G5" s="224"/>
      <c r="H5" s="224"/>
      <c r="I5" s="224"/>
      <c r="J5" s="225"/>
      <c r="K5" s="225"/>
    </row>
    <row r="6" spans="1:11" s="226" customFormat="1" ht="15.75">
      <c r="A6" s="223" t="s">
        <v>3</v>
      </c>
      <c r="B6" s="224"/>
      <c r="C6" s="224"/>
      <c r="D6" s="224"/>
      <c r="E6" s="224"/>
      <c r="F6" s="224"/>
      <c r="G6" s="224"/>
      <c r="H6" s="224"/>
      <c r="I6" s="224"/>
      <c r="J6" s="225"/>
      <c r="K6" s="225"/>
    </row>
    <row r="7" spans="1:11" ht="15.75" thickBot="1">
      <c r="A7" s="300"/>
      <c r="B7" s="300"/>
      <c r="C7" s="300"/>
      <c r="D7" s="300"/>
      <c r="E7" s="300"/>
      <c r="F7" s="300"/>
      <c r="G7" s="300"/>
      <c r="H7" s="300"/>
      <c r="I7" s="300"/>
      <c r="J7" s="222"/>
      <c r="K7" s="222"/>
    </row>
    <row r="8" spans="1:11" ht="12.75" customHeight="1">
      <c r="A8" s="377" t="s">
        <v>4</v>
      </c>
      <c r="B8" s="378"/>
      <c r="C8" s="378"/>
      <c r="D8" s="378"/>
      <c r="E8" s="378"/>
      <c r="F8" s="378"/>
      <c r="G8" s="378"/>
      <c r="H8" s="378"/>
      <c r="I8" s="379"/>
      <c r="J8" s="222"/>
      <c r="K8" s="222"/>
    </row>
    <row r="9" spans="1:11" ht="15.75">
      <c r="A9" s="227" t="s">
        <v>5</v>
      </c>
      <c r="B9" s="228"/>
      <c r="C9" s="228"/>
      <c r="D9" s="229"/>
      <c r="E9" s="229"/>
      <c r="F9" s="229"/>
      <c r="G9" s="229"/>
      <c r="H9" s="229"/>
      <c r="I9" s="230"/>
      <c r="J9" s="222"/>
      <c r="K9" s="222"/>
    </row>
    <row r="10" spans="1:11" ht="15.75">
      <c r="A10" s="383" t="s">
        <v>6</v>
      </c>
      <c r="B10" s="384"/>
      <c r="C10" s="384"/>
      <c r="D10" s="384"/>
      <c r="E10" s="384"/>
      <c r="F10" s="384"/>
      <c r="G10" s="384"/>
      <c r="H10" s="384"/>
      <c r="I10" s="385"/>
      <c r="J10" s="222"/>
      <c r="K10" s="222"/>
    </row>
    <row r="11" spans="1:11" ht="16.5" thickBot="1">
      <c r="A11" s="380" t="s">
        <v>7</v>
      </c>
      <c r="B11" s="381"/>
      <c r="C11" s="381"/>
      <c r="D11" s="381"/>
      <c r="E11" s="381"/>
      <c r="F11" s="381"/>
      <c r="G11" s="381"/>
      <c r="H11" s="381"/>
      <c r="I11" s="382"/>
      <c r="J11" s="222"/>
      <c r="K11" s="222"/>
    </row>
    <row r="12" spans="1:11" ht="15">
      <c r="A12" s="386"/>
      <c r="B12" s="387"/>
      <c r="C12" s="387"/>
      <c r="D12" s="387"/>
      <c r="E12" s="387"/>
      <c r="F12" s="387"/>
      <c r="G12" s="387"/>
      <c r="H12" s="387"/>
      <c r="I12" s="387"/>
      <c r="J12" s="222"/>
      <c r="K12" s="222"/>
    </row>
    <row r="13" spans="1:11" ht="15.75">
      <c r="A13" s="231" t="s">
        <v>8</v>
      </c>
      <c r="B13" s="300"/>
      <c r="C13" s="300"/>
      <c r="D13" s="300"/>
      <c r="E13" s="300"/>
      <c r="F13" s="300"/>
      <c r="G13" s="300"/>
      <c r="H13" s="300"/>
      <c r="I13" s="300"/>
      <c r="J13" s="222"/>
      <c r="K13" s="222"/>
    </row>
    <row r="14" spans="1:11" ht="15.75">
      <c r="A14" s="232" t="s">
        <v>9</v>
      </c>
      <c r="B14" s="300"/>
      <c r="C14" s="300"/>
      <c r="D14" s="300"/>
      <c r="E14" s="300"/>
      <c r="F14" s="300"/>
      <c r="G14" s="300"/>
      <c r="H14" s="300"/>
      <c r="I14" s="300"/>
      <c r="J14" s="222"/>
      <c r="K14" s="222"/>
    </row>
    <row r="15" spans="1:11">
      <c r="A15" s="222"/>
      <c r="B15" s="222"/>
      <c r="C15" s="222"/>
      <c r="D15" s="222"/>
      <c r="E15" s="222"/>
      <c r="F15" s="222"/>
      <c r="G15" s="222"/>
      <c r="H15" s="222"/>
      <c r="I15" s="222"/>
      <c r="J15" s="222"/>
      <c r="K15" s="222"/>
    </row>
    <row r="16" spans="1:11">
      <c r="A16" s="222"/>
      <c r="B16" s="222"/>
      <c r="C16" s="222"/>
      <c r="D16" s="222"/>
      <c r="E16" s="222"/>
      <c r="F16" s="222"/>
      <c r="G16" s="222"/>
      <c r="H16" s="222"/>
      <c r="I16" s="222"/>
      <c r="J16" s="222"/>
      <c r="K16" s="222"/>
    </row>
    <row r="17" spans="1:11" ht="15.75">
      <c r="A17" s="349" t="s">
        <v>10</v>
      </c>
      <c r="B17" s="350"/>
      <c r="C17" s="393" t="s">
        <v>499</v>
      </c>
      <c r="D17" s="394"/>
      <c r="E17" s="394"/>
      <c r="F17" s="300"/>
      <c r="G17" s="300"/>
      <c r="H17" s="300"/>
      <c r="I17" s="300"/>
      <c r="J17" s="300"/>
      <c r="K17" s="300"/>
    </row>
    <row r="18" spans="1:11" ht="15.75">
      <c r="A18" s="232"/>
      <c r="B18" s="232"/>
      <c r="C18" s="233"/>
      <c r="D18" s="233"/>
      <c r="E18" s="233"/>
      <c r="F18" s="300"/>
      <c r="G18" s="300"/>
      <c r="H18" s="300"/>
      <c r="I18" s="300"/>
      <c r="J18" s="300"/>
      <c r="K18" s="300"/>
    </row>
    <row r="19" spans="1:11" ht="18" customHeight="1">
      <c r="A19" s="349" t="s">
        <v>11</v>
      </c>
      <c r="B19" s="350"/>
      <c r="C19" s="354" t="s">
        <v>504</v>
      </c>
      <c r="D19" s="355"/>
      <c r="E19" s="355"/>
      <c r="F19" s="300"/>
      <c r="G19" s="300"/>
      <c r="H19" s="300"/>
      <c r="I19" s="300"/>
      <c r="J19" s="300"/>
      <c r="K19" s="300"/>
    </row>
    <row r="20" spans="1:11" ht="15.75">
      <c r="A20" s="232"/>
      <c r="B20" s="232"/>
      <c r="C20" s="388"/>
      <c r="D20" s="389"/>
      <c r="E20" s="389"/>
      <c r="F20" s="300"/>
      <c r="G20" s="300"/>
      <c r="H20" s="300"/>
      <c r="I20" s="300"/>
      <c r="J20" s="300"/>
      <c r="K20" s="300"/>
    </row>
    <row r="21" spans="1:11" ht="15.75">
      <c r="A21" s="349" t="s">
        <v>12</v>
      </c>
      <c r="B21" s="356"/>
      <c r="C21" s="390" t="s">
        <v>500</v>
      </c>
      <c r="D21" s="391"/>
      <c r="E21" s="392"/>
      <c r="F21" s="300"/>
      <c r="G21" s="300"/>
      <c r="H21" s="300"/>
      <c r="I21" s="300"/>
      <c r="J21" s="300"/>
      <c r="K21" s="300"/>
    </row>
    <row r="22" spans="1:11" ht="15">
      <c r="A22" s="300"/>
      <c r="B22" s="300"/>
      <c r="C22" s="233"/>
      <c r="D22" s="233"/>
      <c r="E22" s="233"/>
      <c r="F22" s="300"/>
      <c r="G22" s="300"/>
      <c r="H22" s="300"/>
      <c r="I22" s="300"/>
      <c r="J22" s="300"/>
      <c r="K22" s="300"/>
    </row>
    <row r="23" spans="1:11" ht="18" customHeight="1">
      <c r="A23" s="349" t="s">
        <v>13</v>
      </c>
      <c r="B23" s="356"/>
      <c r="C23" s="357" t="s">
        <v>484</v>
      </c>
      <c r="D23" s="358"/>
      <c r="E23" s="359"/>
      <c r="F23" s="300"/>
      <c r="G23" s="300"/>
      <c r="H23" s="300"/>
      <c r="I23" s="300"/>
      <c r="J23" s="300"/>
      <c r="K23" s="300"/>
    </row>
    <row r="24" spans="1:11" ht="15">
      <c r="A24" s="300"/>
      <c r="B24" s="300"/>
      <c r="C24" s="233"/>
      <c r="D24" s="233"/>
      <c r="E24" s="233"/>
      <c r="F24" s="300"/>
      <c r="G24" s="300"/>
      <c r="H24" s="300"/>
      <c r="I24" s="300"/>
      <c r="J24" s="300"/>
      <c r="K24" s="300"/>
    </row>
    <row r="25" spans="1:11" ht="15.75">
      <c r="A25" s="349" t="s">
        <v>14</v>
      </c>
      <c r="B25" s="356"/>
      <c r="C25" s="351">
        <v>45474</v>
      </c>
      <c r="D25" s="352"/>
      <c r="E25" s="353"/>
      <c r="F25" s="300"/>
      <c r="G25" s="300"/>
      <c r="H25" s="300"/>
      <c r="I25" s="300"/>
      <c r="J25" s="300"/>
      <c r="K25" s="300"/>
    </row>
    <row r="26" spans="1:11" ht="15">
      <c r="A26" s="300"/>
      <c r="B26" s="300"/>
      <c r="C26" s="233"/>
      <c r="D26" s="233"/>
      <c r="E26" s="233"/>
      <c r="F26" s="300"/>
      <c r="G26" s="300"/>
      <c r="H26" s="300"/>
      <c r="I26" s="300"/>
      <c r="J26" s="300"/>
      <c r="K26" s="300"/>
    </row>
    <row r="27" spans="1:11" ht="15.75">
      <c r="A27" s="349" t="s">
        <v>15</v>
      </c>
      <c r="B27" s="356"/>
      <c r="C27" s="351">
        <v>45838</v>
      </c>
      <c r="D27" s="352"/>
      <c r="E27" s="353"/>
      <c r="F27" s="300"/>
      <c r="G27" s="300"/>
      <c r="H27" s="300"/>
      <c r="I27" s="300"/>
      <c r="J27" s="300"/>
      <c r="K27" s="300"/>
    </row>
    <row r="28" spans="1:11" ht="15">
      <c r="A28" s="300"/>
      <c r="B28" s="300"/>
      <c r="C28" s="233"/>
      <c r="D28" s="233"/>
      <c r="E28" s="233"/>
      <c r="F28" s="300"/>
      <c r="G28" s="300"/>
      <c r="H28" s="300"/>
      <c r="I28" s="300"/>
      <c r="J28" s="300"/>
      <c r="K28" s="300"/>
    </row>
    <row r="29" spans="1:11" ht="15.75">
      <c r="A29" s="360" t="s">
        <v>16</v>
      </c>
      <c r="B29" s="360"/>
      <c r="C29" s="351">
        <v>46013</v>
      </c>
      <c r="D29" s="352"/>
      <c r="E29" s="353"/>
      <c r="F29" s="300"/>
      <c r="G29" s="300"/>
      <c r="H29" s="300"/>
      <c r="I29" s="300"/>
      <c r="J29" s="300"/>
      <c r="K29" s="300"/>
    </row>
    <row r="30" spans="1:11" ht="15">
      <c r="A30" s="300"/>
      <c r="B30" s="300"/>
      <c r="C30" s="233"/>
      <c r="D30" s="233"/>
      <c r="E30" s="233"/>
      <c r="F30" s="300"/>
      <c r="G30" s="300"/>
      <c r="H30" s="300"/>
      <c r="I30" s="300"/>
      <c r="J30" s="300"/>
      <c r="K30" s="300"/>
    </row>
    <row r="31" spans="1:11" ht="15.75">
      <c r="A31" s="360" t="s">
        <v>17</v>
      </c>
      <c r="B31" s="360"/>
      <c r="C31" s="351">
        <v>45838</v>
      </c>
      <c r="D31" s="352"/>
      <c r="E31" s="353"/>
      <c r="F31" s="300"/>
      <c r="G31" s="300"/>
      <c r="H31" s="300"/>
      <c r="I31" s="300"/>
      <c r="J31" s="300"/>
      <c r="K31" s="300"/>
    </row>
    <row r="32" spans="1:11" ht="15">
      <c r="A32" s="300"/>
      <c r="B32" s="300"/>
      <c r="C32" s="233"/>
      <c r="D32" s="233"/>
      <c r="E32" s="233"/>
      <c r="F32" s="300"/>
      <c r="G32" s="300"/>
      <c r="H32" s="300"/>
      <c r="I32" s="300"/>
      <c r="J32" s="300"/>
      <c r="K32" s="300"/>
    </row>
    <row r="33" spans="1:11" ht="60" customHeight="1">
      <c r="A33" s="348" t="s">
        <v>18</v>
      </c>
      <c r="B33" s="348"/>
      <c r="C33" s="344" t="s">
        <v>485</v>
      </c>
      <c r="D33" s="345"/>
      <c r="E33" s="346"/>
      <c r="F33" s="347" t="s">
        <v>19</v>
      </c>
      <c r="G33" s="348"/>
      <c r="H33" s="348"/>
      <c r="I33" s="344" t="s">
        <v>481</v>
      </c>
      <c r="J33" s="345"/>
      <c r="K33" s="346"/>
    </row>
    <row r="34" spans="1:11" ht="15.75" thickBot="1">
      <c r="A34" s="234"/>
      <c r="B34" s="234"/>
      <c r="C34" s="234"/>
      <c r="D34" s="234"/>
      <c r="E34" s="234"/>
      <c r="F34" s="234"/>
      <c r="G34" s="234"/>
      <c r="H34" s="234"/>
      <c r="I34" s="234"/>
      <c r="J34" s="234"/>
      <c r="K34" s="234"/>
    </row>
    <row r="35" spans="1:11" ht="15">
      <c r="A35" s="340"/>
      <c r="B35" s="341"/>
      <c r="C35" s="341"/>
      <c r="D35" s="341"/>
      <c r="E35" s="341"/>
      <c r="F35" s="341"/>
      <c r="G35" s="341"/>
      <c r="H35" s="342"/>
      <c r="I35" s="234"/>
      <c r="J35" s="234"/>
      <c r="K35" s="234"/>
    </row>
    <row r="36" spans="1:11" ht="15">
      <c r="A36" s="343" t="s">
        <v>20</v>
      </c>
      <c r="B36" s="361" t="s">
        <v>21</v>
      </c>
      <c r="C36" s="362"/>
      <c r="D36" s="337" t="s">
        <v>525</v>
      </c>
      <c r="E36" s="338"/>
      <c r="F36" s="338"/>
      <c r="G36" s="339"/>
      <c r="H36" s="369"/>
      <c r="I36" s="234"/>
      <c r="J36" s="234"/>
      <c r="K36" s="234"/>
    </row>
    <row r="37" spans="1:11" ht="15">
      <c r="A37" s="343"/>
      <c r="B37" s="361" t="s">
        <v>22</v>
      </c>
      <c r="C37" s="362"/>
      <c r="D37" s="337" t="s">
        <v>486</v>
      </c>
      <c r="E37" s="338"/>
      <c r="F37" s="338"/>
      <c r="G37" s="339"/>
      <c r="H37" s="369"/>
      <c r="I37" s="234"/>
      <c r="J37" s="234"/>
      <c r="K37" s="234"/>
    </row>
    <row r="38" spans="1:11" ht="15">
      <c r="A38" s="343"/>
      <c r="B38" s="235"/>
      <c r="C38" s="301" t="s">
        <v>23</v>
      </c>
      <c r="D38" s="158" t="s">
        <v>487</v>
      </c>
      <c r="E38" s="301" t="s">
        <v>24</v>
      </c>
      <c r="F38" s="158">
        <v>2000</v>
      </c>
      <c r="G38" s="236"/>
      <c r="H38" s="369"/>
      <c r="I38" s="234"/>
      <c r="J38" s="234"/>
      <c r="K38" s="234"/>
    </row>
    <row r="39" spans="1:11" ht="15">
      <c r="A39" s="343"/>
      <c r="B39" s="370"/>
      <c r="C39" s="370"/>
      <c r="D39" s="370"/>
      <c r="E39" s="370"/>
      <c r="F39" s="370"/>
      <c r="G39" s="370"/>
      <c r="H39" s="369"/>
      <c r="I39" s="234"/>
      <c r="J39" s="234"/>
      <c r="K39" s="234"/>
    </row>
    <row r="40" spans="1:11" ht="15">
      <c r="A40" s="343" t="s">
        <v>25</v>
      </c>
      <c r="B40" s="361" t="s">
        <v>21</v>
      </c>
      <c r="C40" s="362"/>
      <c r="D40" s="371" t="s">
        <v>488</v>
      </c>
      <c r="E40" s="371"/>
      <c r="F40" s="371"/>
      <c r="G40" s="371"/>
      <c r="H40" s="369"/>
      <c r="I40" s="234"/>
      <c r="J40" s="234"/>
      <c r="K40" s="234"/>
    </row>
    <row r="41" spans="1:11" ht="15">
      <c r="A41" s="343"/>
      <c r="B41" s="361" t="s">
        <v>22</v>
      </c>
      <c r="C41" s="362"/>
      <c r="D41" s="371" t="s">
        <v>489</v>
      </c>
      <c r="E41" s="371"/>
      <c r="F41" s="371"/>
      <c r="G41" s="371"/>
      <c r="H41" s="369"/>
      <c r="I41" s="234"/>
      <c r="J41" s="234"/>
      <c r="K41" s="234"/>
    </row>
    <row r="42" spans="1:11" ht="15">
      <c r="A42" s="343"/>
      <c r="B42" s="235"/>
      <c r="C42" s="301" t="s">
        <v>23</v>
      </c>
      <c r="D42" s="158" t="s">
        <v>487</v>
      </c>
      <c r="E42" s="301" t="s">
        <v>24</v>
      </c>
      <c r="F42" s="158">
        <v>1225</v>
      </c>
      <c r="G42" s="236"/>
      <c r="H42" s="369"/>
      <c r="I42" s="234"/>
      <c r="J42" s="234"/>
      <c r="K42" s="234"/>
    </row>
    <row r="43" spans="1:11" ht="15.75" thickBot="1">
      <c r="A43" s="366"/>
      <c r="B43" s="367"/>
      <c r="C43" s="367"/>
      <c r="D43" s="367"/>
      <c r="E43" s="367"/>
      <c r="F43" s="367"/>
      <c r="G43" s="367"/>
      <c r="H43" s="368"/>
      <c r="I43" s="234"/>
      <c r="J43" s="234"/>
      <c r="K43" s="234"/>
    </row>
    <row r="44" spans="1:11" ht="15">
      <c r="A44" s="340"/>
      <c r="B44" s="341"/>
      <c r="C44" s="341"/>
      <c r="D44" s="341"/>
      <c r="E44" s="341"/>
      <c r="F44" s="341"/>
      <c r="G44" s="341"/>
      <c r="H44" s="342"/>
      <c r="I44" s="234"/>
      <c r="J44" s="234"/>
      <c r="K44" s="234"/>
    </row>
    <row r="45" spans="1:11" ht="15.75">
      <c r="A45" s="237" t="s">
        <v>26</v>
      </c>
      <c r="B45" s="337" t="s">
        <v>490</v>
      </c>
      <c r="C45" s="338"/>
      <c r="D45" s="374"/>
      <c r="E45" s="374"/>
      <c r="F45" s="375"/>
      <c r="G45" s="372"/>
      <c r="H45" s="373"/>
      <c r="I45" s="234"/>
      <c r="J45" s="234"/>
      <c r="K45" s="234"/>
    </row>
    <row r="46" spans="1:11" ht="15.75">
      <c r="A46" s="237" t="s">
        <v>27</v>
      </c>
      <c r="B46" s="376" t="s">
        <v>491</v>
      </c>
      <c r="C46" s="338"/>
      <c r="D46" s="338"/>
      <c r="E46" s="338"/>
      <c r="F46" s="339"/>
      <c r="G46" s="372"/>
      <c r="H46" s="373"/>
      <c r="I46" s="234"/>
      <c r="J46" s="234"/>
      <c r="K46" s="234"/>
    </row>
    <row r="47" spans="1:11" ht="15.75">
      <c r="A47" s="237" t="s">
        <v>28</v>
      </c>
      <c r="B47" s="337" t="s">
        <v>492</v>
      </c>
      <c r="C47" s="338"/>
      <c r="D47" s="338"/>
      <c r="E47" s="338"/>
      <c r="F47" s="339"/>
      <c r="G47" s="372"/>
      <c r="H47" s="373"/>
      <c r="I47" s="234"/>
      <c r="J47" s="234"/>
      <c r="K47" s="234"/>
    </row>
    <row r="48" spans="1:11" ht="15.75" thickBot="1">
      <c r="A48" s="363"/>
      <c r="B48" s="364"/>
      <c r="C48" s="364"/>
      <c r="D48" s="364"/>
      <c r="E48" s="364"/>
      <c r="F48" s="364"/>
      <c r="G48" s="364"/>
      <c r="H48" s="365"/>
      <c r="I48" s="234"/>
      <c r="J48" s="234"/>
      <c r="K48" s="234"/>
    </row>
    <row r="49" spans="1:11" ht="15">
      <c r="A49" s="234"/>
      <c r="B49" s="234"/>
      <c r="C49" s="234"/>
      <c r="D49" s="234"/>
      <c r="E49" s="234"/>
      <c r="F49" s="234"/>
      <c r="G49" s="234"/>
      <c r="H49" s="234"/>
      <c r="I49" s="234"/>
      <c r="J49" s="234"/>
      <c r="K49" s="234"/>
    </row>
    <row r="50" spans="1:11" ht="15">
      <c r="A50" s="234"/>
      <c r="B50" s="234"/>
      <c r="C50" s="234"/>
      <c r="D50" s="234"/>
      <c r="E50" s="234"/>
      <c r="F50" s="234"/>
      <c r="G50" s="234"/>
      <c r="H50" s="234"/>
      <c r="I50" s="234"/>
      <c r="J50" s="234"/>
      <c r="K50" s="234"/>
    </row>
    <row r="51" spans="1:11" ht="15">
      <c r="A51" s="234"/>
      <c r="B51" s="234"/>
      <c r="C51" s="234"/>
      <c r="D51" s="234"/>
      <c r="E51" s="234"/>
      <c r="F51" s="234"/>
      <c r="G51" s="234"/>
      <c r="H51" s="234"/>
      <c r="I51" s="234"/>
      <c r="J51" s="234"/>
      <c r="K51" s="234"/>
    </row>
  </sheetData>
  <sheetProtection sheet="1"/>
  <mergeCells count="45">
    <mergeCell ref="A17:B17"/>
    <mergeCell ref="A23:B23"/>
    <mergeCell ref="A25:B25"/>
    <mergeCell ref="A8:I8"/>
    <mergeCell ref="A11:I11"/>
    <mergeCell ref="A10:I10"/>
    <mergeCell ref="A12:I12"/>
    <mergeCell ref="C20:E20"/>
    <mergeCell ref="C21:E21"/>
    <mergeCell ref="C17:E17"/>
    <mergeCell ref="C25:E25"/>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I33:K33"/>
    <mergeCell ref="F33:H33"/>
    <mergeCell ref="A19:B19"/>
    <mergeCell ref="C27:E27"/>
    <mergeCell ref="C19:E19"/>
    <mergeCell ref="A21:B21"/>
    <mergeCell ref="C23:E23"/>
    <mergeCell ref="C29:E29"/>
    <mergeCell ref="A33:B33"/>
    <mergeCell ref="C31:E31"/>
    <mergeCell ref="A27:B27"/>
    <mergeCell ref="A29:B29"/>
    <mergeCell ref="A31:B31"/>
    <mergeCell ref="D36:G36"/>
    <mergeCell ref="D37:G37"/>
    <mergeCell ref="A35:H35"/>
    <mergeCell ref="A36:A39"/>
    <mergeCell ref="C33:E33"/>
  </mergeCells>
  <phoneticPr fontId="10"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0" zoomScaleNormal="60" workbookViewId="0"/>
  </sheetViews>
  <sheetFormatPr defaultColWidth="9.28515625" defaultRowHeight="23.2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c r="A1" s="1" t="s">
        <v>29</v>
      </c>
      <c r="C1" s="96" t="s">
        <v>1</v>
      </c>
      <c r="D1" s="96"/>
      <c r="E1" s="96"/>
      <c r="F1" s="96"/>
      <c r="G1" s="3"/>
      <c r="H1" s="3"/>
    </row>
    <row r="2" spans="1:8" ht="20.25" customHeight="1">
      <c r="B2" s="3"/>
      <c r="C2" s="96" t="str">
        <f>IF(Tradingname=0," ",Tradingname)</f>
        <v>APA (SWQP) PTY LIMITED</v>
      </c>
      <c r="D2" s="96"/>
      <c r="E2" s="96"/>
      <c r="F2" s="96"/>
      <c r="G2" s="3"/>
    </row>
    <row r="3" spans="1:8" ht="33.75" customHeight="1">
      <c r="B3" s="3"/>
      <c r="C3" s="96" t="s">
        <v>30</v>
      </c>
      <c r="D3" s="98">
        <f>IF(Yearending=0, "01/01/2000", Yearending)</f>
        <v>45838</v>
      </c>
      <c r="E3" s="96"/>
      <c r="F3" s="97"/>
    </row>
    <row r="4" spans="1:8" ht="15" customHeight="1">
      <c r="B4" s="3"/>
      <c r="C4" s="3"/>
      <c r="D4" s="3"/>
      <c r="E4" s="3"/>
      <c r="F4" s="3"/>
      <c r="G4" s="3"/>
    </row>
    <row r="5" spans="1:8" s="3" customFormat="1" ht="15" customHeight="1" thickBot="1"/>
    <row r="6" spans="1:8" s="3" customFormat="1" ht="15" customHeight="1">
      <c r="C6" s="143"/>
      <c r="D6" s="144"/>
      <c r="E6" s="144"/>
      <c r="F6" s="145"/>
    </row>
    <row r="7" spans="1:8" s="3" customFormat="1" ht="26.25">
      <c r="C7" s="146"/>
      <c r="D7" s="395" t="s">
        <v>31</v>
      </c>
      <c r="E7" s="395"/>
      <c r="F7" s="147"/>
    </row>
    <row r="8" spans="1:8" s="3" customFormat="1" ht="25.5">
      <c r="C8" s="146"/>
      <c r="D8" s="148"/>
      <c r="E8" s="148"/>
      <c r="F8" s="147"/>
    </row>
    <row r="9" spans="1:8" s="3" customFormat="1" ht="26.25">
      <c r="C9" s="146"/>
      <c r="D9" s="153" t="s">
        <v>32</v>
      </c>
      <c r="E9" s="157" t="s">
        <v>33</v>
      </c>
      <c r="F9" s="147"/>
    </row>
    <row r="10" spans="1:8" s="3" customFormat="1" ht="26.25">
      <c r="C10" s="146"/>
      <c r="D10" s="153"/>
      <c r="E10" s="157" t="s">
        <v>34</v>
      </c>
      <c r="F10" s="147"/>
    </row>
    <row r="11" spans="1:8" s="3" customFormat="1" ht="26.25">
      <c r="C11" s="146"/>
      <c r="D11" s="153"/>
      <c r="E11" s="157" t="s">
        <v>35</v>
      </c>
      <c r="F11" s="147"/>
    </row>
    <row r="12" spans="1:8" s="3" customFormat="1" ht="25.5">
      <c r="C12" s="146"/>
      <c r="D12" s="148"/>
      <c r="E12" s="148"/>
      <c r="F12" s="147"/>
    </row>
    <row r="13" spans="1:8" s="3" customFormat="1" ht="26.25">
      <c r="C13" s="146"/>
      <c r="D13" s="153" t="s">
        <v>36</v>
      </c>
      <c r="E13" s="154"/>
      <c r="F13" s="147"/>
    </row>
    <row r="14" spans="1:8" s="3" customFormat="1" ht="25.5">
      <c r="C14" s="146"/>
      <c r="D14" s="92"/>
      <c r="E14" s="93"/>
      <c r="F14" s="147"/>
    </row>
    <row r="15" spans="1:8" s="3" customFormat="1" ht="26.25">
      <c r="C15" s="146"/>
      <c r="D15" s="153" t="s">
        <v>37</v>
      </c>
      <c r="E15" s="156" t="s">
        <v>38</v>
      </c>
      <c r="F15" s="147"/>
    </row>
    <row r="16" spans="1:8" s="3" customFormat="1" ht="26.25">
      <c r="C16" s="146"/>
      <c r="D16" s="153"/>
      <c r="E16" s="156" t="s">
        <v>39</v>
      </c>
      <c r="F16" s="147"/>
    </row>
    <row r="17" spans="3:6" s="3" customFormat="1" ht="26.25">
      <c r="C17" s="146"/>
      <c r="D17" s="153"/>
      <c r="E17" s="156" t="s">
        <v>40</v>
      </c>
      <c r="F17" s="147"/>
    </row>
    <row r="18" spans="3:6" s="3" customFormat="1" ht="26.25">
      <c r="C18" s="146"/>
      <c r="D18" s="153"/>
      <c r="E18" s="156" t="s">
        <v>41</v>
      </c>
      <c r="F18" s="147"/>
    </row>
    <row r="19" spans="3:6" s="3" customFormat="1" ht="26.25">
      <c r="C19" s="146"/>
      <c r="D19" s="153"/>
      <c r="E19" s="156" t="s">
        <v>42</v>
      </c>
      <c r="F19" s="147"/>
    </row>
    <row r="20" spans="3:6" s="3" customFormat="1" ht="25.5" customHeight="1">
      <c r="C20" s="94"/>
      <c r="D20" s="92"/>
      <c r="E20" s="93"/>
      <c r="F20" s="95"/>
    </row>
    <row r="21" spans="3:6" s="3" customFormat="1" ht="25.5" customHeight="1">
      <c r="C21" s="146"/>
      <c r="D21" s="153" t="s">
        <v>43</v>
      </c>
      <c r="E21" s="156" t="s">
        <v>44</v>
      </c>
      <c r="F21" s="147"/>
    </row>
    <row r="22" spans="3:6" s="3" customFormat="1" ht="25.5" customHeight="1">
      <c r="C22" s="146"/>
      <c r="D22" s="153" t="s">
        <v>45</v>
      </c>
      <c r="E22" s="156" t="s">
        <v>46</v>
      </c>
      <c r="F22" s="147"/>
    </row>
    <row r="23" spans="3:6" s="3" customFormat="1" ht="25.5" customHeight="1">
      <c r="C23" s="146"/>
      <c r="D23" s="153"/>
      <c r="E23" s="156" t="s">
        <v>47</v>
      </c>
      <c r="F23" s="147"/>
    </row>
    <row r="24" spans="3:6" s="3" customFormat="1" ht="25.5" customHeight="1">
      <c r="C24" s="146"/>
      <c r="D24" s="153"/>
      <c r="E24" s="156" t="s">
        <v>48</v>
      </c>
      <c r="F24" s="147"/>
    </row>
    <row r="25" spans="3:6" s="3" customFormat="1" ht="25.5">
      <c r="C25" s="94"/>
      <c r="D25" s="92"/>
      <c r="E25" s="93"/>
      <c r="F25" s="95"/>
    </row>
    <row r="26" spans="3:6" s="3" customFormat="1" ht="26.25">
      <c r="C26" s="146"/>
      <c r="D26" s="153" t="s">
        <v>49</v>
      </c>
      <c r="E26" s="156" t="s">
        <v>50</v>
      </c>
      <c r="F26" s="147"/>
    </row>
    <row r="27" spans="3:6" s="3" customFormat="1" ht="25.5">
      <c r="C27" s="94"/>
      <c r="D27" s="92"/>
      <c r="E27" s="93"/>
      <c r="F27" s="95"/>
    </row>
    <row r="28" spans="3:6" s="3" customFormat="1" ht="26.25">
      <c r="C28" s="94"/>
      <c r="D28" s="153" t="s">
        <v>51</v>
      </c>
      <c r="E28" s="155"/>
      <c r="F28" s="95"/>
    </row>
    <row r="29" spans="3:6" s="3" customFormat="1" ht="25.5">
      <c r="C29" s="94"/>
      <c r="D29" s="92"/>
      <c r="E29" s="93"/>
      <c r="F29" s="95"/>
    </row>
    <row r="30" spans="3:6" s="3" customFormat="1" ht="26.25">
      <c r="C30" s="146"/>
      <c r="D30" s="153" t="s">
        <v>52</v>
      </c>
      <c r="E30" s="154"/>
      <c r="F30" s="147"/>
    </row>
    <row r="31" spans="3:6" s="3" customFormat="1" ht="26.25" thickBot="1">
      <c r="C31" s="149"/>
      <c r="D31" s="150"/>
      <c r="E31" s="151"/>
      <c r="F31" s="152"/>
    </row>
    <row r="32" spans="3:6" s="3" customFormat="1">
      <c r="C32" s="2"/>
      <c r="D32" s="2"/>
      <c r="E32" s="2"/>
      <c r="F32" s="2"/>
    </row>
    <row r="33" spans="2:6" s="3" customFormat="1">
      <c r="B33" s="2"/>
      <c r="C33" s="2"/>
      <c r="D33" s="1"/>
      <c r="E33" s="1"/>
      <c r="F33" s="2"/>
    </row>
    <row r="34" spans="2:6" s="3" customFormat="1">
      <c r="B34" s="2"/>
      <c r="C34" s="2"/>
      <c r="D34" s="1"/>
      <c r="E34" s="2"/>
    </row>
    <row r="35" spans="2:6" s="3" customFormat="1">
      <c r="B35" s="2"/>
      <c r="C35" s="2"/>
      <c r="D35" s="1"/>
      <c r="E35" s="1"/>
      <c r="F35" s="2"/>
    </row>
    <row r="36" spans="2:6" s="3" customFormat="1">
      <c r="B36" s="2"/>
      <c r="C36" s="2"/>
      <c r="D36" s="1"/>
      <c r="E36" s="1"/>
      <c r="F36" s="2"/>
    </row>
    <row r="37" spans="2:6" s="3" customFormat="1">
      <c r="B37" s="2"/>
      <c r="C37" s="2"/>
      <c r="D37" s="1"/>
      <c r="E37" s="1"/>
      <c r="F37" s="2"/>
    </row>
    <row r="38" spans="2:6" s="3" customFormat="1">
      <c r="B38" s="2"/>
      <c r="C38" s="2"/>
      <c r="D38" s="1"/>
      <c r="E38" s="1"/>
      <c r="F38" s="2"/>
    </row>
    <row r="39" spans="2:6" s="3" customFormat="1">
      <c r="B39" s="2"/>
      <c r="C39" s="2"/>
      <c r="D39" s="1"/>
      <c r="E39" s="1"/>
      <c r="F39" s="2"/>
    </row>
    <row r="40" spans="2:6" s="3" customFormat="1">
      <c r="B40" s="2"/>
      <c r="C40" s="2"/>
      <c r="D40" s="1"/>
      <c r="E40" s="1"/>
      <c r="F40" s="2"/>
    </row>
    <row r="41" spans="2:6" s="3" customFormat="1">
      <c r="B41" s="2"/>
      <c r="C41" s="2"/>
      <c r="D41" s="1"/>
      <c r="E41" s="1"/>
      <c r="F41" s="2"/>
    </row>
    <row r="42" spans="2:6" s="3" customFormat="1">
      <c r="B42" s="2"/>
      <c r="C42" s="2"/>
      <c r="D42" s="1"/>
      <c r="E42" s="1"/>
      <c r="F42" s="2"/>
    </row>
    <row r="43" spans="2:6" s="3" customFormat="1">
      <c r="B43" s="2"/>
      <c r="C43" s="2"/>
      <c r="D43" s="1"/>
      <c r="E43" s="1"/>
      <c r="F43" s="2"/>
    </row>
    <row r="44" spans="2:6" s="3" customFormat="1">
      <c r="B44" s="2"/>
      <c r="C44" s="2"/>
      <c r="D44" s="1"/>
      <c r="E44" s="1"/>
      <c r="F44" s="2"/>
    </row>
    <row r="45" spans="2:6" s="3" customFormat="1">
      <c r="B45" s="2"/>
      <c r="C45" s="2"/>
      <c r="D45" s="1"/>
      <c r="E45" s="1"/>
      <c r="F45" s="2"/>
    </row>
    <row r="46" spans="2:6" s="3" customFormat="1">
      <c r="B46" s="2"/>
      <c r="C46" s="2"/>
      <c r="D46" s="1"/>
      <c r="E46" s="1"/>
      <c r="F46" s="2"/>
    </row>
    <row r="47" spans="2:6" s="3" customFormat="1">
      <c r="B47" s="2"/>
      <c r="C47" s="1"/>
      <c r="D47" s="1"/>
      <c r="E47" s="1"/>
      <c r="F47" s="1"/>
    </row>
    <row r="48" spans="2:6" s="3" customFormat="1">
      <c r="B48" s="2"/>
      <c r="C48" s="1"/>
      <c r="D48" s="1"/>
      <c r="E48" s="1"/>
      <c r="F48" s="1"/>
    </row>
    <row r="49" spans="2:6" s="3" customFormat="1">
      <c r="B49" s="2"/>
      <c r="C49" s="1"/>
      <c r="D49" s="1"/>
      <c r="E49" s="1"/>
      <c r="F49" s="1"/>
    </row>
    <row r="50" spans="2:6" s="3" customFormat="1">
      <c r="B50" s="2"/>
      <c r="C50" s="1"/>
      <c r="D50" s="1"/>
      <c r="E50" s="1"/>
      <c r="F50" s="1"/>
    </row>
  </sheetData>
  <sheetProtection sheet="1"/>
  <mergeCells count="1">
    <mergeCell ref="D7:E7"/>
  </mergeCells>
  <phoneticPr fontId="32"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c r="A1" s="4"/>
      <c r="B1" s="135" t="s">
        <v>53</v>
      </c>
      <c r="C1" s="135"/>
    </row>
    <row r="2" spans="1:7" ht="20.25" customHeight="1">
      <c r="A2" s="4"/>
      <c r="B2" s="135" t="str">
        <f>IF(Tradingname=0," ",Tradingname)</f>
        <v>APA (SWQP) PTY LIMITED</v>
      </c>
      <c r="C2" s="135"/>
    </row>
    <row r="3" spans="1:7" ht="20.25">
      <c r="B3" s="135" t="s">
        <v>30</v>
      </c>
      <c r="C3" s="99">
        <f>IF(Yearending=0, "01/01/2000", Yearending)</f>
        <v>45838</v>
      </c>
    </row>
    <row r="4" spans="1:7" ht="20.25">
      <c r="B4" s="91" t="s">
        <v>33</v>
      </c>
      <c r="C4" s="91"/>
      <c r="F4" s="6"/>
      <c r="G4" s="6"/>
    </row>
    <row r="5" spans="1:7">
      <c r="C5" s="6"/>
    </row>
    <row r="6" spans="1:7" ht="15.75">
      <c r="B6" s="106" t="s">
        <v>54</v>
      </c>
      <c r="C6" s="105"/>
    </row>
    <row r="9" spans="1:7">
      <c r="B9" s="21" t="s">
        <v>55</v>
      </c>
      <c r="C9" s="21" t="s">
        <v>56</v>
      </c>
    </row>
    <row r="10" spans="1:7">
      <c r="B10" s="119" t="s">
        <v>57</v>
      </c>
      <c r="C10" s="121">
        <f>'2.1 Profit &amp; Loss by component'!$F$18</f>
        <v>333549636.91282922</v>
      </c>
    </row>
    <row r="11" spans="1:7">
      <c r="B11" s="119" t="s">
        <v>58</v>
      </c>
      <c r="C11" s="121">
        <f>'2.1 Profit &amp; Loss by component'!$F$21</f>
        <v>0</v>
      </c>
    </row>
    <row r="12" spans="1:7">
      <c r="B12" s="120" t="s">
        <v>59</v>
      </c>
      <c r="C12" s="121">
        <f>'2.1 Profit &amp; Loss by component'!$F$22</f>
        <v>333549636.91282922</v>
      </c>
    </row>
    <row r="13" spans="1:7">
      <c r="B13" s="19" t="s">
        <v>60</v>
      </c>
      <c r="C13" s="121">
        <f>'2.1 Profit &amp; Loss by component'!$F$32</f>
        <v>93681023.549999997</v>
      </c>
    </row>
    <row r="14" spans="1:7">
      <c r="B14" s="20" t="s">
        <v>61</v>
      </c>
      <c r="C14" s="121">
        <f>'2.1 Profit &amp; Loss by component'!$F$43</f>
        <v>45781162.977600925</v>
      </c>
    </row>
    <row r="15" spans="1:7">
      <c r="B15" s="120" t="s">
        <v>62</v>
      </c>
      <c r="C15" s="121">
        <f>'2.1 Profit &amp; Loss by component'!$F$44</f>
        <v>139462186.52760091</v>
      </c>
    </row>
    <row r="16" spans="1:7">
      <c r="B16" s="120" t="s">
        <v>63</v>
      </c>
      <c r="C16" s="121">
        <f>'2.1 Profit &amp; Loss by component'!$F$45</f>
        <v>194087450.38522831</v>
      </c>
    </row>
    <row r="17" spans="2:5">
      <c r="B17" s="7"/>
      <c r="C17" s="7"/>
      <c r="D17" s="7"/>
      <c r="E17" s="7"/>
    </row>
    <row r="19" spans="2:5">
      <c r="B19" s="21" t="s">
        <v>64</v>
      </c>
      <c r="C19" s="21" t="s">
        <v>65</v>
      </c>
    </row>
    <row r="20" spans="2:5" ht="15.75">
      <c r="B20" s="82" t="s">
        <v>66</v>
      </c>
      <c r="C20" s="8">
        <f>'3.1 Depreciated Book Value'!$D$125</f>
        <v>2300926501.9670887</v>
      </c>
    </row>
    <row r="21" spans="2:5" ht="15.75">
      <c r="B21" s="82" t="s">
        <v>67</v>
      </c>
      <c r="C21" s="83">
        <f>IFERROR(C16/C20,0)</f>
        <v>8.4351868788203666E-2</v>
      </c>
    </row>
    <row r="22" spans="2:5">
      <c r="B22" s="21" t="s">
        <v>68</v>
      </c>
      <c r="C22" s="21" t="s">
        <v>65</v>
      </c>
    </row>
    <row r="23" spans="2:5" ht="15.75">
      <c r="B23" s="82" t="s">
        <v>66</v>
      </c>
      <c r="C23" s="8">
        <f>'3.2 Regulatory Asset Base'!$H$95</f>
        <v>0</v>
      </c>
    </row>
    <row r="24" spans="2:5" ht="15.75">
      <c r="B24" s="82" t="s">
        <v>67</v>
      </c>
      <c r="C24" s="83">
        <f>IFERROR(C16/C23,0)</f>
        <v>0</v>
      </c>
    </row>
    <row r="25" spans="2:5">
      <c r="B25" s="21" t="s">
        <v>69</v>
      </c>
      <c r="C25" s="21" t="s">
        <v>65</v>
      </c>
    </row>
    <row r="26" spans="2:5" ht="15.75">
      <c r="B26" s="82" t="s">
        <v>70</v>
      </c>
      <c r="C26" s="121">
        <f>'4. Recovered Capital'!$E$29</f>
        <v>2104503898.7012544</v>
      </c>
    </row>
    <row r="27" spans="2:5" ht="15.75">
      <c r="B27" s="82" t="s">
        <v>67</v>
      </c>
      <c r="C27" s="83">
        <f>IFERROR(C16/INDEX('4. Recovered Capital'!$F$12:$BH$39,27,MATCH(VALUE(RIGHT(TEXT(C3,"dd/mm/yyyy"),4)),'4. Recovered Capital'!$F$12:$BH$12,0)),0)</f>
        <v>0.10812354060018778</v>
      </c>
    </row>
    <row r="41" ht="27" customHeight="1"/>
    <row r="48" ht="31.9" customHeight="1"/>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50" zoomScaleNormal="5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28515625" style="205" customWidth="1"/>
    <col min="2" max="2" width="21" style="205" customWidth="1"/>
    <col min="3" max="5" width="42.28515625" style="205" customWidth="1"/>
    <col min="6" max="6" width="34.7109375" style="205" customWidth="1"/>
    <col min="7" max="7" width="44" style="205" customWidth="1"/>
    <col min="8" max="8" width="9.28515625" style="205"/>
    <col min="9" max="9" width="70.7109375" style="205" customWidth="1"/>
    <col min="10" max="10" width="108.7109375" style="205" bestFit="1" customWidth="1"/>
    <col min="11" max="16384" width="9.28515625" style="205"/>
  </cols>
  <sheetData>
    <row r="1" spans="2:5" ht="20.25" customHeight="1">
      <c r="B1" s="135" t="s">
        <v>53</v>
      </c>
      <c r="C1" s="135"/>
      <c r="D1" s="204"/>
      <c r="E1" s="204"/>
    </row>
    <row r="2" spans="2:5" ht="20.25">
      <c r="B2" s="135" t="str">
        <f>IF(Tradingname=0," ",Tradingname)</f>
        <v>APA (SWQP) PTY LIMITED</v>
      </c>
      <c r="C2" s="135"/>
      <c r="D2" s="206"/>
    </row>
    <row r="3" spans="2:5" ht="22.9" customHeight="1">
      <c r="B3" s="135" t="s">
        <v>30</v>
      </c>
      <c r="C3" s="99">
        <f>IF(Yearending=0, "01/01/2000", Yearending)</f>
        <v>45838</v>
      </c>
    </row>
    <row r="4" spans="2:5" ht="20.25">
      <c r="B4" s="91" t="s">
        <v>34</v>
      </c>
      <c r="C4" s="91"/>
    </row>
    <row r="7" spans="2:5" ht="15.75">
      <c r="B7" s="207" t="s">
        <v>71</v>
      </c>
    </row>
    <row r="59" spans="2:5" ht="15.75">
      <c r="B59" s="207" t="s">
        <v>72</v>
      </c>
      <c r="C59" s="208"/>
      <c r="D59" s="208"/>
      <c r="E59" s="208"/>
    </row>
    <row r="60" spans="2:5" ht="15.75">
      <c r="B60" s="207"/>
      <c r="C60" s="208"/>
      <c r="D60" s="208"/>
      <c r="E60" s="208"/>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c r="A1" s="4"/>
      <c r="B1" s="135" t="s">
        <v>53</v>
      </c>
      <c r="C1" s="135"/>
    </row>
    <row r="2" spans="1:7" ht="20.25" customHeight="1">
      <c r="A2" s="4"/>
      <c r="B2" s="135" t="str">
        <f>IF(Tradingname=0," ",Tradingname)</f>
        <v>APA (SWQP) PTY LIMITED</v>
      </c>
      <c r="C2" s="135"/>
    </row>
    <row r="3" spans="1:7" ht="20.25">
      <c r="B3" s="135" t="s">
        <v>30</v>
      </c>
      <c r="C3" s="99">
        <f>IF(Yearending=0, "01/01/2000", Yearending)</f>
        <v>45838</v>
      </c>
    </row>
    <row r="4" spans="1:7" ht="20.25">
      <c r="B4" s="91" t="s">
        <v>35</v>
      </c>
      <c r="C4" s="91"/>
      <c r="F4" s="6"/>
      <c r="G4" s="6"/>
    </row>
    <row r="5" spans="1:7">
      <c r="C5" s="6"/>
    </row>
    <row r="6" spans="1:7" ht="15.75">
      <c r="B6" s="106" t="s">
        <v>54</v>
      </c>
      <c r="C6" s="105"/>
    </row>
    <row r="9" spans="1:7">
      <c r="B9" s="21" t="s">
        <v>73</v>
      </c>
      <c r="C9" s="396" t="s">
        <v>74</v>
      </c>
      <c r="D9" s="397"/>
      <c r="E9" s="398" t="s">
        <v>75</v>
      </c>
    </row>
    <row r="10" spans="1:7">
      <c r="B10" s="112"/>
      <c r="C10" s="109" t="s">
        <v>76</v>
      </c>
      <c r="D10" s="109" t="s">
        <v>77</v>
      </c>
      <c r="E10" s="399"/>
    </row>
    <row r="11" spans="1:7">
      <c r="B11" s="112" t="s">
        <v>78</v>
      </c>
      <c r="C11" s="138">
        <f>IFERROR('6. Pricing template'!$G37,)</f>
        <v>0.88491899212824154</v>
      </c>
      <c r="D11" s="138">
        <f>IFERROR('6. Pricing template'!$G38,)</f>
        <v>1.3497840932122087</v>
      </c>
      <c r="E11" s="139" t="s">
        <v>79</v>
      </c>
    </row>
    <row r="12" spans="1:7" ht="12.75" customHeight="1">
      <c r="B12" s="112" t="s">
        <v>80</v>
      </c>
      <c r="C12" s="138">
        <f>IFERROR('6. Pricing template'!$G39,)</f>
        <v>0</v>
      </c>
      <c r="D12" s="138">
        <f>IFERROR('6. Pricing template'!$G40,)</f>
        <v>0</v>
      </c>
      <c r="E12" s="139" t="s">
        <v>79</v>
      </c>
    </row>
    <row r="13" spans="1:7">
      <c r="B13" s="112" t="s">
        <v>81</v>
      </c>
      <c r="C13" s="138">
        <f>IFERROR('6. Pricing template'!$G41,)</f>
        <v>0</v>
      </c>
      <c r="D13" s="138">
        <f>IFERROR('6. Pricing template'!$G42,)</f>
        <v>0</v>
      </c>
      <c r="E13" s="139" t="s">
        <v>79</v>
      </c>
    </row>
    <row r="14" spans="1:7">
      <c r="B14" s="112" t="s">
        <v>82</v>
      </c>
      <c r="C14" s="138">
        <f>IFERROR('6. Pricing template'!$G43,)</f>
        <v>0</v>
      </c>
      <c r="D14" s="138">
        <f>IFERROR('6. Pricing template'!$G44,)</f>
        <v>0</v>
      </c>
      <c r="E14" s="139" t="s">
        <v>79</v>
      </c>
    </row>
    <row r="15" spans="1:7">
      <c r="B15" s="194" t="s">
        <v>83</v>
      </c>
      <c r="C15" s="138">
        <f>IFERROR('6. Pricing template'!$G45,)</f>
        <v>0</v>
      </c>
      <c r="D15" s="138">
        <f>IFERROR('6. Pricing template'!$G46,)</f>
        <v>0</v>
      </c>
      <c r="E15" s="139" t="s">
        <v>79</v>
      </c>
    </row>
    <row r="16" spans="1:7" ht="12.75" customHeight="1">
      <c r="B16" s="112" t="s">
        <v>84</v>
      </c>
      <c r="C16" s="138">
        <f>IFERROR('6. Pricing template'!$G47,)</f>
        <v>0</v>
      </c>
      <c r="D16" s="138">
        <f>IFERROR('6. Pricing template'!$G48,)</f>
        <v>0</v>
      </c>
      <c r="E16" s="139" t="s">
        <v>79</v>
      </c>
    </row>
    <row r="17" spans="2:5">
      <c r="B17" s="112" t="s">
        <v>85</v>
      </c>
      <c r="C17" s="138">
        <f>IFERROR('6. Pricing template'!$G49,)</f>
        <v>0</v>
      </c>
      <c r="D17" s="138">
        <f>IFERROR('6. Pricing template'!$G50,)</f>
        <v>0</v>
      </c>
      <c r="E17" s="139" t="s">
        <v>79</v>
      </c>
    </row>
    <row r="18" spans="2:5">
      <c r="B18" s="112" t="s">
        <v>86</v>
      </c>
      <c r="C18" s="138">
        <f>IFERROR('6. Pricing template'!$G51,)</f>
        <v>0</v>
      </c>
      <c r="D18" s="138">
        <f>IFERROR('6. Pricing template'!$G52,)</f>
        <v>0</v>
      </c>
      <c r="E18" s="139" t="s">
        <v>87</v>
      </c>
    </row>
    <row r="19" spans="2:5">
      <c r="B19" s="112" t="s">
        <v>88</v>
      </c>
      <c r="C19" s="138">
        <f>IFERROR('6. Pricing template'!$G53,)</f>
        <v>0</v>
      </c>
      <c r="D19" s="138">
        <f>IFERROR('6. Pricing template'!$G54,)</f>
        <v>0</v>
      </c>
      <c r="E19" s="139" t="s">
        <v>89</v>
      </c>
    </row>
    <row r="20" spans="2:5">
      <c r="B20" s="112" t="s">
        <v>90</v>
      </c>
      <c r="C20" s="138">
        <f>IFERROR('6. Pricing template'!$G55,)</f>
        <v>0</v>
      </c>
      <c r="D20" s="138">
        <f>IFERROR('6. Pricing template'!$G56,)</f>
        <v>0</v>
      </c>
      <c r="E20" s="139"/>
    </row>
    <row r="35" ht="27" customHeight="1"/>
    <row r="42" ht="31.9" customHeight="1"/>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85" zoomScaleNormal="85"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c r="B1" s="135" t="s">
        <v>53</v>
      </c>
      <c r="C1" s="135"/>
      <c r="D1" s="238"/>
    </row>
    <row r="2" spans="2:8" ht="20.25">
      <c r="B2" s="135" t="str">
        <f>IF(Tradingname=0," ",Tradingname)</f>
        <v>APA (SWQP) PTY LIMITED</v>
      </c>
      <c r="C2" s="135"/>
    </row>
    <row r="3" spans="2:8" ht="20.25">
      <c r="B3" s="135" t="s">
        <v>30</v>
      </c>
      <c r="C3" s="99">
        <f>IF(Yearending=0, "01/01/2000", Yearending)</f>
        <v>45838</v>
      </c>
    </row>
    <row r="4" spans="2:8" ht="20.25">
      <c r="B4" s="91" t="s">
        <v>91</v>
      </c>
      <c r="C4" s="91"/>
    </row>
    <row r="5" spans="2:8" ht="20.25">
      <c r="B5" s="239"/>
    </row>
    <row r="6" spans="2:8" ht="20.25">
      <c r="B6" s="239"/>
    </row>
    <row r="7" spans="2:8" ht="15.75">
      <c r="B7" s="214" t="s">
        <v>92</v>
      </c>
    </row>
    <row r="8" spans="2:8">
      <c r="B8" s="215"/>
      <c r="C8" s="216"/>
      <c r="D8" s="216"/>
      <c r="E8" s="240"/>
      <c r="F8" s="241"/>
      <c r="G8" s="242"/>
      <c r="H8" s="242"/>
    </row>
    <row r="9" spans="2:8" ht="13.9" customHeight="1">
      <c r="B9" s="22" t="s">
        <v>93</v>
      </c>
      <c r="C9" s="122" t="s">
        <v>503</v>
      </c>
    </row>
    <row r="10" spans="2:8" ht="13.9" customHeight="1">
      <c r="B10" s="22" t="s">
        <v>94</v>
      </c>
      <c r="C10" s="123">
        <v>755</v>
      </c>
    </row>
    <row r="11" spans="2:8" ht="13.9" customHeight="1">
      <c r="B11" s="22" t="s">
        <v>95</v>
      </c>
      <c r="C11" s="69">
        <v>37</v>
      </c>
    </row>
    <row r="12" spans="2:8" ht="13.9" customHeight="1">
      <c r="B12" s="22" t="s">
        <v>96</v>
      </c>
      <c r="C12" s="69" t="s">
        <v>496</v>
      </c>
    </row>
    <row r="13" spans="2:8" ht="13.9" customHeight="1">
      <c r="B13" s="22" t="s">
        <v>97</v>
      </c>
      <c r="C13" s="140" t="s">
        <v>508</v>
      </c>
    </row>
    <row r="14" spans="2:8" ht="13.9" customHeight="1">
      <c r="B14" s="22" t="s">
        <v>98</v>
      </c>
      <c r="C14" s="141">
        <v>35414</v>
      </c>
    </row>
    <row r="15" spans="2:8" ht="13.9" customHeight="1">
      <c r="B15" s="22" t="str">
        <f>IF(Cover!C23="Scheme pipeline", "Date opening RAB established","")</f>
        <v/>
      </c>
      <c r="C15" s="141"/>
    </row>
    <row r="16" spans="2:8" ht="13.9" customHeight="1">
      <c r="B16" s="22" t="str">
        <f>IF(Cover!C23="Scheme pipeline", "Open RAB value on date established","")</f>
        <v/>
      </c>
      <c r="C16" s="68"/>
    </row>
    <row r="18" spans="2:4" ht="15.75">
      <c r="B18" s="214" t="s">
        <v>99</v>
      </c>
    </row>
    <row r="20" spans="2:4" ht="51" customHeight="1">
      <c r="B20" s="136" t="s">
        <v>100</v>
      </c>
      <c r="C20" s="107" t="s">
        <v>101</v>
      </c>
      <c r="D20" s="107" t="s">
        <v>102</v>
      </c>
    </row>
    <row r="21" spans="2:4" ht="14.25">
      <c r="B21" s="24" t="s">
        <v>103</v>
      </c>
      <c r="C21" s="243"/>
      <c r="D21" s="243"/>
    </row>
    <row r="22" spans="2:4">
      <c r="B22" s="25" t="s">
        <v>78</v>
      </c>
      <c r="C22" s="64" t="s">
        <v>493</v>
      </c>
      <c r="D22" s="64" t="s">
        <v>485</v>
      </c>
    </row>
    <row r="23" spans="2:4">
      <c r="B23" s="25" t="s">
        <v>104</v>
      </c>
      <c r="C23" s="64" t="s">
        <v>485</v>
      </c>
      <c r="D23" s="64" t="s">
        <v>485</v>
      </c>
    </row>
    <row r="24" spans="2:4" ht="25.5">
      <c r="B24" s="25" t="s">
        <v>81</v>
      </c>
      <c r="C24" s="64" t="s">
        <v>493</v>
      </c>
      <c r="D24" s="64" t="s">
        <v>485</v>
      </c>
    </row>
    <row r="25" spans="2:4" ht="14.25">
      <c r="B25" s="26" t="s">
        <v>105</v>
      </c>
      <c r="C25" s="243"/>
      <c r="D25" s="243"/>
    </row>
    <row r="26" spans="2:4">
      <c r="B26" s="27" t="s">
        <v>82</v>
      </c>
      <c r="C26" s="64" t="s">
        <v>493</v>
      </c>
      <c r="D26" s="64" t="s">
        <v>493</v>
      </c>
    </row>
    <row r="27" spans="2:4" ht="25.5">
      <c r="B27" s="28" t="s">
        <v>83</v>
      </c>
      <c r="C27" s="64" t="s">
        <v>493</v>
      </c>
      <c r="D27" s="64" t="s">
        <v>485</v>
      </c>
    </row>
    <row r="28" spans="2:4" ht="14.25">
      <c r="B28" s="26" t="s">
        <v>106</v>
      </c>
      <c r="C28" s="243"/>
      <c r="D28" s="243"/>
    </row>
    <row r="29" spans="2:4">
      <c r="B29" s="25" t="s">
        <v>107</v>
      </c>
      <c r="C29" s="64" t="s">
        <v>493</v>
      </c>
      <c r="D29" s="64" t="s">
        <v>485</v>
      </c>
    </row>
    <row r="30" spans="2:4">
      <c r="B30" s="25" t="s">
        <v>85</v>
      </c>
      <c r="C30" s="64" t="s">
        <v>493</v>
      </c>
      <c r="D30" s="64" t="s">
        <v>485</v>
      </c>
    </row>
    <row r="31" spans="2:4" ht="14.25">
      <c r="B31" s="24" t="s">
        <v>108</v>
      </c>
      <c r="C31" s="243"/>
      <c r="D31" s="243"/>
    </row>
    <row r="32" spans="2:4">
      <c r="B32" s="25" t="s">
        <v>86</v>
      </c>
      <c r="C32" s="64" t="s">
        <v>493</v>
      </c>
      <c r="D32" s="64" t="s">
        <v>485</v>
      </c>
    </row>
    <row r="33" spans="2:4">
      <c r="B33" s="25" t="s">
        <v>88</v>
      </c>
      <c r="C33" s="64" t="s">
        <v>493</v>
      </c>
      <c r="D33" s="64" t="s">
        <v>485</v>
      </c>
    </row>
    <row r="34" spans="2:4" ht="14.25">
      <c r="B34" s="24" t="s">
        <v>109</v>
      </c>
      <c r="C34" s="243"/>
      <c r="D34" s="243"/>
    </row>
    <row r="35" spans="2:4">
      <c r="B35" s="305" t="s">
        <v>497</v>
      </c>
      <c r="C35" s="306" t="s">
        <v>493</v>
      </c>
      <c r="D35" s="306" t="s">
        <v>485</v>
      </c>
    </row>
    <row r="36" spans="2:4">
      <c r="B36" s="65" t="s">
        <v>506</v>
      </c>
      <c r="C36" s="63" t="s">
        <v>493</v>
      </c>
      <c r="D36" s="63" t="s">
        <v>485</v>
      </c>
    </row>
    <row r="37" spans="2:4">
      <c r="B37" s="65" t="s">
        <v>110</v>
      </c>
      <c r="C37" s="63"/>
      <c r="D37" s="63"/>
    </row>
    <row r="38" spans="2:4">
      <c r="B38" s="65" t="s">
        <v>110</v>
      </c>
      <c r="C38" s="63"/>
      <c r="D38" s="63"/>
    </row>
    <row r="39" spans="2:4">
      <c r="B39" s="65" t="s">
        <v>110</v>
      </c>
      <c r="C39" s="63"/>
      <c r="D39" s="63"/>
    </row>
    <row r="40" spans="2:4">
      <c r="B40" s="65" t="s">
        <v>110</v>
      </c>
      <c r="C40" s="63"/>
      <c r="D40" s="63"/>
    </row>
    <row r="41" spans="2:4">
      <c r="B41" s="65" t="s">
        <v>110</v>
      </c>
      <c r="C41" s="63"/>
      <c r="D41" s="63"/>
    </row>
    <row r="42" spans="2:4">
      <c r="B42" s="65" t="s">
        <v>110</v>
      </c>
      <c r="C42" s="63"/>
      <c r="D42" s="63"/>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c r="B1" s="135" t="s">
        <v>53</v>
      </c>
      <c r="C1" s="135"/>
      <c r="D1" s="204"/>
      <c r="E1" s="204"/>
      <c r="F1" s="204"/>
      <c r="G1" s="204"/>
    </row>
    <row r="2" spans="2:7" ht="18" customHeight="1">
      <c r="B2" s="135" t="str">
        <f>IF(Tradingname=0," ",Tradingname)</f>
        <v>APA (SWQP) PTY LIMITED</v>
      </c>
      <c r="C2" s="135"/>
      <c r="G2" s="238"/>
    </row>
    <row r="3" spans="2:7" ht="20.25">
      <c r="B3" s="135" t="s">
        <v>30</v>
      </c>
      <c r="C3" s="99">
        <f>IF(Yearending=0, "01/01/2000", Yearending)</f>
        <v>45838</v>
      </c>
    </row>
    <row r="4" spans="2:7" ht="20.25">
      <c r="B4" s="91" t="s">
        <v>111</v>
      </c>
      <c r="C4" s="91"/>
      <c r="E4" s="244"/>
    </row>
    <row r="7" spans="2:7" ht="15.75">
      <c r="B7" s="245" t="s">
        <v>112</v>
      </c>
      <c r="C7" s="245"/>
      <c r="D7" s="191"/>
      <c r="E7" s="191"/>
      <c r="F7" s="191"/>
      <c r="G7" s="191"/>
    </row>
    <row r="8" spans="2:7">
      <c r="B8" s="246"/>
      <c r="C8" s="247"/>
      <c r="D8" s="248"/>
      <c r="E8" s="191"/>
      <c r="F8" s="191"/>
      <c r="G8" s="191"/>
    </row>
    <row r="9" spans="2:7" ht="25.5">
      <c r="B9" s="44" t="s">
        <v>113</v>
      </c>
      <c r="C9" s="249" t="s">
        <v>114</v>
      </c>
      <c r="D9" s="302" t="s">
        <v>56</v>
      </c>
      <c r="E9" s="249" t="s">
        <v>114</v>
      </c>
      <c r="F9" s="302" t="s">
        <v>56</v>
      </c>
      <c r="G9" s="44" t="s">
        <v>115</v>
      </c>
    </row>
    <row r="10" spans="2:7">
      <c r="B10" s="250"/>
      <c r="C10" s="251"/>
      <c r="D10" s="111" t="s">
        <v>116</v>
      </c>
      <c r="E10" s="251"/>
      <c r="F10" s="111" t="s">
        <v>116</v>
      </c>
      <c r="G10" s="111" t="s">
        <v>116</v>
      </c>
    </row>
    <row r="11" spans="2:7">
      <c r="B11" s="319" t="s">
        <v>520</v>
      </c>
      <c r="C11" s="253" t="s">
        <v>117</v>
      </c>
      <c r="D11" s="111"/>
      <c r="E11" s="253" t="s">
        <v>118</v>
      </c>
      <c r="F11" s="111"/>
      <c r="G11" s="111"/>
    </row>
    <row r="12" spans="2:7">
      <c r="B12" s="333"/>
      <c r="C12" s="112" t="s">
        <v>78</v>
      </c>
      <c r="D12" s="294">
        <f>IF('2.2 Allocation to services'!G13+'2.2 Allocation to services'!G25+'2.2 Allocation to services'!G37=0, ,'2.2 Allocation to services'!G13+'2.2 Allocation to services'!G25+'2.2 Allocation to services'!G37)</f>
        <v>237376614.73974949</v>
      </c>
      <c r="E12" s="112" t="s">
        <v>78</v>
      </c>
      <c r="F12" s="294">
        <f>IF('2.2 Allocation to services'!G56+'2.2 Allocation to services'!G68+'2.2 Allocation to services'!G80=0, ,'2.2 Allocation to services'!G56+'2.2 Allocation to services'!G68+'2.2 Allocation to services'!G80)</f>
        <v>99250780.269256204</v>
      </c>
      <c r="G12" s="294">
        <f>D12-ABS(F12)</f>
        <v>138125834.47049329</v>
      </c>
    </row>
    <row r="13" spans="2:7">
      <c r="B13" s="252"/>
      <c r="C13" s="112" t="s">
        <v>80</v>
      </c>
      <c r="D13" s="294">
        <f>IF('2.2 Allocation to services'!G14+'2.2 Allocation to services'!G26+'2.2 Allocation to services'!G38=0, ,'2.2 Allocation to services'!G14+'2.2 Allocation to services'!G26+'2.2 Allocation to services'!G38)</f>
        <v>0</v>
      </c>
      <c r="E13" s="112" t="s">
        <v>80</v>
      </c>
      <c r="F13" s="294">
        <f>IF('2.2 Allocation to services'!G57+'2.2 Allocation to services'!G69+'2.2 Allocation to services'!G81=0, ,'2.2 Allocation to services'!G57+'2.2 Allocation to services'!G69+'2.2 Allocation to services'!G81)</f>
        <v>0</v>
      </c>
      <c r="G13" s="294">
        <f t="shared" ref="G13:G22" si="0">D13-ABS(F13)</f>
        <v>0</v>
      </c>
    </row>
    <row r="14" spans="2:7">
      <c r="B14" s="252"/>
      <c r="C14" s="112" t="s">
        <v>81</v>
      </c>
      <c r="D14" s="294">
        <f>IF('2.2 Allocation to services'!G15+'2.2 Allocation to services'!G27+'2.2 Allocation to services'!G39=0, ,'2.2 Allocation to services'!G15+'2.2 Allocation to services'!G27+'2.2 Allocation to services'!G39)</f>
        <v>782752.9752234203</v>
      </c>
      <c r="E14" s="112" t="s">
        <v>81</v>
      </c>
      <c r="F14" s="294">
        <f>IF('2.2 Allocation to services'!G58+'2.2 Allocation to services'!G70+'2.2 Allocation to services'!G82=0, ,'2.2 Allocation to services'!G58+'2.2 Allocation to services'!G70+'2.2 Allocation to services'!G82)</f>
        <v>327280.94818514993</v>
      </c>
      <c r="G14" s="294">
        <f t="shared" si="0"/>
        <v>455472.02703827037</v>
      </c>
    </row>
    <row r="15" spans="2:7">
      <c r="B15" s="252"/>
      <c r="C15" s="112" t="s">
        <v>82</v>
      </c>
      <c r="D15" s="294">
        <f>IF('2.2 Allocation to services'!G16+'2.2 Allocation to services'!G28+'2.2 Allocation to services'!G40=0, ,'2.2 Allocation to services'!G16+'2.2 Allocation to services'!G28+'2.2 Allocation to services'!G40)</f>
        <v>78878959.179444134</v>
      </c>
      <c r="E15" s="112" t="s">
        <v>82</v>
      </c>
      <c r="F15" s="294">
        <f>IF('2.2 Allocation to services'!G59+'2.2 Allocation to services'!G71+'2.2 Allocation to services'!G83=0, ,'2.2 Allocation to services'!G59+'2.2 Allocation to services'!G71+'2.2 Allocation to services'!G83)</f>
        <v>32980494.95722159</v>
      </c>
      <c r="G15" s="294">
        <f t="shared" si="0"/>
        <v>45898464.222222544</v>
      </c>
    </row>
    <row r="16" spans="2:7">
      <c r="B16" s="252"/>
      <c r="C16" s="194" t="s">
        <v>83</v>
      </c>
      <c r="D16" s="294">
        <f>IF('2.2 Allocation to services'!G17+'2.2 Allocation to services'!G29+'2.2 Allocation to services'!G41=0, ,'2.2 Allocation to services'!G17+'2.2 Allocation to services'!G29+'2.2 Allocation to services'!G41)</f>
        <v>573726.53231207794</v>
      </c>
      <c r="E16" s="194" t="s">
        <v>83</v>
      </c>
      <c r="F16" s="294">
        <f>IF('2.2 Allocation to services'!G60+'2.2 Allocation to services'!G72+'2.2 Allocation to services'!G84=0, ,'2.2 Allocation to services'!G60+'2.2 Allocation to services'!G72+'2.2 Allocation to services'!G84)</f>
        <v>239883.80681718903</v>
      </c>
      <c r="G16" s="294">
        <f t="shared" si="0"/>
        <v>333842.7254948889</v>
      </c>
    </row>
    <row r="17" spans="2:7">
      <c r="B17" s="252"/>
      <c r="C17" s="112" t="s">
        <v>84</v>
      </c>
      <c r="D17" s="294">
        <f>IF('2.2 Allocation to services'!G18+'2.2 Allocation to services'!G30+'2.2 Allocation to services'!G42=0, ,'2.2 Allocation to services'!G18+'2.2 Allocation to services'!G30+'2.2 Allocation to services'!G42)</f>
        <v>29993.677962930044</v>
      </c>
      <c r="E17" s="112" t="s">
        <v>84</v>
      </c>
      <c r="F17" s="294">
        <f>IF('2.2 Allocation to services'!G61+'2.2 Allocation to services'!G73+'2.2 Allocation to services'!G85=0, ,'2.2 Allocation to services'!G61+'2.2 Allocation to services'!G73+'2.2 Allocation to services'!G85)</f>
        <v>12540.813863359519</v>
      </c>
      <c r="G17" s="294">
        <f t="shared" si="0"/>
        <v>17452.864099570525</v>
      </c>
    </row>
    <row r="18" spans="2:7">
      <c r="B18" s="252"/>
      <c r="C18" s="112" t="s">
        <v>85</v>
      </c>
      <c r="D18" s="294">
        <f>IF('2.2 Allocation to services'!G19+'2.2 Allocation to services'!G31+'2.2 Allocation to services'!G43=0, ,'2.2 Allocation to services'!G19+'2.2 Allocation to services'!G31+'2.2 Allocation to services'!G43)</f>
        <v>2143261.9353495673</v>
      </c>
      <c r="E18" s="112" t="s">
        <v>85</v>
      </c>
      <c r="F18" s="294">
        <f>IF('2.2 Allocation to services'!G62+'2.2 Allocation to services'!G74+'2.2 Allocation to services'!G86=0, ,'2.2 Allocation to services'!G62+'2.2 Allocation to services'!G74+'2.2 Allocation to services'!G86)</f>
        <v>896130.47872495418</v>
      </c>
      <c r="G18" s="294">
        <f t="shared" si="0"/>
        <v>1247131.4566246131</v>
      </c>
    </row>
    <row r="19" spans="2:7">
      <c r="B19" s="252"/>
      <c r="C19" s="112" t="s">
        <v>86</v>
      </c>
      <c r="D19" s="294">
        <f>IF('2.2 Allocation to services'!G20+'2.2 Allocation to services'!G32+'2.2 Allocation to services'!G44=0, ,'2.2 Allocation to services'!G20+'2.2 Allocation to services'!G32+'2.2 Allocation to services'!G44)</f>
        <v>207466.05782323246</v>
      </c>
      <c r="E19" s="112" t="s">
        <v>86</v>
      </c>
      <c r="F19" s="294">
        <f>IF('2.2 Allocation to services'!G63+'2.2 Allocation to services'!G75+'2.2 Allocation to services'!G87=0, ,'2.2 Allocation to services'!G63+'2.2 Allocation to services'!G75+'2.2 Allocation to services'!G87)</f>
        <v>86744.72058217616</v>
      </c>
      <c r="G19" s="294">
        <f t="shared" si="0"/>
        <v>120721.3372410563</v>
      </c>
    </row>
    <row r="20" spans="2:7">
      <c r="B20" s="252"/>
      <c r="C20" s="112" t="s">
        <v>88</v>
      </c>
      <c r="D20" s="294">
        <f>IF('2.2 Allocation to services'!G21+'2.2 Allocation to services'!G33+'2.2 Allocation to services'!G45=0, ,'2.2 Allocation to services'!G21+'2.2 Allocation to services'!G33+'2.2 Allocation to services'!G45)</f>
        <v>468666.2270778059</v>
      </c>
      <c r="E20" s="112" t="s">
        <v>88</v>
      </c>
      <c r="F20" s="294">
        <f>IF('2.2 Allocation to services'!G64+'2.2 Allocation to services'!G76+'2.2 Allocation to services'!G88=0, ,'2.2 Allocation to services'!G64+'2.2 Allocation to services'!G76+'2.2 Allocation to services'!G88)</f>
        <v>195956.49206775666</v>
      </c>
      <c r="G20" s="294">
        <f t="shared" si="0"/>
        <v>272709.73501004925</v>
      </c>
    </row>
    <row r="21" spans="2:7">
      <c r="B21" s="252"/>
      <c r="C21" s="112" t="s">
        <v>90</v>
      </c>
      <c r="D21" s="294">
        <f>IF('2.2 Allocation to services'!G22+'2.2 Allocation to services'!G34+'2.2 Allocation to services'!G46=0, ,'2.2 Allocation to services'!G22+'2.2 Allocation to services'!G34+'2.2 Allocation to services'!G46)</f>
        <v>13088195.587886592</v>
      </c>
      <c r="E21" s="112" t="s">
        <v>90</v>
      </c>
      <c r="F21" s="294">
        <f>IF('2.2 Allocation to services'!G65+'2.2 Allocation to services'!G77+'2.2 Allocation to services'!G89=0, ,'2.2 Allocation to services'!G65+'2.2 Allocation to services'!G77+'2.2 Allocation to services'!G89)</f>
        <v>5472374.040882539</v>
      </c>
      <c r="G21" s="294">
        <f t="shared" si="0"/>
        <v>7615821.5470040534</v>
      </c>
    </row>
    <row r="22" spans="2:7">
      <c r="B22" s="252"/>
      <c r="C22" s="254" t="s">
        <v>119</v>
      </c>
      <c r="D22" s="294">
        <f t="array" ref="D22">SUM(IF(ISNA(D12:D21),0,D12:D21))</f>
        <v>333549636.91282928</v>
      </c>
      <c r="E22" s="254" t="s">
        <v>120</v>
      </c>
      <c r="F22" s="294">
        <f t="array" ref="F22">SUM(IF(ISNA(F12:F21),0,F12:F21))</f>
        <v>139462186.52760091</v>
      </c>
      <c r="G22" s="294">
        <f t="shared" si="0"/>
        <v>194087450.38522837</v>
      </c>
    </row>
  </sheetData>
  <phoneticPr fontId="32"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8.42578125" style="4" customWidth="1"/>
    <col min="3" max="3" width="43" style="4" bestFit="1" customWidth="1"/>
    <col min="4" max="9" width="20.7109375" style="4" customWidth="1"/>
    <col min="10" max="16384" width="9.28515625" style="4"/>
  </cols>
  <sheetData>
    <row r="1" spans="2:9" ht="20.25">
      <c r="B1" s="135" t="s">
        <v>53</v>
      </c>
      <c r="C1" s="135"/>
    </row>
    <row r="2" spans="2:9" ht="20.25" customHeight="1">
      <c r="B2" s="135" t="str">
        <f>IF(Tradingname=0," ",Tradingname)</f>
        <v>APA (SWQP) PTY LIMITED</v>
      </c>
      <c r="C2" s="135"/>
    </row>
    <row r="3" spans="2:9" ht="20.25">
      <c r="B3" s="135" t="s">
        <v>30</v>
      </c>
      <c r="C3" s="99">
        <f>IF(Yearending=0, "01/01/2000", Yearending)</f>
        <v>45838</v>
      </c>
    </row>
    <row r="4" spans="2:9" ht="20.25">
      <c r="B4" s="91" t="s">
        <v>121</v>
      </c>
      <c r="C4" s="91"/>
    </row>
    <row r="7" spans="2:9" ht="21" customHeight="1">
      <c r="B7" s="245" t="s">
        <v>122</v>
      </c>
    </row>
    <row r="8" spans="2:9">
      <c r="B8" s="215"/>
      <c r="C8" s="255"/>
    </row>
    <row r="9" spans="2:9" ht="21" customHeight="1">
      <c r="B9" s="400" t="s">
        <v>123</v>
      </c>
      <c r="C9" s="401"/>
      <c r="D9" s="401"/>
      <c r="E9" s="401"/>
      <c r="F9" s="401"/>
      <c r="G9" s="402" t="s">
        <v>124</v>
      </c>
      <c r="H9" s="403"/>
      <c r="I9" s="403"/>
    </row>
    <row r="10" spans="2:9" ht="51" customHeight="1">
      <c r="B10" s="29" t="s">
        <v>113</v>
      </c>
      <c r="C10" s="23" t="s">
        <v>114</v>
      </c>
      <c r="D10" s="302" t="s">
        <v>125</v>
      </c>
      <c r="E10" s="302" t="s">
        <v>126</v>
      </c>
      <c r="F10" s="30" t="s">
        <v>56</v>
      </c>
      <c r="G10" s="302" t="s">
        <v>125</v>
      </c>
      <c r="H10" s="302" t="s">
        <v>126</v>
      </c>
      <c r="I10" s="30" t="s">
        <v>56</v>
      </c>
    </row>
    <row r="11" spans="2:9">
      <c r="B11" s="29"/>
      <c r="C11" s="23"/>
      <c r="D11" s="31" t="s">
        <v>116</v>
      </c>
      <c r="E11" s="31" t="s">
        <v>116</v>
      </c>
      <c r="F11" s="31" t="s">
        <v>116</v>
      </c>
      <c r="G11" s="31" t="s">
        <v>116</v>
      </c>
      <c r="H11" s="31" t="s">
        <v>116</v>
      </c>
      <c r="I11" s="31" t="s">
        <v>116</v>
      </c>
    </row>
    <row r="12" spans="2:9">
      <c r="B12" s="320" t="s">
        <v>509</v>
      </c>
      <c r="C12" s="107" t="s">
        <v>127</v>
      </c>
      <c r="D12" s="31"/>
      <c r="E12" s="31"/>
      <c r="F12" s="31"/>
      <c r="G12" s="31"/>
      <c r="H12" s="31"/>
      <c r="I12" s="31"/>
    </row>
    <row r="13" spans="2:9">
      <c r="B13" s="320" t="s">
        <v>509</v>
      </c>
      <c r="C13" s="116" t="s">
        <v>128</v>
      </c>
      <c r="D13" s="66">
        <v>330167520.21269983</v>
      </c>
      <c r="E13" s="66">
        <v>2739703</v>
      </c>
      <c r="F13" s="90">
        <f>SUM(D13:E13)</f>
        <v>332907223.21269983</v>
      </c>
      <c r="G13" s="66">
        <v>314450199.11294901</v>
      </c>
      <c r="H13" s="66">
        <v>2689235.5799999996</v>
      </c>
      <c r="I13" s="90">
        <f>SUM(G13:H13)</f>
        <v>317139434.692949</v>
      </c>
    </row>
    <row r="14" spans="2:9">
      <c r="B14" s="320" t="s">
        <v>509</v>
      </c>
      <c r="C14" s="116" t="s">
        <v>129</v>
      </c>
      <c r="D14" s="90">
        <f>'2.3 Revenue contributions '!C17</f>
        <v>0</v>
      </c>
      <c r="E14" s="90">
        <f>'2.3 Revenue contributions '!D17</f>
        <v>0</v>
      </c>
      <c r="F14" s="90">
        <f>SUM(D14:E14)</f>
        <v>0</v>
      </c>
      <c r="G14" s="66">
        <v>0</v>
      </c>
      <c r="H14" s="66"/>
      <c r="I14" s="90">
        <f>SUM(G14:H14)</f>
        <v>0</v>
      </c>
    </row>
    <row r="15" spans="2:9">
      <c r="B15" s="320" t="s">
        <v>509</v>
      </c>
      <c r="C15" s="116" t="s">
        <v>130</v>
      </c>
      <c r="D15" s="90">
        <f>'2.3 Revenue contributions '!D29</f>
        <v>0</v>
      </c>
      <c r="E15" s="90"/>
      <c r="F15" s="90">
        <f>SUM(D15:E15)</f>
        <v>0</v>
      </c>
      <c r="G15" s="66">
        <v>0</v>
      </c>
      <c r="H15" s="90"/>
      <c r="I15" s="90">
        <f>SUM(G15:H15)</f>
        <v>0</v>
      </c>
    </row>
    <row r="16" spans="2:9">
      <c r="B16" s="320" t="s">
        <v>509</v>
      </c>
      <c r="C16" s="116" t="s">
        <v>131</v>
      </c>
      <c r="D16" s="66">
        <v>183561.18012938343</v>
      </c>
      <c r="E16" s="66">
        <v>0</v>
      </c>
      <c r="F16" s="90">
        <f>SUM(D16:E16)</f>
        <v>183561.18012938343</v>
      </c>
      <c r="G16" s="66">
        <v>5986.7256251884073</v>
      </c>
      <c r="H16" s="66">
        <v>0</v>
      </c>
      <c r="I16" s="90">
        <f>SUM(G16:H16)</f>
        <v>5986.7256251884073</v>
      </c>
    </row>
    <row r="17" spans="2:9">
      <c r="B17" s="320" t="s">
        <v>509</v>
      </c>
      <c r="C17" s="116" t="s">
        <v>132</v>
      </c>
      <c r="D17" s="66">
        <v>458852.52000000008</v>
      </c>
      <c r="E17" s="66">
        <v>0</v>
      </c>
      <c r="F17" s="90">
        <f>SUM(D17:E17)</f>
        <v>458852.52000000008</v>
      </c>
      <c r="G17" s="66">
        <v>466100.52000000008</v>
      </c>
      <c r="H17" s="66">
        <v>0</v>
      </c>
      <c r="I17" s="90">
        <f>SUM(G17:H17)</f>
        <v>466100.52000000008</v>
      </c>
    </row>
    <row r="18" spans="2:9">
      <c r="B18" s="320"/>
      <c r="C18" s="117" t="s">
        <v>133</v>
      </c>
      <c r="D18" s="90">
        <f t="shared" ref="D18:I18" si="0">SUM(D13:D17)</f>
        <v>330809933.91282922</v>
      </c>
      <c r="E18" s="90">
        <f t="shared" si="0"/>
        <v>2739703</v>
      </c>
      <c r="F18" s="90">
        <f t="shared" si="0"/>
        <v>333549636.91282922</v>
      </c>
      <c r="G18" s="90">
        <f t="shared" si="0"/>
        <v>314922286.35857421</v>
      </c>
      <c r="H18" s="90">
        <f t="shared" si="0"/>
        <v>2689235.5799999996</v>
      </c>
      <c r="I18" s="90">
        <f t="shared" si="0"/>
        <v>317611521.93857419</v>
      </c>
    </row>
    <row r="19" spans="2:9">
      <c r="B19" s="320"/>
      <c r="C19" s="33" t="s">
        <v>134</v>
      </c>
      <c r="D19" s="31"/>
      <c r="E19" s="31"/>
      <c r="F19" s="31"/>
      <c r="G19" s="31"/>
      <c r="H19" s="31"/>
      <c r="I19" s="31"/>
    </row>
    <row r="20" spans="2:9">
      <c r="B20" s="320"/>
      <c r="C20" s="116" t="s">
        <v>135</v>
      </c>
      <c r="D20" s="90">
        <f>'2.4 Indirect revenue'!G42</f>
        <v>0</v>
      </c>
      <c r="E20" s="90">
        <f>'2.4 Indirect revenue'!H42</f>
        <v>0</v>
      </c>
      <c r="F20" s="90">
        <f>SUM(D20:E20)</f>
        <v>0</v>
      </c>
      <c r="G20" s="66">
        <v>0</v>
      </c>
      <c r="H20" s="66">
        <v>0</v>
      </c>
      <c r="I20" s="90">
        <f>SUM(G20:H20)</f>
        <v>0</v>
      </c>
    </row>
    <row r="21" spans="2:9">
      <c r="B21" s="320"/>
      <c r="C21" s="117" t="s">
        <v>136</v>
      </c>
      <c r="D21" s="90">
        <f t="shared" ref="D21:I21" si="1">SUM(D20)</f>
        <v>0</v>
      </c>
      <c r="E21" s="90">
        <f t="shared" si="1"/>
        <v>0</v>
      </c>
      <c r="F21" s="90">
        <f t="shared" si="1"/>
        <v>0</v>
      </c>
      <c r="G21" s="90">
        <f t="shared" si="1"/>
        <v>0</v>
      </c>
      <c r="H21" s="90">
        <f t="shared" si="1"/>
        <v>0</v>
      </c>
      <c r="I21" s="90">
        <f t="shared" si="1"/>
        <v>0</v>
      </c>
    </row>
    <row r="22" spans="2:9">
      <c r="B22" s="320"/>
      <c r="C22" s="117" t="s">
        <v>137</v>
      </c>
      <c r="D22" s="90">
        <f>D18+D21</f>
        <v>330809933.91282922</v>
      </c>
      <c r="E22" s="90">
        <f>E21+E18</f>
        <v>2739703</v>
      </c>
      <c r="F22" s="90">
        <f>F18+F21</f>
        <v>333549636.91282922</v>
      </c>
      <c r="G22" s="90">
        <f>G18+G21</f>
        <v>314922286.35857421</v>
      </c>
      <c r="H22" s="90">
        <f>H18+H21</f>
        <v>2689235.5799999996</v>
      </c>
      <c r="I22" s="90">
        <f>I18+I21</f>
        <v>317611521.93857419</v>
      </c>
    </row>
    <row r="23" spans="2:9">
      <c r="B23" s="320"/>
      <c r="C23" s="33" t="s">
        <v>138</v>
      </c>
      <c r="D23" s="31"/>
      <c r="E23" s="31"/>
      <c r="F23" s="31"/>
      <c r="G23" s="31"/>
      <c r="H23" s="31"/>
      <c r="I23" s="31"/>
    </row>
    <row r="24" spans="2:9">
      <c r="B24" s="320" t="s">
        <v>509</v>
      </c>
      <c r="C24" s="19" t="s">
        <v>139</v>
      </c>
      <c r="D24" s="66">
        <v>0</v>
      </c>
      <c r="E24" s="66">
        <v>0</v>
      </c>
      <c r="F24" s="90">
        <f t="shared" ref="F24:F31" si="2">SUM(D24:E24)</f>
        <v>0</v>
      </c>
      <c r="G24" s="66">
        <v>528.7906594555767</v>
      </c>
      <c r="H24" s="66">
        <v>4.3793405444232292</v>
      </c>
      <c r="I24" s="90">
        <f t="shared" ref="I24:I31" si="3">SUM(G24:H24)</f>
        <v>533.16999999999996</v>
      </c>
    </row>
    <row r="25" spans="2:9">
      <c r="B25" s="320" t="s">
        <v>509</v>
      </c>
      <c r="C25" s="19" t="s">
        <v>140</v>
      </c>
      <c r="D25" s="66">
        <v>22259108.369550917</v>
      </c>
      <c r="E25" s="66">
        <v>184345.57044908244</v>
      </c>
      <c r="F25" s="90">
        <f t="shared" si="2"/>
        <v>22443453.940000001</v>
      </c>
      <c r="G25" s="66">
        <v>19116186.120180726</v>
      </c>
      <c r="H25" s="66">
        <v>158316.50471481329</v>
      </c>
      <c r="I25" s="90">
        <f t="shared" si="3"/>
        <v>19274502.624895539</v>
      </c>
    </row>
    <row r="26" spans="2:9">
      <c r="B26" s="320" t="s">
        <v>509</v>
      </c>
      <c r="C26" s="19" t="s">
        <v>141</v>
      </c>
      <c r="D26" s="66">
        <v>60649805.990368359</v>
      </c>
      <c r="E26" s="66">
        <v>502289.79963163735</v>
      </c>
      <c r="F26" s="90">
        <f t="shared" si="2"/>
        <v>61152095.789999999</v>
      </c>
      <c r="G26" s="66">
        <v>59812966.788531683</v>
      </c>
      <c r="H26" s="66">
        <v>495359.26146831334</v>
      </c>
      <c r="I26" s="90">
        <f t="shared" si="3"/>
        <v>60308326.049999997</v>
      </c>
    </row>
    <row r="27" spans="2:9">
      <c r="B27" s="320" t="s">
        <v>509</v>
      </c>
      <c r="C27" s="19" t="s">
        <v>142</v>
      </c>
      <c r="D27" s="66">
        <v>876454.36680900934</v>
      </c>
      <c r="E27" s="66">
        <v>7258.623190990641</v>
      </c>
      <c r="F27" s="90">
        <f t="shared" si="2"/>
        <v>883712.99</v>
      </c>
      <c r="G27" s="66">
        <v>863359.5356328804</v>
      </c>
      <c r="H27" s="66">
        <v>7150.1743671195063</v>
      </c>
      <c r="I27" s="90">
        <f t="shared" si="3"/>
        <v>870509.71</v>
      </c>
    </row>
    <row r="28" spans="2:9">
      <c r="B28" s="321" t="s">
        <v>509</v>
      </c>
      <c r="C28" s="19" t="s">
        <v>143</v>
      </c>
      <c r="D28" s="66">
        <v>509314.66581561131</v>
      </c>
      <c r="E28" s="66">
        <v>4218.0441843887247</v>
      </c>
      <c r="F28" s="90">
        <f t="shared" si="2"/>
        <v>513532.71</v>
      </c>
      <c r="G28" s="66">
        <v>471408.19973414397</v>
      </c>
      <c r="H28" s="66">
        <v>3904.1102658560362</v>
      </c>
      <c r="I28" s="90">
        <f t="shared" si="3"/>
        <v>475312.31</v>
      </c>
    </row>
    <row r="29" spans="2:9">
      <c r="B29" s="321" t="s">
        <v>509</v>
      </c>
      <c r="C29" s="19" t="s">
        <v>144</v>
      </c>
      <c r="D29" s="66">
        <v>5462.1931871737479</v>
      </c>
      <c r="E29" s="66">
        <v>45.236812826252091</v>
      </c>
      <c r="F29" s="90">
        <f t="shared" si="2"/>
        <v>5507.43</v>
      </c>
      <c r="G29" s="66">
        <v>3094.4523524469796</v>
      </c>
      <c r="H29" s="66">
        <v>25.627647553020672</v>
      </c>
      <c r="I29" s="90">
        <f t="shared" si="3"/>
        <v>3120.0800000000004</v>
      </c>
    </row>
    <row r="30" spans="2:9">
      <c r="B30" s="321" t="s">
        <v>509</v>
      </c>
      <c r="C30" s="19" t="s">
        <v>145</v>
      </c>
      <c r="D30" s="66">
        <v>229498.43893397407</v>
      </c>
      <c r="E30" s="66">
        <v>1900.6610660259305</v>
      </c>
      <c r="F30" s="90">
        <f t="shared" si="2"/>
        <v>231399.1</v>
      </c>
      <c r="G30" s="66">
        <v>279280.70199374092</v>
      </c>
      <c r="H30" s="66">
        <v>2312.9480062590246</v>
      </c>
      <c r="I30" s="90">
        <f t="shared" si="3"/>
        <v>281593.64999999997</v>
      </c>
    </row>
    <row r="31" spans="2:9">
      <c r="B31" s="321" t="s">
        <v>509</v>
      </c>
      <c r="C31" s="34" t="s">
        <v>146</v>
      </c>
      <c r="D31" s="66">
        <v>8381904.3022811739</v>
      </c>
      <c r="E31" s="66">
        <v>69417.287718825872</v>
      </c>
      <c r="F31" s="90">
        <f t="shared" si="2"/>
        <v>8451321.5899999999</v>
      </c>
      <c r="G31" s="66">
        <v>5473740.266526957</v>
      </c>
      <c r="H31" s="66">
        <v>45332.443473043852</v>
      </c>
      <c r="I31" s="90">
        <f t="shared" si="3"/>
        <v>5519072.7100000009</v>
      </c>
    </row>
    <row r="32" spans="2:9">
      <c r="B32" s="322"/>
      <c r="C32" s="87" t="s">
        <v>147</v>
      </c>
      <c r="D32" s="90">
        <f t="shared" ref="D32:I32" si="4">SUM(D24:D31)</f>
        <v>92911548.326946214</v>
      </c>
      <c r="E32" s="90">
        <f t="shared" si="4"/>
        <v>769475.22305377724</v>
      </c>
      <c r="F32" s="90">
        <f>SUM(F24:F31)</f>
        <v>93681023.549999997</v>
      </c>
      <c r="G32" s="90">
        <f t="shared" si="4"/>
        <v>86020564.855612025</v>
      </c>
      <c r="H32" s="90">
        <f t="shared" si="4"/>
        <v>712405.44928350253</v>
      </c>
      <c r="I32" s="90">
        <f t="shared" si="4"/>
        <v>86732970.30489555</v>
      </c>
    </row>
    <row r="33" spans="2:9">
      <c r="B33" s="322"/>
      <c r="C33" s="33" t="s">
        <v>148</v>
      </c>
      <c r="D33" s="31"/>
      <c r="E33" s="31"/>
      <c r="F33" s="108"/>
      <c r="G33" s="31"/>
      <c r="H33" s="31"/>
      <c r="I33" s="108"/>
    </row>
    <row r="34" spans="2:9">
      <c r="B34" s="322"/>
      <c r="C34" s="19" t="s">
        <v>149</v>
      </c>
      <c r="D34" s="90">
        <f>SUMIF('2.5 Shared expenses'!$C$15:$C$35,$C34,'2.5 Shared expenses'!H$15:H$35)</f>
        <v>0</v>
      </c>
      <c r="E34" s="90">
        <f>SUMIF('2.5 Shared expenses'!$C$15:$C$35,$C34,'2.5 Shared expenses'!I$15:I$35)</f>
        <v>0</v>
      </c>
      <c r="F34" s="90">
        <f t="shared" ref="F34:F42" si="5">SUM(D34:E34)</f>
        <v>0</v>
      </c>
      <c r="G34" s="66">
        <v>0</v>
      </c>
      <c r="H34" s="66">
        <v>0</v>
      </c>
      <c r="I34" s="90">
        <f t="shared" ref="I34:I42" si="6">SUM(G34:H34)</f>
        <v>0</v>
      </c>
    </row>
    <row r="35" spans="2:9">
      <c r="B35" s="322"/>
      <c r="C35" s="19" t="s">
        <v>150</v>
      </c>
      <c r="D35" s="90">
        <f>SUMIF('2.5 Shared expenses'!$C$15:$C$35,$C35,'2.5 Shared expenses'!H$15:H$35)</f>
        <v>0</v>
      </c>
      <c r="E35" s="90">
        <f>SUMIF('2.5 Shared expenses'!$C$15:$C$35,$C35,'2.5 Shared expenses'!I$15:I$35)</f>
        <v>0</v>
      </c>
      <c r="F35" s="90">
        <f t="shared" si="5"/>
        <v>0</v>
      </c>
      <c r="G35" s="66">
        <v>0</v>
      </c>
      <c r="H35" s="66">
        <v>0</v>
      </c>
      <c r="I35" s="90">
        <f t="shared" si="6"/>
        <v>0</v>
      </c>
    </row>
    <row r="36" spans="2:9">
      <c r="B36" s="322"/>
      <c r="C36" s="32" t="s">
        <v>151</v>
      </c>
      <c r="D36" s="90">
        <f>SUMIF('2.5 Shared expenses'!$C$15:$C$35,$C36,'2.5 Shared expenses'!H$15:H$35)</f>
        <v>0</v>
      </c>
      <c r="E36" s="90">
        <f>SUMIF('2.5 Shared expenses'!$C$15:$C$35,$C36,'2.5 Shared expenses'!I$15:I$35)</f>
        <v>0</v>
      </c>
      <c r="F36" s="90">
        <f t="shared" si="5"/>
        <v>0</v>
      </c>
      <c r="G36" s="66">
        <v>0</v>
      </c>
      <c r="H36" s="66">
        <v>0</v>
      </c>
      <c r="I36" s="90">
        <f t="shared" si="6"/>
        <v>0</v>
      </c>
    </row>
    <row r="37" spans="2:9">
      <c r="B37" s="321" t="s">
        <v>509</v>
      </c>
      <c r="C37" s="34" t="s">
        <v>152</v>
      </c>
      <c r="D37" s="90">
        <f>SUMIF('2.5 Shared expenses'!$C$15:$C$35,$C37,'2.5 Shared expenses'!H$15:H$35)</f>
        <v>9720926.4407812487</v>
      </c>
      <c r="E37" s="90">
        <f>SUMIF('2.5 Shared expenses'!$C$15:$C$35,$C37,'2.5 Shared expenses'!I$15:I$35)</f>
        <v>0</v>
      </c>
      <c r="F37" s="90">
        <f t="shared" si="5"/>
        <v>9720926.4407812487</v>
      </c>
      <c r="G37" s="66">
        <v>7085561.0672672112</v>
      </c>
      <c r="H37" s="66">
        <v>0</v>
      </c>
      <c r="I37" s="90">
        <f t="shared" si="6"/>
        <v>7085561.0672672112</v>
      </c>
    </row>
    <row r="38" spans="2:9">
      <c r="B38" s="322"/>
      <c r="C38" s="34" t="s">
        <v>153</v>
      </c>
      <c r="D38" s="90">
        <f>SUMIF('2.5 Shared expenses'!$C$15:$C$35,$C38,'2.5 Shared expenses'!H$15:H$35)</f>
        <v>0</v>
      </c>
      <c r="E38" s="90">
        <f>SUMIF('2.5 Shared expenses'!$C$15:$C$35,$C38,'2.5 Shared expenses'!I$15:I$35)</f>
        <v>0</v>
      </c>
      <c r="F38" s="90">
        <f t="shared" si="5"/>
        <v>0</v>
      </c>
      <c r="G38" s="66">
        <v>0</v>
      </c>
      <c r="H38" s="66">
        <v>0</v>
      </c>
      <c r="I38" s="90">
        <f t="shared" si="6"/>
        <v>0</v>
      </c>
    </row>
    <row r="39" spans="2:9">
      <c r="B39" s="322"/>
      <c r="C39" s="32" t="s">
        <v>154</v>
      </c>
      <c r="D39" s="90">
        <f>SUMIF('2.5 Shared expenses'!$C$15:$C$35,$C39,'2.5 Shared expenses'!H$15:H$35)</f>
        <v>0</v>
      </c>
      <c r="E39" s="90">
        <f>SUMIF('2.5 Shared expenses'!$C$15:$C$35,$C39,'2.5 Shared expenses'!I$15:I$35)</f>
        <v>0</v>
      </c>
      <c r="F39" s="90">
        <f t="shared" si="5"/>
        <v>0</v>
      </c>
      <c r="G39" s="66">
        <v>0</v>
      </c>
      <c r="H39" s="66">
        <v>0</v>
      </c>
      <c r="I39" s="90">
        <f t="shared" si="6"/>
        <v>0</v>
      </c>
    </row>
    <row r="40" spans="2:9">
      <c r="B40" s="322"/>
      <c r="C40" s="32" t="s">
        <v>155</v>
      </c>
      <c r="D40" s="90">
        <f>SUMIF('2.5 Shared expenses'!$C$15:$C$35,$C40,'2.5 Shared expenses'!H$15:H$35)</f>
        <v>0</v>
      </c>
      <c r="E40" s="90">
        <f>SUMIF('2.5 Shared expenses'!$C$15:$C$35,$C40,'2.5 Shared expenses'!I$15:I$35)</f>
        <v>0</v>
      </c>
      <c r="F40" s="90">
        <f t="shared" si="5"/>
        <v>0</v>
      </c>
      <c r="G40" s="66">
        <v>0</v>
      </c>
      <c r="H40" s="66">
        <v>0</v>
      </c>
      <c r="I40" s="90">
        <f t="shared" si="6"/>
        <v>0</v>
      </c>
    </row>
    <row r="41" spans="2:9">
      <c r="B41" s="322"/>
      <c r="C41" s="32" t="s">
        <v>156</v>
      </c>
      <c r="D41" s="90">
        <f>SUMIF('2.5 Shared expenses'!$C$15:$C$35,$C41,'2.5 Shared expenses'!H$15:H$35)</f>
        <v>0</v>
      </c>
      <c r="E41" s="90">
        <f>SUMIF('2.5 Shared expenses'!$C$15:$C$35,$C41,'2.5 Shared expenses'!I$15:I$35)</f>
        <v>0</v>
      </c>
      <c r="F41" s="90">
        <f t="shared" si="5"/>
        <v>0</v>
      </c>
      <c r="G41" s="66">
        <v>0</v>
      </c>
      <c r="H41" s="66">
        <v>0</v>
      </c>
      <c r="I41" s="90">
        <f t="shared" si="6"/>
        <v>0</v>
      </c>
    </row>
    <row r="42" spans="2:9">
      <c r="B42" s="321" t="s">
        <v>509</v>
      </c>
      <c r="C42" s="34" t="s">
        <v>157</v>
      </c>
      <c r="D42" s="90">
        <f>SUMIF('2.5 Shared expenses'!$C$15:$C$35,$C42,'2.5 Shared expenses'!H$15:H$35)</f>
        <v>36060236.536819674</v>
      </c>
      <c r="E42" s="90">
        <f>SUMIF('2.5 Shared expenses'!$C$15:$C$35,$C42,'2.5 Shared expenses'!I$15:I$35)</f>
        <v>0</v>
      </c>
      <c r="F42" s="90">
        <f t="shared" si="5"/>
        <v>36060236.536819674</v>
      </c>
      <c r="G42" s="66">
        <v>39335700.796893314</v>
      </c>
      <c r="H42" s="66">
        <v>0</v>
      </c>
      <c r="I42" s="90">
        <f t="shared" si="6"/>
        <v>39335700.796893314</v>
      </c>
    </row>
    <row r="43" spans="2:9">
      <c r="B43" s="281"/>
      <c r="C43" s="87" t="s">
        <v>158</v>
      </c>
      <c r="D43" s="90">
        <f t="shared" ref="D43:I43" si="7">SUM(D34:D42)</f>
        <v>45781162.977600925</v>
      </c>
      <c r="E43" s="90">
        <f t="shared" si="7"/>
        <v>0</v>
      </c>
      <c r="F43" s="90">
        <f>SUM(F34:F42)</f>
        <v>45781162.977600925</v>
      </c>
      <c r="G43" s="90">
        <f t="shared" si="7"/>
        <v>46421261.864160523</v>
      </c>
      <c r="H43" s="90">
        <f t="shared" si="7"/>
        <v>0</v>
      </c>
      <c r="I43" s="90">
        <f t="shared" si="7"/>
        <v>46421261.864160523</v>
      </c>
    </row>
    <row r="44" spans="2:9">
      <c r="B44" s="281"/>
      <c r="C44" s="87" t="s">
        <v>159</v>
      </c>
      <c r="D44" s="11">
        <f t="shared" ref="D44:I44" si="8">D43+D32</f>
        <v>138692711.30454713</v>
      </c>
      <c r="E44" s="11">
        <f t="shared" si="8"/>
        <v>769475.22305377724</v>
      </c>
      <c r="F44" s="11">
        <f t="shared" si="8"/>
        <v>139462186.52760091</v>
      </c>
      <c r="G44" s="11">
        <f t="shared" si="8"/>
        <v>132441826.71977255</v>
      </c>
      <c r="H44" s="11">
        <f t="shared" si="8"/>
        <v>712405.44928350253</v>
      </c>
      <c r="I44" s="11">
        <f t="shared" si="8"/>
        <v>133154232.16905607</v>
      </c>
    </row>
    <row r="45" spans="2:9">
      <c r="B45" s="281"/>
      <c r="C45" s="137" t="s">
        <v>63</v>
      </c>
      <c r="D45" s="11">
        <f t="shared" ref="D45:I45" si="9">D22-ABS(D44)</f>
        <v>192117222.60828209</v>
      </c>
      <c r="E45" s="11">
        <f t="shared" si="9"/>
        <v>1970227.7769462229</v>
      </c>
      <c r="F45" s="11">
        <f t="shared" si="9"/>
        <v>194087450.38522831</v>
      </c>
      <c r="G45" s="11">
        <f t="shared" si="9"/>
        <v>182480459.63880166</v>
      </c>
      <c r="H45" s="11">
        <f t="shared" si="9"/>
        <v>1976830.1307164971</v>
      </c>
      <c r="I45" s="11">
        <f t="shared" si="9"/>
        <v>184457289.76951814</v>
      </c>
    </row>
    <row r="73" spans="2:2" ht="22.9" customHeight="1"/>
    <row r="77" spans="2:2">
      <c r="B77" s="100"/>
    </row>
    <row r="85" spans="2:2">
      <c r="B85" s="100"/>
    </row>
    <row r="92" spans="2:2">
      <c r="B92" s="100"/>
    </row>
    <row r="115" ht="16.5" customHeight="1"/>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c r="B1" s="135" t="s">
        <v>53</v>
      </c>
      <c r="C1" s="135"/>
      <c r="D1" s="204"/>
      <c r="E1" s="204"/>
      <c r="F1" s="204"/>
      <c r="G1" s="204"/>
      <c r="H1" s="204"/>
      <c r="I1" s="204"/>
    </row>
    <row r="2" spans="2:13" ht="20.25" customHeight="1">
      <c r="B2" s="135" t="str">
        <f>IF(Tradingname=0," ",Tradingname)</f>
        <v>APA (SWQP) PTY LIMITED</v>
      </c>
      <c r="C2" s="135"/>
      <c r="I2" s="238"/>
    </row>
    <row r="3" spans="2:13" ht="20.25" customHeight="1">
      <c r="B3" s="135" t="s">
        <v>30</v>
      </c>
      <c r="C3" s="99">
        <f>IF(Yearending=0, "01/01/2000", Yearending)</f>
        <v>45838</v>
      </c>
    </row>
    <row r="4" spans="2:13" ht="20.25">
      <c r="B4" s="91" t="s">
        <v>160</v>
      </c>
      <c r="C4" s="91"/>
      <c r="D4" s="244"/>
      <c r="G4" s="244"/>
    </row>
    <row r="5" spans="2:13">
      <c r="B5" s="191"/>
      <c r="C5" s="191"/>
      <c r="D5" s="191"/>
      <c r="E5" s="191"/>
      <c r="F5" s="191"/>
      <c r="G5" s="191"/>
      <c r="H5" s="191"/>
      <c r="I5" s="191"/>
      <c r="J5" s="191"/>
      <c r="K5" s="191"/>
      <c r="L5" s="191"/>
      <c r="M5" s="191"/>
    </row>
    <row r="6" spans="2:13">
      <c r="B6" s="191"/>
      <c r="C6" s="191"/>
      <c r="D6" s="191"/>
      <c r="E6" s="191"/>
      <c r="F6" s="191"/>
      <c r="G6" s="191"/>
      <c r="H6" s="191"/>
      <c r="I6" s="191"/>
      <c r="J6" s="191"/>
      <c r="K6" s="191"/>
      <c r="L6" s="191"/>
      <c r="M6" s="191"/>
    </row>
    <row r="7" spans="2:13" ht="15.75">
      <c r="B7" s="245" t="s">
        <v>161</v>
      </c>
      <c r="C7" s="191"/>
      <c r="D7" s="191"/>
      <c r="E7" s="191"/>
      <c r="F7" s="191"/>
      <c r="G7" s="191"/>
      <c r="H7" s="191"/>
      <c r="I7" s="191"/>
      <c r="J7" s="191"/>
      <c r="K7" s="191"/>
      <c r="L7" s="191"/>
      <c r="M7" s="191"/>
    </row>
    <row r="8" spans="2:13">
      <c r="B8" s="246"/>
      <c r="C8" s="247"/>
      <c r="D8" s="248"/>
      <c r="E8" s="248"/>
      <c r="F8" s="248"/>
      <c r="G8" s="248"/>
      <c r="H8" s="248"/>
      <c r="I8" s="248"/>
      <c r="J8" s="248"/>
      <c r="K8" s="248"/>
      <c r="L8" s="191"/>
      <c r="M8" s="191"/>
    </row>
    <row r="9" spans="2:13" ht="21" customHeight="1">
      <c r="B9" s="249"/>
      <c r="C9" s="249"/>
      <c r="D9" s="404" t="s">
        <v>162</v>
      </c>
      <c r="E9" s="405"/>
      <c r="F9" s="405"/>
      <c r="G9" s="406"/>
      <c r="H9" s="404" t="s">
        <v>124</v>
      </c>
      <c r="I9" s="405"/>
      <c r="J9" s="405"/>
      <c r="K9" s="406"/>
      <c r="L9" s="191"/>
      <c r="M9" s="191"/>
    </row>
    <row r="10" spans="2:13" ht="51" customHeight="1">
      <c r="B10" s="44" t="s">
        <v>113</v>
      </c>
      <c r="C10" s="249" t="s">
        <v>114</v>
      </c>
      <c r="D10" s="302" t="s">
        <v>163</v>
      </c>
      <c r="E10" s="302" t="s">
        <v>125</v>
      </c>
      <c r="F10" s="302" t="s">
        <v>126</v>
      </c>
      <c r="G10" s="302" t="s">
        <v>56</v>
      </c>
      <c r="H10" s="302" t="s">
        <v>163</v>
      </c>
      <c r="I10" s="302" t="s">
        <v>125</v>
      </c>
      <c r="J10" s="302" t="s">
        <v>126</v>
      </c>
      <c r="K10" s="302" t="s">
        <v>56</v>
      </c>
      <c r="L10" s="191"/>
      <c r="M10" s="191"/>
    </row>
    <row r="11" spans="2:13" ht="15.75" customHeight="1">
      <c r="B11" s="44"/>
      <c r="C11" s="249"/>
      <c r="D11" s="111" t="s">
        <v>164</v>
      </c>
      <c r="E11" s="111" t="s">
        <v>116</v>
      </c>
      <c r="F11" s="111" t="s">
        <v>116</v>
      </c>
      <c r="G11" s="111" t="s">
        <v>116</v>
      </c>
      <c r="H11" s="111" t="s">
        <v>164</v>
      </c>
      <c r="I11" s="111" t="s">
        <v>116</v>
      </c>
      <c r="J11" s="111" t="s">
        <v>116</v>
      </c>
      <c r="K11" s="111" t="s">
        <v>116</v>
      </c>
      <c r="L11" s="191"/>
      <c r="M11" s="191"/>
    </row>
    <row r="12" spans="2:13">
      <c r="B12" s="188"/>
      <c r="C12" s="256" t="s">
        <v>165</v>
      </c>
      <c r="D12" s="111"/>
      <c r="E12" s="111"/>
      <c r="F12" s="111"/>
      <c r="G12" s="111"/>
      <c r="H12" s="111"/>
      <c r="I12" s="111"/>
      <c r="J12" s="111"/>
      <c r="K12" s="111"/>
      <c r="L12" s="191"/>
      <c r="M12" s="191"/>
    </row>
    <row r="13" spans="2:13">
      <c r="B13" s="323" t="s">
        <v>510</v>
      </c>
      <c r="C13" s="112" t="s">
        <v>78</v>
      </c>
      <c r="D13" s="72">
        <v>0.71166803518897592</v>
      </c>
      <c r="E13" s="257">
        <f t="shared" ref="E13:E22" si="0">D13*$E$23</f>
        <v>235426855.68873814</v>
      </c>
      <c r="F13" s="257">
        <f t="shared" ref="F13:F22" si="1">D13*$F$23</f>
        <v>1949759.0510113428</v>
      </c>
      <c r="G13" s="113">
        <f t="shared" ref="G13:G22" si="2">SUM(E13:F13)</f>
        <v>237376614.73974949</v>
      </c>
      <c r="H13" s="72">
        <v>0.71888088955917895</v>
      </c>
      <c r="I13" s="257">
        <f t="shared" ref="I13:I22" si="3">H13*$I$23</f>
        <v>226391613.35946232</v>
      </c>
      <c r="J13" s="257">
        <f t="shared" ref="J13:J22" si="4">H13*$J$23</f>
        <v>1933240.0659845942</v>
      </c>
      <c r="K13" s="113">
        <f t="shared" ref="K13:K22" si="5">SUM(I13:J13)</f>
        <v>228324853.42544693</v>
      </c>
      <c r="L13" s="191"/>
      <c r="M13" s="258"/>
    </row>
    <row r="14" spans="2:13">
      <c r="B14" s="324" t="s">
        <v>510</v>
      </c>
      <c r="C14" s="112" t="s">
        <v>80</v>
      </c>
      <c r="D14" s="72">
        <v>0</v>
      </c>
      <c r="E14" s="257">
        <f t="shared" si="0"/>
        <v>0</v>
      </c>
      <c r="F14" s="257">
        <f t="shared" si="1"/>
        <v>0</v>
      </c>
      <c r="G14" s="113">
        <f t="shared" si="2"/>
        <v>0</v>
      </c>
      <c r="H14" s="72">
        <v>0</v>
      </c>
      <c r="I14" s="257">
        <f t="shared" si="3"/>
        <v>0</v>
      </c>
      <c r="J14" s="257">
        <f t="shared" si="4"/>
        <v>0</v>
      </c>
      <c r="K14" s="113">
        <f t="shared" si="5"/>
        <v>0</v>
      </c>
      <c r="L14" s="191"/>
      <c r="M14" s="258"/>
    </row>
    <row r="15" spans="2:13">
      <c r="B15" s="324" t="s">
        <v>510</v>
      </c>
      <c r="C15" s="112" t="s">
        <v>81</v>
      </c>
      <c r="D15" s="72">
        <v>2.3467361034123601E-3</v>
      </c>
      <c r="E15" s="257">
        <f t="shared" si="0"/>
        <v>776323.61528069316</v>
      </c>
      <c r="F15" s="257">
        <f t="shared" si="1"/>
        <v>6429.3599427271529</v>
      </c>
      <c r="G15" s="113">
        <f t="shared" si="2"/>
        <v>782752.9752234203</v>
      </c>
      <c r="H15" s="72">
        <v>2.8413278831799786E-3</v>
      </c>
      <c r="I15" s="257">
        <f t="shared" si="3"/>
        <v>894797.47326540668</v>
      </c>
      <c r="J15" s="257">
        <f t="shared" si="4"/>
        <v>7641.0000378936811</v>
      </c>
      <c r="K15" s="113">
        <f t="shared" si="5"/>
        <v>902438.47330330033</v>
      </c>
      <c r="L15" s="191"/>
      <c r="M15" s="258"/>
    </row>
    <row r="16" spans="2:13">
      <c r="B16" s="324" t="s">
        <v>510</v>
      </c>
      <c r="C16" s="112" t="s">
        <v>82</v>
      </c>
      <c r="D16" s="72">
        <v>0.23648342090703153</v>
      </c>
      <c r="E16" s="257">
        <f t="shared" si="0"/>
        <v>78231064.841734871</v>
      </c>
      <c r="F16" s="257">
        <f t="shared" si="1"/>
        <v>647894.33770925703</v>
      </c>
      <c r="G16" s="113">
        <f t="shared" si="2"/>
        <v>78878959.179444134</v>
      </c>
      <c r="H16" s="72">
        <v>0.2363046788317498</v>
      </c>
      <c r="I16" s="257">
        <f t="shared" si="3"/>
        <v>74417609.734923214</v>
      </c>
      <c r="J16" s="257">
        <f t="shared" si="4"/>
        <v>635478.9500348143</v>
      </c>
      <c r="K16" s="113">
        <f t="shared" si="5"/>
        <v>75053088.684958026</v>
      </c>
      <c r="L16" s="191"/>
      <c r="M16" s="258"/>
    </row>
    <row r="17" spans="2:13">
      <c r="B17" s="324" t="s">
        <v>510</v>
      </c>
      <c r="C17" s="194" t="s">
        <v>83</v>
      </c>
      <c r="D17" s="72">
        <v>1.7200634293060772E-3</v>
      </c>
      <c r="E17" s="257">
        <f t="shared" si="0"/>
        <v>569014.06937461777</v>
      </c>
      <c r="F17" s="257">
        <f t="shared" si="1"/>
        <v>4712.4629374601473</v>
      </c>
      <c r="G17" s="113">
        <f t="shared" si="2"/>
        <v>573726.53231207794</v>
      </c>
      <c r="H17" s="72">
        <v>2.3215812650761768E-3</v>
      </c>
      <c r="I17" s="257">
        <f t="shared" si="3"/>
        <v>731117.67996502074</v>
      </c>
      <c r="J17" s="257">
        <f t="shared" si="4"/>
        <v>6243.2789399042649</v>
      </c>
      <c r="K17" s="113">
        <f t="shared" si="5"/>
        <v>737360.95890492504</v>
      </c>
      <c r="L17" s="191"/>
      <c r="M17" s="258"/>
    </row>
    <row r="18" spans="2:13">
      <c r="B18" s="324" t="s">
        <v>510</v>
      </c>
      <c r="C18" s="112" t="s">
        <v>84</v>
      </c>
      <c r="D18" s="72">
        <v>8.9922682094745239E-5</v>
      </c>
      <c r="E18" s="257">
        <f t="shared" si="0"/>
        <v>29747.316521027024</v>
      </c>
      <c r="F18" s="257">
        <f t="shared" si="1"/>
        <v>246.36144190301982</v>
      </c>
      <c r="G18" s="113">
        <f t="shared" si="2"/>
        <v>29993.677962930044</v>
      </c>
      <c r="H18" s="72">
        <v>9.2199837678054935E-5</v>
      </c>
      <c r="I18" s="257">
        <f t="shared" si="3"/>
        <v>29035.783683462476</v>
      </c>
      <c r="J18" s="257">
        <f t="shared" si="4"/>
        <v>247.94708395404987</v>
      </c>
      <c r="K18" s="113">
        <f t="shared" si="5"/>
        <v>29283.730767416524</v>
      </c>
      <c r="L18" s="191"/>
      <c r="M18" s="258"/>
    </row>
    <row r="19" spans="2:13">
      <c r="B19" s="324" t="s">
        <v>510</v>
      </c>
      <c r="C19" s="112" t="s">
        <v>85</v>
      </c>
      <c r="D19" s="72">
        <v>6.4256161547245018E-3</v>
      </c>
      <c r="E19" s="257">
        <f t="shared" si="0"/>
        <v>2125657.6554936203</v>
      </c>
      <c r="F19" s="257">
        <f t="shared" si="1"/>
        <v>17604.279855947181</v>
      </c>
      <c r="G19" s="113">
        <f t="shared" si="2"/>
        <v>2143261.9353495673</v>
      </c>
      <c r="H19" s="72">
        <v>7.3107738942802258E-3</v>
      </c>
      <c r="I19" s="257">
        <f t="shared" si="3"/>
        <v>2302325.6298373062</v>
      </c>
      <c r="J19" s="257">
        <f t="shared" si="4"/>
        <v>19660.393273833539</v>
      </c>
      <c r="K19" s="113">
        <f t="shared" si="5"/>
        <v>2321986.0231111399</v>
      </c>
      <c r="L19" s="191"/>
      <c r="M19" s="258"/>
    </row>
    <row r="20" spans="2:13">
      <c r="B20" s="324" t="s">
        <v>510</v>
      </c>
      <c r="C20" s="112" t="s">
        <v>86</v>
      </c>
      <c r="D20" s="72">
        <v>6.2199455452398593E-4</v>
      </c>
      <c r="E20" s="257">
        <f t="shared" si="0"/>
        <v>205761.97747621944</v>
      </c>
      <c r="F20" s="257">
        <f t="shared" si="1"/>
        <v>1704.0803470130279</v>
      </c>
      <c r="G20" s="113">
        <f t="shared" si="2"/>
        <v>207466.05782323246</v>
      </c>
      <c r="H20" s="72">
        <v>7.1236795329074722E-4</v>
      </c>
      <c r="I20" s="257">
        <f t="shared" si="3"/>
        <v>224340.54457890012</v>
      </c>
      <c r="J20" s="257">
        <f t="shared" si="4"/>
        <v>1915.7252460412553</v>
      </c>
      <c r="K20" s="113">
        <f t="shared" si="5"/>
        <v>226256.26982494138</v>
      </c>
      <c r="L20" s="191"/>
      <c r="M20" s="258"/>
    </row>
    <row r="21" spans="2:13">
      <c r="B21" s="324" t="s">
        <v>510</v>
      </c>
      <c r="C21" s="112" t="s">
        <v>88</v>
      </c>
      <c r="D21" s="72">
        <v>1.4050869052520912E-3</v>
      </c>
      <c r="E21" s="257">
        <f t="shared" si="0"/>
        <v>464816.70626822603</v>
      </c>
      <c r="F21" s="257">
        <f t="shared" si="1"/>
        <v>3849.5208095798703</v>
      </c>
      <c r="G21" s="113">
        <f t="shared" si="2"/>
        <v>468666.2270778059</v>
      </c>
      <c r="H21" s="72">
        <v>9.7503058961867701E-4</v>
      </c>
      <c r="I21" s="257">
        <f t="shared" si="3"/>
        <v>307058.86255226244</v>
      </c>
      <c r="J21" s="257">
        <f t="shared" si="4"/>
        <v>2622.0869531909243</v>
      </c>
      <c r="K21" s="113">
        <f t="shared" si="5"/>
        <v>309680.94950545335</v>
      </c>
      <c r="L21" s="191"/>
      <c r="M21" s="258"/>
    </row>
    <row r="22" spans="2:13">
      <c r="B22" s="324" t="s">
        <v>510</v>
      </c>
      <c r="C22" s="112" t="s">
        <v>90</v>
      </c>
      <c r="D22" s="72">
        <v>3.9239124074678867E-2</v>
      </c>
      <c r="E22" s="257">
        <f t="shared" si="0"/>
        <v>12980692.041941822</v>
      </c>
      <c r="F22" s="257">
        <f t="shared" si="1"/>
        <v>107503.54594476991</v>
      </c>
      <c r="G22" s="113">
        <f t="shared" si="2"/>
        <v>13088195.587886592</v>
      </c>
      <c r="H22" s="72">
        <v>3.0561150185947326E-2</v>
      </c>
      <c r="I22" s="257">
        <f t="shared" si="3"/>
        <v>9624387.2903062981</v>
      </c>
      <c r="J22" s="257">
        <f t="shared" si="4"/>
        <v>82186.132445773153</v>
      </c>
      <c r="K22" s="113">
        <f t="shared" si="5"/>
        <v>9706573.4227520712</v>
      </c>
      <c r="L22" s="191"/>
      <c r="M22" s="258"/>
    </row>
    <row r="23" spans="2:13">
      <c r="B23" s="282"/>
      <c r="C23" s="186" t="s">
        <v>166</v>
      </c>
      <c r="D23" s="118">
        <f>SUM(D13:D22)</f>
        <v>1</v>
      </c>
      <c r="E23" s="114">
        <f>'2.1 Profit &amp; Loss by component'!D18-'2.1 Profit &amp; Loss by component'!D15-'2.1 Profit &amp; Loss by component'!D14</f>
        <v>330809933.91282922</v>
      </c>
      <c r="F23" s="114">
        <f>'2.1 Profit &amp; Loss by component'!E18-'2.1 Profit &amp; Loss by component'!E14</f>
        <v>2739703</v>
      </c>
      <c r="G23" s="114">
        <f>SUM(G13:G22)</f>
        <v>333549636.91282928</v>
      </c>
      <c r="H23" s="118">
        <f>SUM(H13:H22)</f>
        <v>1</v>
      </c>
      <c r="I23" s="114">
        <f>'2.1 Profit &amp; Loss by component'!G18-'2.1 Profit &amp; Loss by component'!G14-'2.1 Profit &amp; Loss by component'!G15</f>
        <v>314922286.35857421</v>
      </c>
      <c r="J23" s="114">
        <f>'2.1 Profit &amp; Loss by component'!H18-'2.1 Profit &amp; Loss by component'!H14-'2.1 Profit &amp; Loss by component'!H15</f>
        <v>2689235.5799999996</v>
      </c>
      <c r="K23" s="114">
        <f>SUM(K13:K22)</f>
        <v>317611521.93857419</v>
      </c>
      <c r="L23" s="191"/>
      <c r="M23" s="191"/>
    </row>
    <row r="24" spans="2:13">
      <c r="B24" s="188"/>
      <c r="C24" s="256" t="s">
        <v>167</v>
      </c>
      <c r="D24" s="111"/>
      <c r="E24" s="111"/>
      <c r="F24" s="111"/>
      <c r="G24" s="111"/>
      <c r="H24" s="111"/>
      <c r="I24" s="111"/>
      <c r="J24" s="111"/>
      <c r="K24" s="111"/>
      <c r="L24" s="191"/>
      <c r="M24" s="191"/>
    </row>
    <row r="25" spans="2:13">
      <c r="B25" s="324" t="s">
        <v>510</v>
      </c>
      <c r="C25" s="112" t="s">
        <v>78</v>
      </c>
      <c r="D25" s="72">
        <v>0</v>
      </c>
      <c r="E25" s="257">
        <f t="shared" ref="E25:F34" si="6">$D25*E$35</f>
        <v>0</v>
      </c>
      <c r="F25" s="257">
        <f t="shared" si="6"/>
        <v>0</v>
      </c>
      <c r="G25" s="113">
        <f t="shared" ref="G25:G34" si="7">SUM(E25:F25)</f>
        <v>0</v>
      </c>
      <c r="H25" s="72">
        <v>0</v>
      </c>
      <c r="I25" s="257">
        <f t="shared" ref="I25:I34" si="8">H25*$I$35</f>
        <v>0</v>
      </c>
      <c r="J25" s="257">
        <f t="shared" ref="J25:J34" si="9">H25*$J$35</f>
        <v>0</v>
      </c>
      <c r="K25" s="113">
        <f t="shared" ref="K25:K34" si="10">SUM(I25:J25)</f>
        <v>0</v>
      </c>
      <c r="L25" s="191"/>
      <c r="M25" s="191"/>
    </row>
    <row r="26" spans="2:13">
      <c r="B26" s="324" t="s">
        <v>510</v>
      </c>
      <c r="C26" s="112" t="s">
        <v>80</v>
      </c>
      <c r="D26" s="72">
        <v>0</v>
      </c>
      <c r="E26" s="257">
        <f t="shared" si="6"/>
        <v>0</v>
      </c>
      <c r="F26" s="257">
        <f t="shared" si="6"/>
        <v>0</v>
      </c>
      <c r="G26" s="113">
        <f t="shared" si="7"/>
        <v>0</v>
      </c>
      <c r="H26" s="72">
        <v>0</v>
      </c>
      <c r="I26" s="257">
        <f t="shared" si="8"/>
        <v>0</v>
      </c>
      <c r="J26" s="257">
        <f t="shared" si="9"/>
        <v>0</v>
      </c>
      <c r="K26" s="113">
        <f t="shared" si="10"/>
        <v>0</v>
      </c>
      <c r="L26" s="191"/>
      <c r="M26" s="191"/>
    </row>
    <row r="27" spans="2:13">
      <c r="B27" s="324" t="s">
        <v>510</v>
      </c>
      <c r="C27" s="112" t="s">
        <v>81</v>
      </c>
      <c r="D27" s="72">
        <v>0</v>
      </c>
      <c r="E27" s="257">
        <f t="shared" si="6"/>
        <v>0</v>
      </c>
      <c r="F27" s="257">
        <f t="shared" si="6"/>
        <v>0</v>
      </c>
      <c r="G27" s="113">
        <f t="shared" si="7"/>
        <v>0</v>
      </c>
      <c r="H27" s="72">
        <v>0</v>
      </c>
      <c r="I27" s="257">
        <f t="shared" si="8"/>
        <v>0</v>
      </c>
      <c r="J27" s="257">
        <f t="shared" si="9"/>
        <v>0</v>
      </c>
      <c r="K27" s="113">
        <f t="shared" si="10"/>
        <v>0</v>
      </c>
      <c r="L27" s="191"/>
      <c r="M27" s="191"/>
    </row>
    <row r="28" spans="2:13" ht="12.75" customHeight="1">
      <c r="B28" s="324" t="s">
        <v>510</v>
      </c>
      <c r="C28" s="112" t="s">
        <v>82</v>
      </c>
      <c r="D28" s="72">
        <v>0</v>
      </c>
      <c r="E28" s="257">
        <f t="shared" si="6"/>
        <v>0</v>
      </c>
      <c r="F28" s="257">
        <f t="shared" si="6"/>
        <v>0</v>
      </c>
      <c r="G28" s="113">
        <f t="shared" si="7"/>
        <v>0</v>
      </c>
      <c r="H28" s="72">
        <v>0</v>
      </c>
      <c r="I28" s="257">
        <f t="shared" si="8"/>
        <v>0</v>
      </c>
      <c r="J28" s="257">
        <f t="shared" si="9"/>
        <v>0</v>
      </c>
      <c r="K28" s="113">
        <f t="shared" si="10"/>
        <v>0</v>
      </c>
      <c r="L28" s="191"/>
      <c r="M28" s="191"/>
    </row>
    <row r="29" spans="2:13" ht="12.75" customHeight="1">
      <c r="B29" s="324" t="s">
        <v>510</v>
      </c>
      <c r="C29" s="194" t="s">
        <v>83</v>
      </c>
      <c r="D29" s="72">
        <v>0</v>
      </c>
      <c r="E29" s="257">
        <f t="shared" si="6"/>
        <v>0</v>
      </c>
      <c r="F29" s="257">
        <f t="shared" si="6"/>
        <v>0</v>
      </c>
      <c r="G29" s="113">
        <f t="shared" si="7"/>
        <v>0</v>
      </c>
      <c r="H29" s="72">
        <v>0</v>
      </c>
      <c r="I29" s="257">
        <f t="shared" si="8"/>
        <v>0</v>
      </c>
      <c r="J29" s="257">
        <f t="shared" si="9"/>
        <v>0</v>
      </c>
      <c r="K29" s="113">
        <f t="shared" si="10"/>
        <v>0</v>
      </c>
      <c r="L29" s="191"/>
      <c r="M29" s="191"/>
    </row>
    <row r="30" spans="2:13">
      <c r="B30" s="324" t="s">
        <v>510</v>
      </c>
      <c r="C30" s="112" t="s">
        <v>84</v>
      </c>
      <c r="D30" s="72">
        <v>0</v>
      </c>
      <c r="E30" s="257">
        <f t="shared" si="6"/>
        <v>0</v>
      </c>
      <c r="F30" s="257">
        <f t="shared" si="6"/>
        <v>0</v>
      </c>
      <c r="G30" s="113">
        <f t="shared" si="7"/>
        <v>0</v>
      </c>
      <c r="H30" s="72">
        <v>0</v>
      </c>
      <c r="I30" s="257">
        <f t="shared" si="8"/>
        <v>0</v>
      </c>
      <c r="J30" s="257">
        <f t="shared" si="9"/>
        <v>0</v>
      </c>
      <c r="K30" s="113">
        <f t="shared" si="10"/>
        <v>0</v>
      </c>
      <c r="L30" s="191"/>
      <c r="M30" s="191"/>
    </row>
    <row r="31" spans="2:13">
      <c r="B31" s="324" t="s">
        <v>510</v>
      </c>
      <c r="C31" s="112" t="s">
        <v>85</v>
      </c>
      <c r="D31" s="72">
        <v>0</v>
      </c>
      <c r="E31" s="257">
        <f t="shared" si="6"/>
        <v>0</v>
      </c>
      <c r="F31" s="257">
        <f t="shared" si="6"/>
        <v>0</v>
      </c>
      <c r="G31" s="113">
        <f t="shared" si="7"/>
        <v>0</v>
      </c>
      <c r="H31" s="72">
        <v>0</v>
      </c>
      <c r="I31" s="257">
        <f t="shared" si="8"/>
        <v>0</v>
      </c>
      <c r="J31" s="257">
        <f t="shared" si="9"/>
        <v>0</v>
      </c>
      <c r="K31" s="113">
        <f t="shared" si="10"/>
        <v>0</v>
      </c>
      <c r="L31" s="191"/>
      <c r="M31" s="191"/>
    </row>
    <row r="32" spans="2:13">
      <c r="B32" s="324" t="s">
        <v>510</v>
      </c>
      <c r="C32" s="112" t="s">
        <v>86</v>
      </c>
      <c r="D32" s="72">
        <v>0</v>
      </c>
      <c r="E32" s="257">
        <f t="shared" si="6"/>
        <v>0</v>
      </c>
      <c r="F32" s="257">
        <f t="shared" si="6"/>
        <v>0</v>
      </c>
      <c r="G32" s="113">
        <f t="shared" si="7"/>
        <v>0</v>
      </c>
      <c r="H32" s="72">
        <v>0</v>
      </c>
      <c r="I32" s="257">
        <f t="shared" si="8"/>
        <v>0</v>
      </c>
      <c r="J32" s="257">
        <f t="shared" si="9"/>
        <v>0</v>
      </c>
      <c r="K32" s="113">
        <f t="shared" si="10"/>
        <v>0</v>
      </c>
      <c r="L32" s="191"/>
      <c r="M32" s="191"/>
    </row>
    <row r="33" spans="2:13">
      <c r="B33" s="324" t="s">
        <v>510</v>
      </c>
      <c r="C33" s="112" t="s">
        <v>88</v>
      </c>
      <c r="D33" s="72">
        <v>0</v>
      </c>
      <c r="E33" s="257">
        <f t="shared" si="6"/>
        <v>0</v>
      </c>
      <c r="F33" s="257">
        <f t="shared" si="6"/>
        <v>0</v>
      </c>
      <c r="G33" s="113">
        <f t="shared" si="7"/>
        <v>0</v>
      </c>
      <c r="H33" s="72">
        <v>0</v>
      </c>
      <c r="I33" s="257">
        <f t="shared" si="8"/>
        <v>0</v>
      </c>
      <c r="J33" s="257">
        <f t="shared" si="9"/>
        <v>0</v>
      </c>
      <c r="K33" s="113">
        <f t="shared" si="10"/>
        <v>0</v>
      </c>
      <c r="L33" s="191"/>
      <c r="M33" s="191"/>
    </row>
    <row r="34" spans="2:13">
      <c r="B34" s="324" t="s">
        <v>510</v>
      </c>
      <c r="C34" s="112" t="s">
        <v>90</v>
      </c>
      <c r="D34" s="72">
        <v>0</v>
      </c>
      <c r="E34" s="257">
        <f t="shared" si="6"/>
        <v>0</v>
      </c>
      <c r="F34" s="257">
        <f t="shared" si="6"/>
        <v>0</v>
      </c>
      <c r="G34" s="113">
        <f t="shared" si="7"/>
        <v>0</v>
      </c>
      <c r="H34" s="72">
        <v>0</v>
      </c>
      <c r="I34" s="257">
        <f t="shared" si="8"/>
        <v>0</v>
      </c>
      <c r="J34" s="257">
        <f t="shared" si="9"/>
        <v>0</v>
      </c>
      <c r="K34" s="113">
        <f t="shared" si="10"/>
        <v>0</v>
      </c>
      <c r="L34" s="191"/>
      <c r="M34" s="191"/>
    </row>
    <row r="35" spans="2:13">
      <c r="B35" s="282"/>
      <c r="C35" s="186" t="s">
        <v>168</v>
      </c>
      <c r="D35" s="118">
        <f>SUM(D25:D34)</f>
        <v>0</v>
      </c>
      <c r="E35" s="114">
        <f>'2.1 Profit &amp; Loss by component'!D14+'2.1 Profit &amp; Loss by component'!D15</f>
        <v>0</v>
      </c>
      <c r="F35" s="114">
        <f>'2.1 Profit &amp; Loss by component'!E14+'2.1 Profit &amp; Loss by component'!E15</f>
        <v>0</v>
      </c>
      <c r="G35" s="114">
        <f>SUM(G25:G34)</f>
        <v>0</v>
      </c>
      <c r="H35" s="118">
        <f>SUM(H25:H34)</f>
        <v>0</v>
      </c>
      <c r="I35" s="114">
        <f>'2.1 Profit &amp; Loss by component'!G14+'2.1 Profit &amp; Loss by component'!G15</f>
        <v>0</v>
      </c>
      <c r="J35" s="114">
        <f>'2.1 Profit &amp; Loss by component'!H14</f>
        <v>0</v>
      </c>
      <c r="K35" s="114">
        <f>SUM(K25:K34)</f>
        <v>0</v>
      </c>
      <c r="L35" s="191"/>
      <c r="M35" s="191"/>
    </row>
    <row r="36" spans="2:13">
      <c r="B36" s="188"/>
      <c r="C36" s="256" t="s">
        <v>58</v>
      </c>
      <c r="D36" s="111"/>
      <c r="E36" s="111"/>
      <c r="F36" s="111"/>
      <c r="G36" s="111"/>
      <c r="H36" s="111"/>
      <c r="I36" s="111"/>
      <c r="J36" s="111"/>
      <c r="K36" s="111"/>
      <c r="L36" s="191"/>
      <c r="M36" s="191"/>
    </row>
    <row r="37" spans="2:13">
      <c r="B37" s="324" t="s">
        <v>510</v>
      </c>
      <c r="C37" s="112" t="s">
        <v>78</v>
      </c>
      <c r="D37" s="72">
        <v>0</v>
      </c>
      <c r="E37" s="257">
        <f>$D37*'2.4 Indirect revenue'!$G$42</f>
        <v>0</v>
      </c>
      <c r="F37" s="257">
        <f>$D37*'2.4 Indirect revenue'!$H$42</f>
        <v>0</v>
      </c>
      <c r="G37" s="113">
        <f t="shared" ref="G37:G46" si="11">SUM(E37:F37)</f>
        <v>0</v>
      </c>
      <c r="H37" s="72">
        <v>0</v>
      </c>
      <c r="I37" s="257">
        <f t="shared" ref="I37:I46" si="12">H37*$I$47</f>
        <v>0</v>
      </c>
      <c r="J37" s="257">
        <f t="shared" ref="J37:J46" si="13">H37*$J$47</f>
        <v>0</v>
      </c>
      <c r="K37" s="113">
        <f t="shared" ref="K37:K46" si="14">SUM(I37:J37)</f>
        <v>0</v>
      </c>
      <c r="L37" s="191"/>
      <c r="M37" s="191"/>
    </row>
    <row r="38" spans="2:13">
      <c r="B38" s="324" t="s">
        <v>510</v>
      </c>
      <c r="C38" s="112" t="s">
        <v>80</v>
      </c>
      <c r="D38" s="72">
        <v>0</v>
      </c>
      <c r="E38" s="257">
        <f>$D38*'2.4 Indirect revenue'!$G$42</f>
        <v>0</v>
      </c>
      <c r="F38" s="257">
        <f>$D38*'2.4 Indirect revenue'!$H$42</f>
        <v>0</v>
      </c>
      <c r="G38" s="113">
        <f t="shared" si="11"/>
        <v>0</v>
      </c>
      <c r="H38" s="72">
        <v>0</v>
      </c>
      <c r="I38" s="257">
        <f t="shared" si="12"/>
        <v>0</v>
      </c>
      <c r="J38" s="257">
        <f t="shared" si="13"/>
        <v>0</v>
      </c>
      <c r="K38" s="113">
        <f t="shared" si="14"/>
        <v>0</v>
      </c>
      <c r="L38" s="191"/>
      <c r="M38" s="191"/>
    </row>
    <row r="39" spans="2:13">
      <c r="B39" s="324" t="s">
        <v>510</v>
      </c>
      <c r="C39" s="112" t="s">
        <v>81</v>
      </c>
      <c r="D39" s="72">
        <v>0</v>
      </c>
      <c r="E39" s="257">
        <f>$D39*'2.4 Indirect revenue'!$G$42</f>
        <v>0</v>
      </c>
      <c r="F39" s="257">
        <f>$D39*'2.4 Indirect revenue'!$H$42</f>
        <v>0</v>
      </c>
      <c r="G39" s="113">
        <f t="shared" si="11"/>
        <v>0</v>
      </c>
      <c r="H39" s="72">
        <v>0</v>
      </c>
      <c r="I39" s="257">
        <f t="shared" si="12"/>
        <v>0</v>
      </c>
      <c r="J39" s="257">
        <f t="shared" si="13"/>
        <v>0</v>
      </c>
      <c r="K39" s="113">
        <f t="shared" si="14"/>
        <v>0</v>
      </c>
      <c r="L39" s="191"/>
      <c r="M39" s="191"/>
    </row>
    <row r="40" spans="2:13">
      <c r="B40" s="324" t="s">
        <v>510</v>
      </c>
      <c r="C40" s="112" t="s">
        <v>82</v>
      </c>
      <c r="D40" s="72">
        <v>0</v>
      </c>
      <c r="E40" s="257">
        <f>$D40*'2.4 Indirect revenue'!$G$42</f>
        <v>0</v>
      </c>
      <c r="F40" s="257">
        <f>$D40*'2.4 Indirect revenue'!$H$42</f>
        <v>0</v>
      </c>
      <c r="G40" s="113">
        <f t="shared" si="11"/>
        <v>0</v>
      </c>
      <c r="H40" s="72">
        <v>0</v>
      </c>
      <c r="I40" s="257">
        <f t="shared" si="12"/>
        <v>0</v>
      </c>
      <c r="J40" s="257">
        <f t="shared" si="13"/>
        <v>0</v>
      </c>
      <c r="K40" s="113">
        <f t="shared" si="14"/>
        <v>0</v>
      </c>
      <c r="L40" s="191"/>
      <c r="M40" s="191"/>
    </row>
    <row r="41" spans="2:13">
      <c r="B41" s="324" t="s">
        <v>510</v>
      </c>
      <c r="C41" s="194" t="s">
        <v>83</v>
      </c>
      <c r="D41" s="72">
        <v>0</v>
      </c>
      <c r="E41" s="257">
        <f>$D41*'2.4 Indirect revenue'!$G$42</f>
        <v>0</v>
      </c>
      <c r="F41" s="257">
        <f>$D41*'2.4 Indirect revenue'!$H$42</f>
        <v>0</v>
      </c>
      <c r="G41" s="113">
        <f t="shared" si="11"/>
        <v>0</v>
      </c>
      <c r="H41" s="72">
        <v>0</v>
      </c>
      <c r="I41" s="257">
        <f t="shared" si="12"/>
        <v>0</v>
      </c>
      <c r="J41" s="257">
        <f t="shared" si="13"/>
        <v>0</v>
      </c>
      <c r="K41" s="113">
        <f t="shared" si="14"/>
        <v>0</v>
      </c>
      <c r="L41" s="191"/>
      <c r="M41" s="191"/>
    </row>
    <row r="42" spans="2:13">
      <c r="B42" s="324" t="s">
        <v>510</v>
      </c>
      <c r="C42" s="112" t="s">
        <v>84</v>
      </c>
      <c r="D42" s="72">
        <v>0</v>
      </c>
      <c r="E42" s="257">
        <f>$D42*'2.4 Indirect revenue'!$G$42</f>
        <v>0</v>
      </c>
      <c r="F42" s="257">
        <f>$D42*'2.4 Indirect revenue'!$H$42</f>
        <v>0</v>
      </c>
      <c r="G42" s="113">
        <f t="shared" si="11"/>
        <v>0</v>
      </c>
      <c r="H42" s="72">
        <v>0</v>
      </c>
      <c r="I42" s="257">
        <f t="shared" si="12"/>
        <v>0</v>
      </c>
      <c r="J42" s="257">
        <f t="shared" si="13"/>
        <v>0</v>
      </c>
      <c r="K42" s="113">
        <f t="shared" si="14"/>
        <v>0</v>
      </c>
      <c r="L42" s="191"/>
      <c r="M42" s="191"/>
    </row>
    <row r="43" spans="2:13">
      <c r="B43" s="324" t="s">
        <v>510</v>
      </c>
      <c r="C43" s="112" t="s">
        <v>85</v>
      </c>
      <c r="D43" s="72">
        <v>0</v>
      </c>
      <c r="E43" s="257">
        <f>$D43*'2.4 Indirect revenue'!$G$42</f>
        <v>0</v>
      </c>
      <c r="F43" s="257">
        <f>$D43*'2.4 Indirect revenue'!$H$42</f>
        <v>0</v>
      </c>
      <c r="G43" s="113">
        <f t="shared" si="11"/>
        <v>0</v>
      </c>
      <c r="H43" s="72">
        <v>0</v>
      </c>
      <c r="I43" s="257">
        <f t="shared" si="12"/>
        <v>0</v>
      </c>
      <c r="J43" s="257">
        <f t="shared" si="13"/>
        <v>0</v>
      </c>
      <c r="K43" s="113">
        <f t="shared" si="14"/>
        <v>0</v>
      </c>
      <c r="L43" s="191"/>
      <c r="M43" s="191"/>
    </row>
    <row r="44" spans="2:13">
      <c r="B44" s="324" t="s">
        <v>510</v>
      </c>
      <c r="C44" s="112" t="s">
        <v>86</v>
      </c>
      <c r="D44" s="72">
        <v>0</v>
      </c>
      <c r="E44" s="257">
        <f>$D44*'2.4 Indirect revenue'!$G$42</f>
        <v>0</v>
      </c>
      <c r="F44" s="257">
        <f>$D44*'2.4 Indirect revenue'!$H$42</f>
        <v>0</v>
      </c>
      <c r="G44" s="113">
        <f t="shared" si="11"/>
        <v>0</v>
      </c>
      <c r="H44" s="72">
        <v>0</v>
      </c>
      <c r="I44" s="257">
        <f t="shared" si="12"/>
        <v>0</v>
      </c>
      <c r="J44" s="257">
        <f t="shared" si="13"/>
        <v>0</v>
      </c>
      <c r="K44" s="113">
        <f t="shared" si="14"/>
        <v>0</v>
      </c>
      <c r="L44" s="191"/>
      <c r="M44" s="191"/>
    </row>
    <row r="45" spans="2:13">
      <c r="B45" s="324" t="s">
        <v>510</v>
      </c>
      <c r="C45" s="112" t="s">
        <v>88</v>
      </c>
      <c r="D45" s="72">
        <v>0</v>
      </c>
      <c r="E45" s="257">
        <f>$D45*'2.4 Indirect revenue'!$G$42</f>
        <v>0</v>
      </c>
      <c r="F45" s="257">
        <f>$D45*'2.4 Indirect revenue'!$H$42</f>
        <v>0</v>
      </c>
      <c r="G45" s="113">
        <f t="shared" si="11"/>
        <v>0</v>
      </c>
      <c r="H45" s="72">
        <v>0</v>
      </c>
      <c r="I45" s="257">
        <f t="shared" si="12"/>
        <v>0</v>
      </c>
      <c r="J45" s="257">
        <f t="shared" si="13"/>
        <v>0</v>
      </c>
      <c r="K45" s="113">
        <f t="shared" si="14"/>
        <v>0</v>
      </c>
      <c r="L45" s="191"/>
      <c r="M45" s="191"/>
    </row>
    <row r="46" spans="2:13">
      <c r="B46" s="324" t="s">
        <v>510</v>
      </c>
      <c r="C46" s="112" t="s">
        <v>90</v>
      </c>
      <c r="D46" s="72">
        <v>0</v>
      </c>
      <c r="E46" s="257">
        <f>$D46*'2.4 Indirect revenue'!$G$42</f>
        <v>0</v>
      </c>
      <c r="F46" s="257">
        <f>$D46*'2.4 Indirect revenue'!$H$42</f>
        <v>0</v>
      </c>
      <c r="G46" s="113">
        <f t="shared" si="11"/>
        <v>0</v>
      </c>
      <c r="H46" s="72">
        <v>0</v>
      </c>
      <c r="I46" s="257">
        <f t="shared" si="12"/>
        <v>0</v>
      </c>
      <c r="J46" s="257">
        <f t="shared" si="13"/>
        <v>0</v>
      </c>
      <c r="K46" s="113">
        <f t="shared" si="14"/>
        <v>0</v>
      </c>
      <c r="L46" s="191"/>
      <c r="M46" s="191"/>
    </row>
    <row r="47" spans="2:13">
      <c r="B47" s="282"/>
      <c r="C47" s="186" t="s">
        <v>169</v>
      </c>
      <c r="D47" s="118">
        <f>SUM(D37:D46)</f>
        <v>0</v>
      </c>
      <c r="E47" s="114">
        <f>'2.1 Profit &amp; Loss by component'!D21</f>
        <v>0</v>
      </c>
      <c r="F47" s="114">
        <f>'2.1 Profit &amp; Loss by component'!E21</f>
        <v>0</v>
      </c>
      <c r="G47" s="114">
        <f>SUM(G37:G46)</f>
        <v>0</v>
      </c>
      <c r="H47" s="118">
        <f>SUM(H37:H46)</f>
        <v>0</v>
      </c>
      <c r="I47" s="114">
        <f>'2.1 Profit &amp; Loss by component'!G21</f>
        <v>0</v>
      </c>
      <c r="J47" s="114">
        <f>'2.1 Profit &amp; Loss by component'!H21</f>
        <v>0</v>
      </c>
      <c r="K47" s="114">
        <f>SUM(K37:K46)</f>
        <v>0</v>
      </c>
      <c r="L47" s="191"/>
      <c r="M47" s="191"/>
    </row>
    <row r="48" spans="2:13" ht="14.25">
      <c r="B48" s="282"/>
      <c r="C48" s="186" t="s">
        <v>59</v>
      </c>
      <c r="D48" s="259"/>
      <c r="E48" s="114">
        <f>E47+E35+E23</f>
        <v>330809933.91282922</v>
      </c>
      <c r="F48" s="114">
        <f>F47+F35+F23</f>
        <v>2739703</v>
      </c>
      <c r="G48" s="114">
        <f>G47+G35+G23</f>
        <v>333549636.91282928</v>
      </c>
      <c r="H48" s="259"/>
      <c r="I48" s="114">
        <f>I47+I35+I23</f>
        <v>314922286.35857421</v>
      </c>
      <c r="J48" s="114">
        <f>J47+J35+J23</f>
        <v>2689235.5799999996</v>
      </c>
      <c r="K48" s="114">
        <f>K47+K35+K23</f>
        <v>317611521.93857419</v>
      </c>
      <c r="L48" s="191"/>
      <c r="M48" s="191"/>
    </row>
    <row r="49" spans="2:13">
      <c r="B49" s="191"/>
      <c r="C49" s="191"/>
      <c r="D49" s="191"/>
      <c r="E49" s="191"/>
      <c r="F49" s="191"/>
      <c r="G49" s="191"/>
      <c r="H49" s="191"/>
      <c r="I49" s="191"/>
      <c r="J49" s="191"/>
      <c r="K49" s="191"/>
      <c r="L49" s="191"/>
      <c r="M49" s="191"/>
    </row>
    <row r="50" spans="2:13" ht="15.75">
      <c r="B50" s="245" t="s">
        <v>170</v>
      </c>
      <c r="C50" s="191"/>
      <c r="D50" s="191"/>
      <c r="E50" s="191"/>
      <c r="F50" s="191"/>
      <c r="G50" s="191"/>
      <c r="H50" s="191"/>
      <c r="I50" s="191"/>
      <c r="J50" s="191"/>
      <c r="K50" s="191"/>
      <c r="L50" s="191"/>
      <c r="M50" s="191"/>
    </row>
    <row r="51" spans="2:13">
      <c r="B51" s="246"/>
      <c r="C51" s="247"/>
      <c r="D51" s="248"/>
      <c r="E51" s="248"/>
      <c r="F51" s="248"/>
      <c r="G51" s="248"/>
      <c r="H51" s="248"/>
      <c r="I51" s="248"/>
      <c r="J51" s="248"/>
      <c r="K51" s="248"/>
      <c r="L51" s="191"/>
      <c r="M51" s="191"/>
    </row>
    <row r="52" spans="2:13">
      <c r="B52" s="249"/>
      <c r="C52" s="249"/>
      <c r="D52" s="404" t="s">
        <v>162</v>
      </c>
      <c r="E52" s="405"/>
      <c r="F52" s="405"/>
      <c r="G52" s="406"/>
      <c r="H52" s="404" t="s">
        <v>124</v>
      </c>
      <c r="I52" s="405"/>
      <c r="J52" s="405"/>
      <c r="K52" s="406"/>
      <c r="L52" s="191"/>
      <c r="M52" s="191"/>
    </row>
    <row r="53" spans="2:13" ht="38.25">
      <c r="B53" s="44" t="s">
        <v>113</v>
      </c>
      <c r="C53" s="249" t="s">
        <v>114</v>
      </c>
      <c r="D53" s="302" t="s">
        <v>163</v>
      </c>
      <c r="E53" s="302" t="s">
        <v>125</v>
      </c>
      <c r="F53" s="302" t="s">
        <v>126</v>
      </c>
      <c r="G53" s="302" t="s">
        <v>56</v>
      </c>
      <c r="H53" s="302" t="s">
        <v>163</v>
      </c>
      <c r="I53" s="302" t="s">
        <v>125</v>
      </c>
      <c r="J53" s="302" t="s">
        <v>126</v>
      </c>
      <c r="K53" s="302" t="s">
        <v>56</v>
      </c>
      <c r="L53" s="191"/>
      <c r="M53" s="191"/>
    </row>
    <row r="54" spans="2:13">
      <c r="B54" s="44"/>
      <c r="C54" s="249"/>
      <c r="D54" s="111" t="s">
        <v>164</v>
      </c>
      <c r="E54" s="111" t="s">
        <v>116</v>
      </c>
      <c r="F54" s="111" t="s">
        <v>116</v>
      </c>
      <c r="G54" s="111" t="s">
        <v>116</v>
      </c>
      <c r="H54" s="111" t="s">
        <v>164</v>
      </c>
      <c r="I54" s="111" t="s">
        <v>116</v>
      </c>
      <c r="J54" s="111" t="s">
        <v>116</v>
      </c>
      <c r="K54" s="111" t="s">
        <v>116</v>
      </c>
      <c r="L54" s="191"/>
      <c r="M54" s="191"/>
    </row>
    <row r="55" spans="2:13">
      <c r="B55" s="188"/>
      <c r="C55" s="256" t="s">
        <v>171</v>
      </c>
      <c r="D55" s="111"/>
      <c r="E55" s="111"/>
      <c r="F55" s="111"/>
      <c r="G55" s="111"/>
      <c r="H55" s="111"/>
      <c r="I55" s="111"/>
      <c r="J55" s="111"/>
      <c r="K55" s="111"/>
      <c r="L55" s="191"/>
      <c r="M55" s="191"/>
    </row>
    <row r="56" spans="2:13">
      <c r="B56" s="324" t="s">
        <v>510</v>
      </c>
      <c r="C56" s="112" t="s">
        <v>78</v>
      </c>
      <c r="D56" s="72">
        <v>0.71166803518897592</v>
      </c>
      <c r="E56" s="257">
        <f t="shared" ref="E56:E65" si="15">D56*$E$66</f>
        <v>22959650.780445363</v>
      </c>
      <c r="F56" s="257">
        <f t="shared" ref="F56:F65" si="16">D56*$F$66</f>
        <v>190147.32531796888</v>
      </c>
      <c r="G56" s="113">
        <f t="shared" ref="G56:G65" si="17">SUM(E56:F56)</f>
        <v>23149798.105763331</v>
      </c>
      <c r="H56" s="72">
        <v>0.71888088955917895</v>
      </c>
      <c r="I56" s="257">
        <f t="shared" ref="I56:I65" si="18">H56*$I$66</f>
        <v>18840141.411672134</v>
      </c>
      <c r="J56" s="257">
        <f t="shared" ref="J56:J65" si="19">H56*$J$66</f>
        <v>156030.35657201183</v>
      </c>
      <c r="K56" s="113">
        <f t="shared" ref="K56:K65" si="20">SUM(I56:J56)</f>
        <v>18996171.768244147</v>
      </c>
      <c r="L56" s="191"/>
      <c r="M56" s="191"/>
    </row>
    <row r="57" spans="2:13">
      <c r="B57" s="324" t="s">
        <v>510</v>
      </c>
      <c r="C57" s="112" t="s">
        <v>80</v>
      </c>
      <c r="D57" s="72">
        <v>0</v>
      </c>
      <c r="E57" s="257">
        <f t="shared" si="15"/>
        <v>0</v>
      </c>
      <c r="F57" s="257">
        <f t="shared" si="16"/>
        <v>0</v>
      </c>
      <c r="G57" s="113">
        <f t="shared" si="17"/>
        <v>0</v>
      </c>
      <c r="H57" s="72">
        <v>0</v>
      </c>
      <c r="I57" s="257">
        <f t="shared" si="18"/>
        <v>0</v>
      </c>
      <c r="J57" s="257">
        <f t="shared" si="19"/>
        <v>0</v>
      </c>
      <c r="K57" s="113">
        <f t="shared" si="20"/>
        <v>0</v>
      </c>
      <c r="L57" s="191"/>
      <c r="M57" s="191"/>
    </row>
    <row r="58" spans="2:13">
      <c r="B58" s="324" t="s">
        <v>510</v>
      </c>
      <c r="C58" s="112" t="s">
        <v>81</v>
      </c>
      <c r="D58" s="72">
        <v>2.3467361034123601E-3</v>
      </c>
      <c r="E58" s="257">
        <f t="shared" si="15"/>
        <v>75709.795500234293</v>
      </c>
      <c r="F58" s="257">
        <f t="shared" si="16"/>
        <v>627.01367945025413</v>
      </c>
      <c r="G58" s="113">
        <f t="shared" si="17"/>
        <v>76336.809179684555</v>
      </c>
      <c r="H58" s="72">
        <v>2.8413278831799786E-3</v>
      </c>
      <c r="I58" s="257">
        <f t="shared" si="18"/>
        <v>74464.37913916909</v>
      </c>
      <c r="J58" s="257">
        <f t="shared" si="19"/>
        <v>616.69938537721555</v>
      </c>
      <c r="K58" s="113">
        <f t="shared" si="20"/>
        <v>75081.078524546305</v>
      </c>
      <c r="L58" s="191"/>
      <c r="M58" s="191"/>
    </row>
    <row r="59" spans="2:13">
      <c r="B59" s="324" t="s">
        <v>510</v>
      </c>
      <c r="C59" s="112" t="s">
        <v>82</v>
      </c>
      <c r="D59" s="72">
        <v>0.23648342090703153</v>
      </c>
      <c r="E59" s="257">
        <f t="shared" si="15"/>
        <v>7629367.1921751397</v>
      </c>
      <c r="F59" s="257">
        <f t="shared" si="16"/>
        <v>63184.922947361352</v>
      </c>
      <c r="G59" s="113">
        <f t="shared" si="17"/>
        <v>7692552.1151225008</v>
      </c>
      <c r="H59" s="72">
        <v>0.2363046788317498</v>
      </c>
      <c r="I59" s="257">
        <f t="shared" si="18"/>
        <v>6192978.0441930071</v>
      </c>
      <c r="J59" s="257">
        <f t="shared" si="19"/>
        <v>51289.029703323926</v>
      </c>
      <c r="K59" s="113">
        <f t="shared" si="20"/>
        <v>6244267.0738963308</v>
      </c>
      <c r="L59" s="191"/>
      <c r="M59" s="191"/>
    </row>
    <row r="60" spans="2:13">
      <c r="B60" s="324" t="s">
        <v>510</v>
      </c>
      <c r="C60" s="194" t="s">
        <v>83</v>
      </c>
      <c r="D60" s="72">
        <v>1.7200634293060772E-3</v>
      </c>
      <c r="E60" s="257">
        <f t="shared" si="15"/>
        <v>55492.243158843165</v>
      </c>
      <c r="F60" s="257">
        <f t="shared" si="16"/>
        <v>459.57587567208225</v>
      </c>
      <c r="G60" s="113">
        <f t="shared" si="17"/>
        <v>55951.819034515247</v>
      </c>
      <c r="H60" s="72">
        <v>2.3215812650761768E-3</v>
      </c>
      <c r="I60" s="257">
        <f t="shared" si="18"/>
        <v>60843.068675180344</v>
      </c>
      <c r="J60" s="257">
        <f t="shared" si="19"/>
        <v>503.89036328794839</v>
      </c>
      <c r="K60" s="113">
        <f t="shared" si="20"/>
        <v>61346.959038468296</v>
      </c>
      <c r="L60" s="191"/>
      <c r="M60" s="191"/>
    </row>
    <row r="61" spans="2:13">
      <c r="B61" s="324" t="s">
        <v>510</v>
      </c>
      <c r="C61" s="112" t="s">
        <v>84</v>
      </c>
      <c r="D61" s="72">
        <v>8.9922682094745239E-5</v>
      </c>
      <c r="E61" s="257">
        <f t="shared" si="15"/>
        <v>2901.0623999546738</v>
      </c>
      <c r="F61" s="257">
        <f t="shared" si="16"/>
        <v>24.026029890738986</v>
      </c>
      <c r="G61" s="113">
        <f t="shared" si="17"/>
        <v>2925.088429845413</v>
      </c>
      <c r="H61" s="72">
        <v>9.2199837678054935E-5</v>
      </c>
      <c r="I61" s="257">
        <f t="shared" si="18"/>
        <v>2416.3362877165137</v>
      </c>
      <c r="J61" s="257">
        <f t="shared" si="19"/>
        <v>20.011623285201068</v>
      </c>
      <c r="K61" s="113">
        <f t="shared" si="20"/>
        <v>2436.3479110017147</v>
      </c>
      <c r="L61" s="191"/>
      <c r="M61" s="191"/>
    </row>
    <row r="62" spans="2:13">
      <c r="B62" s="324" t="s">
        <v>510</v>
      </c>
      <c r="C62" s="112" t="s">
        <v>85</v>
      </c>
      <c r="D62" s="72">
        <v>6.4256161547245018E-3</v>
      </c>
      <c r="E62" s="257">
        <f t="shared" si="15"/>
        <v>207301.57273747405</v>
      </c>
      <c r="F62" s="257">
        <f t="shared" si="16"/>
        <v>1716.8309730482083</v>
      </c>
      <c r="G62" s="113">
        <f t="shared" si="17"/>
        <v>209018.40371052225</v>
      </c>
      <c r="H62" s="72">
        <v>7.3107738942802258E-3</v>
      </c>
      <c r="I62" s="257">
        <f t="shared" si="18"/>
        <v>191597.82378059987</v>
      </c>
      <c r="J62" s="257">
        <f t="shared" si="19"/>
        <v>1586.7756037323279</v>
      </c>
      <c r="K62" s="113">
        <f t="shared" si="20"/>
        <v>193184.59938433219</v>
      </c>
      <c r="L62" s="191"/>
      <c r="M62" s="191"/>
    </row>
    <row r="63" spans="2:13">
      <c r="B63" s="324" t="s">
        <v>510</v>
      </c>
      <c r="C63" s="112" t="s">
        <v>86</v>
      </c>
      <c r="D63" s="72">
        <v>6.2199455452398593E-4</v>
      </c>
      <c r="E63" s="257">
        <f t="shared" si="15"/>
        <v>20066.628052807358</v>
      </c>
      <c r="F63" s="257">
        <f t="shared" si="16"/>
        <v>166.18787841675646</v>
      </c>
      <c r="G63" s="113">
        <f t="shared" si="17"/>
        <v>20232.815931224115</v>
      </c>
      <c r="H63" s="72">
        <v>7.1236795329074722E-4</v>
      </c>
      <c r="I63" s="257">
        <f t="shared" si="18"/>
        <v>18669.452995712567</v>
      </c>
      <c r="J63" s="257">
        <f t="shared" si="19"/>
        <v>154.61674858346544</v>
      </c>
      <c r="K63" s="113">
        <f t="shared" si="20"/>
        <v>18824.069744296034</v>
      </c>
      <c r="L63" s="191"/>
      <c r="M63" s="191"/>
    </row>
    <row r="64" spans="2:13">
      <c r="B64" s="324" t="s">
        <v>510</v>
      </c>
      <c r="C64" s="112" t="s">
        <v>88</v>
      </c>
      <c r="D64" s="72">
        <v>1.4050869052520912E-3</v>
      </c>
      <c r="E64" s="257">
        <f t="shared" si="15"/>
        <v>45330.55169774255</v>
      </c>
      <c r="F64" s="257">
        <f t="shared" si="16"/>
        <v>375.41873972468414</v>
      </c>
      <c r="G64" s="113">
        <f t="shared" si="17"/>
        <v>45705.970437467236</v>
      </c>
      <c r="H64" s="72">
        <v>9.7503058961867701E-4</v>
      </c>
      <c r="I64" s="257">
        <f t="shared" si="18"/>
        <v>25553.209795834646</v>
      </c>
      <c r="J64" s="257">
        <f t="shared" si="19"/>
        <v>211.62667247993002</v>
      </c>
      <c r="K64" s="113">
        <f t="shared" si="20"/>
        <v>25764.836468314577</v>
      </c>
      <c r="L64" s="191"/>
      <c r="M64" s="191"/>
    </row>
    <row r="65" spans="2:13">
      <c r="B65" s="324" t="s">
        <v>510</v>
      </c>
      <c r="C65" s="112" t="s">
        <v>90</v>
      </c>
      <c r="D65" s="72">
        <v>3.9239124074678867E-2</v>
      </c>
      <c r="E65" s="257">
        <f t="shared" si="15"/>
        <v>1265922.5104102986</v>
      </c>
      <c r="F65" s="257">
        <f t="shared" si="16"/>
        <v>10484.121980606957</v>
      </c>
      <c r="G65" s="113">
        <f t="shared" si="17"/>
        <v>1276406.6323909056</v>
      </c>
      <c r="H65" s="72">
        <v>3.0561150185947326E-2</v>
      </c>
      <c r="I65" s="257">
        <f t="shared" si="18"/>
        <v>800934.34054098511</v>
      </c>
      <c r="J65" s="257">
        <f t="shared" si="19"/>
        <v>6633.1811431073274</v>
      </c>
      <c r="K65" s="113">
        <f t="shared" si="20"/>
        <v>807567.52168409247</v>
      </c>
      <c r="L65" s="191"/>
      <c r="M65" s="191"/>
    </row>
    <row r="66" spans="2:13">
      <c r="B66" s="282"/>
      <c r="C66" s="186" t="s">
        <v>172</v>
      </c>
      <c r="D66" s="118">
        <f>SUM(D56:D65)</f>
        <v>1</v>
      </c>
      <c r="E66" s="114">
        <f>'2.1 Profit &amp; Loss by component'!D32-'2.1 Profit &amp; Loss by component'!D26</f>
        <v>32261742.336577855</v>
      </c>
      <c r="F66" s="114">
        <f>'2.1 Profit &amp; Loss by component'!E32-'2.1 Profit &amp; Loss by component'!E26</f>
        <v>267185.42342213989</v>
      </c>
      <c r="G66" s="114">
        <f>SUM(G56:G65)</f>
        <v>32528927.759999998</v>
      </c>
      <c r="H66" s="118">
        <f>SUM(H56:H65)</f>
        <v>1</v>
      </c>
      <c r="I66" s="114">
        <f>'2.1 Profit &amp; Loss by component'!G32-'2.1 Profit &amp; Loss by component'!G26</f>
        <v>26207598.067080341</v>
      </c>
      <c r="J66" s="114">
        <f>'2.1 Profit &amp; Loss by component'!H32-'2.1 Profit &amp; Loss by component'!H26</f>
        <v>217046.18781518919</v>
      </c>
      <c r="K66" s="114">
        <f>SUM(K56:K65)</f>
        <v>26424644.254895527</v>
      </c>
      <c r="L66" s="191"/>
      <c r="M66" s="191"/>
    </row>
    <row r="67" spans="2:13">
      <c r="B67" s="188"/>
      <c r="C67" s="256" t="s">
        <v>173</v>
      </c>
      <c r="D67" s="111"/>
      <c r="E67" s="111"/>
      <c r="F67" s="111"/>
      <c r="G67" s="111"/>
      <c r="H67" s="111"/>
      <c r="I67" s="111"/>
      <c r="J67" s="111"/>
      <c r="K67" s="111"/>
      <c r="L67" s="191"/>
      <c r="M67" s="191"/>
    </row>
    <row r="68" spans="2:13">
      <c r="B68" s="324" t="s">
        <v>510</v>
      </c>
      <c r="C68" s="112" t="s">
        <v>78</v>
      </c>
      <c r="D68" s="72">
        <v>0.71166803518897592</v>
      </c>
      <c r="E68" s="257">
        <f t="shared" ref="E68:E77" si="21">D68*$E$78</f>
        <v>50080600.884085387</v>
      </c>
      <c r="F68" s="257">
        <f t="shared" ref="F68:F77" si="22">D68*$F$78</f>
        <v>357463.59479931177</v>
      </c>
      <c r="G68" s="113">
        <f t="shared" ref="G68:G77" si="23">SUM(E68:F68)</f>
        <v>50438064.478884697</v>
      </c>
      <c r="H68" s="72">
        <v>0.71888088955917895</v>
      </c>
      <c r="I68" s="257">
        <f t="shared" ref="I68:I77" si="24">H68*$I$78</f>
        <v>48092073.215176217</v>
      </c>
      <c r="J68" s="257">
        <f t="shared" ref="J68:J77" si="25">H68*$J$78</f>
        <v>356104.30653571902</v>
      </c>
      <c r="K68" s="113">
        <f t="shared" ref="K68:K77" si="26">SUM(I68:J68)</f>
        <v>48448177.521711938</v>
      </c>
      <c r="L68" s="191"/>
      <c r="M68" s="191"/>
    </row>
    <row r="69" spans="2:13">
      <c r="B69" s="324" t="s">
        <v>510</v>
      </c>
      <c r="C69" s="112" t="s">
        <v>80</v>
      </c>
      <c r="D69" s="72">
        <v>0</v>
      </c>
      <c r="E69" s="257">
        <f t="shared" si="21"/>
        <v>0</v>
      </c>
      <c r="F69" s="257">
        <f t="shared" si="22"/>
        <v>0</v>
      </c>
      <c r="G69" s="113">
        <f t="shared" si="23"/>
        <v>0</v>
      </c>
      <c r="H69" s="72">
        <v>0</v>
      </c>
      <c r="I69" s="257">
        <f t="shared" si="24"/>
        <v>0</v>
      </c>
      <c r="J69" s="257">
        <f t="shared" si="25"/>
        <v>0</v>
      </c>
      <c r="K69" s="113">
        <f t="shared" si="26"/>
        <v>0</v>
      </c>
      <c r="L69" s="191"/>
      <c r="M69" s="191"/>
    </row>
    <row r="70" spans="2:13">
      <c r="B70" s="324" t="s">
        <v>510</v>
      </c>
      <c r="C70" s="112" t="s">
        <v>81</v>
      </c>
      <c r="D70" s="72">
        <v>2.3467361034123601E-3</v>
      </c>
      <c r="E70" s="257">
        <f t="shared" si="21"/>
        <v>165141.53841974982</v>
      </c>
      <c r="F70" s="257">
        <f t="shared" si="22"/>
        <v>1178.7416071713237</v>
      </c>
      <c r="G70" s="113">
        <f t="shared" si="23"/>
        <v>166320.28002692116</v>
      </c>
      <c r="H70" s="72">
        <v>2.8413278831799786E-3</v>
      </c>
      <c r="I70" s="257">
        <f t="shared" si="24"/>
        <v>190080.65254037391</v>
      </c>
      <c r="J70" s="257">
        <f t="shared" si="25"/>
        <v>1407.4780818013603</v>
      </c>
      <c r="K70" s="113">
        <f t="shared" si="26"/>
        <v>191488.13062217526</v>
      </c>
      <c r="L70" s="191"/>
      <c r="M70" s="191"/>
    </row>
    <row r="71" spans="2:13">
      <c r="B71" s="324" t="s">
        <v>510</v>
      </c>
      <c r="C71" s="112" t="s">
        <v>82</v>
      </c>
      <c r="D71" s="72">
        <v>0.23648342090703153</v>
      </c>
      <c r="E71" s="257">
        <f t="shared" si="21"/>
        <v>16641511.537051646</v>
      </c>
      <c r="F71" s="257">
        <f t="shared" si="22"/>
        <v>118783.21010359703</v>
      </c>
      <c r="G71" s="113">
        <f t="shared" si="23"/>
        <v>16760294.747155244</v>
      </c>
      <c r="H71" s="72">
        <v>0.2363046788317498</v>
      </c>
      <c r="I71" s="257">
        <f t="shared" si="24"/>
        <v>15808435.139281426</v>
      </c>
      <c r="J71" s="257">
        <f t="shared" si="25"/>
        <v>117055.71118760256</v>
      </c>
      <c r="K71" s="113">
        <f t="shared" si="26"/>
        <v>15925490.850469029</v>
      </c>
      <c r="L71" s="191"/>
      <c r="M71" s="191"/>
    </row>
    <row r="72" spans="2:13">
      <c r="B72" s="324" t="s">
        <v>510</v>
      </c>
      <c r="C72" s="194" t="s">
        <v>83</v>
      </c>
      <c r="D72" s="72">
        <v>1.7200634293060772E-3</v>
      </c>
      <c r="E72" s="257">
        <f t="shared" si="21"/>
        <v>121042.12334830356</v>
      </c>
      <c r="F72" s="257">
        <f t="shared" si="22"/>
        <v>863.97031525985653</v>
      </c>
      <c r="G72" s="113">
        <f t="shared" si="23"/>
        <v>121906.09366356341</v>
      </c>
      <c r="H72" s="72">
        <v>2.3215812650761768E-3</v>
      </c>
      <c r="I72" s="257">
        <f t="shared" si="24"/>
        <v>155310.36893119945</v>
      </c>
      <c r="J72" s="257">
        <f t="shared" si="25"/>
        <v>1150.0167809068075</v>
      </c>
      <c r="K72" s="113">
        <f t="shared" si="26"/>
        <v>156460.38571210625</v>
      </c>
      <c r="L72" s="191"/>
      <c r="M72" s="191"/>
    </row>
    <row r="73" spans="2:13">
      <c r="B73" s="324" t="s">
        <v>510</v>
      </c>
      <c r="C73" s="112" t="s">
        <v>84</v>
      </c>
      <c r="D73" s="72">
        <v>8.9922682094745239E-5</v>
      </c>
      <c r="E73" s="257">
        <f t="shared" si="21"/>
        <v>6327.9250011806444</v>
      </c>
      <c r="F73" s="257">
        <f t="shared" si="22"/>
        <v>45.167245971709008</v>
      </c>
      <c r="G73" s="113">
        <f t="shared" si="23"/>
        <v>6373.0922471523536</v>
      </c>
      <c r="H73" s="72">
        <v>9.2199837678054935E-5</v>
      </c>
      <c r="I73" s="257">
        <f t="shared" si="24"/>
        <v>6168.0334092054945</v>
      </c>
      <c r="J73" s="257">
        <f t="shared" si="25"/>
        <v>45.672043499699662</v>
      </c>
      <c r="K73" s="113">
        <f t="shared" si="26"/>
        <v>6213.7054527051941</v>
      </c>
      <c r="L73" s="191"/>
      <c r="M73" s="191"/>
    </row>
    <row r="74" spans="2:13">
      <c r="B74" s="324" t="s">
        <v>510</v>
      </c>
      <c r="C74" s="112" t="s">
        <v>85</v>
      </c>
      <c r="D74" s="72">
        <v>6.4256161547245018E-3</v>
      </c>
      <c r="E74" s="257">
        <f t="shared" si="21"/>
        <v>452175.31512939028</v>
      </c>
      <c r="F74" s="257">
        <f t="shared" si="22"/>
        <v>3227.5214508663821</v>
      </c>
      <c r="G74" s="113">
        <f t="shared" si="23"/>
        <v>455402.83658025664</v>
      </c>
      <c r="H74" s="72">
        <v>7.3107738942802258E-3</v>
      </c>
      <c r="I74" s="257">
        <f t="shared" si="24"/>
        <v>489080.01101395302</v>
      </c>
      <c r="J74" s="257">
        <f t="shared" si="25"/>
        <v>3621.4595570324777</v>
      </c>
      <c r="K74" s="113">
        <f t="shared" si="26"/>
        <v>492701.47057098552</v>
      </c>
      <c r="L74" s="191"/>
      <c r="M74" s="191"/>
    </row>
    <row r="75" spans="2:13">
      <c r="B75" s="324" t="s">
        <v>510</v>
      </c>
      <c r="C75" s="112" t="s">
        <v>86</v>
      </c>
      <c r="D75" s="72">
        <v>6.2199455452398593E-4</v>
      </c>
      <c r="E75" s="257">
        <f t="shared" si="21"/>
        <v>43770.21237003951</v>
      </c>
      <c r="F75" s="257">
        <f t="shared" si="22"/>
        <v>312.42152016382244</v>
      </c>
      <c r="G75" s="113">
        <f t="shared" si="23"/>
        <v>44082.633890203331</v>
      </c>
      <c r="H75" s="72">
        <v>7.1236795329074722E-4</v>
      </c>
      <c r="I75" s="257">
        <f t="shared" si="24"/>
        <v>47656.367366799495</v>
      </c>
      <c r="J75" s="257">
        <f t="shared" si="25"/>
        <v>352.87806323579849</v>
      </c>
      <c r="K75" s="113">
        <f t="shared" si="26"/>
        <v>48009.245430035291</v>
      </c>
      <c r="L75" s="191"/>
      <c r="M75" s="191"/>
    </row>
    <row r="76" spans="2:13">
      <c r="B76" s="324" t="s">
        <v>510</v>
      </c>
      <c r="C76" s="112" t="s">
        <v>88</v>
      </c>
      <c r="D76" s="72">
        <v>1.4050869052520912E-3</v>
      </c>
      <c r="E76" s="257">
        <f t="shared" si="21"/>
        <v>98876.994652006964</v>
      </c>
      <c r="F76" s="257">
        <f t="shared" si="22"/>
        <v>705.76082010411028</v>
      </c>
      <c r="G76" s="113">
        <f t="shared" si="23"/>
        <v>99582.755472111079</v>
      </c>
      <c r="H76" s="72">
        <v>9.7503058961867701E-4</v>
      </c>
      <c r="I76" s="257">
        <f t="shared" si="24"/>
        <v>65228.111059861083</v>
      </c>
      <c r="J76" s="257">
        <f t="shared" si="25"/>
        <v>482.99043278252196</v>
      </c>
      <c r="K76" s="113">
        <f t="shared" si="26"/>
        <v>65711.101492643604</v>
      </c>
      <c r="L76" s="191"/>
      <c r="M76" s="191"/>
    </row>
    <row r="77" spans="2:13">
      <c r="B77" s="324" t="s">
        <v>510</v>
      </c>
      <c r="C77" s="112" t="s">
        <v>90</v>
      </c>
      <c r="D77" s="72">
        <v>3.9239124074678867E-2</v>
      </c>
      <c r="E77" s="257">
        <f t="shared" si="21"/>
        <v>2761285.9010919072</v>
      </c>
      <c r="F77" s="257">
        <f t="shared" si="22"/>
        <v>19709.411769191407</v>
      </c>
      <c r="G77" s="113">
        <f t="shared" si="23"/>
        <v>2780995.3128610984</v>
      </c>
      <c r="H77" s="72">
        <v>3.0561150185947326E-2</v>
      </c>
      <c r="I77" s="257">
        <f t="shared" si="24"/>
        <v>2044495.9570198506</v>
      </c>
      <c r="J77" s="257">
        <f t="shared" si="25"/>
        <v>15138.748785733074</v>
      </c>
      <c r="K77" s="113">
        <f t="shared" si="26"/>
        <v>2059634.7058055836</v>
      </c>
      <c r="L77" s="191"/>
      <c r="M77" s="191"/>
    </row>
    <row r="78" spans="2:13">
      <c r="B78" s="282"/>
      <c r="C78" s="186" t="s">
        <v>174</v>
      </c>
      <c r="D78" s="118">
        <f>SUM(D68:D77)</f>
        <v>1</v>
      </c>
      <c r="E78" s="114">
        <f>'2.1 Profit &amp; Loss by component'!D26+'2.1 Profit &amp; Loss by component'!D37</f>
        <v>70370732.431149602</v>
      </c>
      <c r="F78" s="115">
        <f>'2.1 Profit &amp; Loss by component'!E26+'2.1 Profit &amp; Loss by component'!E37</f>
        <v>502289.79963163735</v>
      </c>
      <c r="G78" s="114">
        <f>SUM(G68:G77)</f>
        <v>70873022.230781242</v>
      </c>
      <c r="H78" s="118">
        <f>SUM(H68:H77)</f>
        <v>1</v>
      </c>
      <c r="I78" s="114">
        <f>'2.1 Profit &amp; Loss by component'!G26+'2.1 Profit &amp; Loss by component'!G37</f>
        <v>66898527.855798893</v>
      </c>
      <c r="J78" s="114">
        <f>'2.1 Profit &amp; Loss by component'!H26+'2.1 Profit &amp; Loss by component'!H37</f>
        <v>495359.26146831334</v>
      </c>
      <c r="K78" s="114">
        <f>SUM(K68:K77)</f>
        <v>67393887.117267206</v>
      </c>
      <c r="L78" s="191"/>
      <c r="M78" s="191"/>
    </row>
    <row r="79" spans="2:13">
      <c r="B79" s="188"/>
      <c r="C79" s="256" t="s">
        <v>175</v>
      </c>
      <c r="D79" s="111"/>
      <c r="E79" s="111"/>
      <c r="F79" s="111"/>
      <c r="G79" s="111"/>
      <c r="H79" s="111"/>
      <c r="I79" s="111"/>
      <c r="J79" s="111"/>
      <c r="K79" s="111"/>
      <c r="L79" s="191"/>
      <c r="M79" s="191"/>
    </row>
    <row r="80" spans="2:13">
      <c r="B80" s="324" t="s">
        <v>510</v>
      </c>
      <c r="C80" s="112" t="s">
        <v>78</v>
      </c>
      <c r="D80" s="72">
        <v>0.71166803518897592</v>
      </c>
      <c r="E80" s="257">
        <f t="shared" ref="E80:E89" si="27">D80*$E$90</f>
        <v>25662917.68460818</v>
      </c>
      <c r="F80" s="257">
        <f t="shared" ref="F80:F89" si="28">D80*$F$90</f>
        <v>0</v>
      </c>
      <c r="G80" s="113">
        <f t="shared" ref="G80:G89" si="29">SUM(E80:F80)</f>
        <v>25662917.68460818</v>
      </c>
      <c r="H80" s="72">
        <v>0.71888088955917895</v>
      </c>
      <c r="I80" s="257">
        <f t="shared" ref="I80:I89" si="30">H80*$I$90</f>
        <v>28277683.580304369</v>
      </c>
      <c r="J80" s="257">
        <f t="shared" ref="J80:J89" si="31">H80*$J$90</f>
        <v>0</v>
      </c>
      <c r="K80" s="113">
        <f t="shared" ref="K80:K89" si="32">SUM(I80:J80)</f>
        <v>28277683.580304369</v>
      </c>
      <c r="L80" s="191"/>
      <c r="M80" s="191"/>
    </row>
    <row r="81" spans="2:13">
      <c r="B81" s="324" t="s">
        <v>510</v>
      </c>
      <c r="C81" s="112" t="s">
        <v>80</v>
      </c>
      <c r="D81" s="72">
        <v>0</v>
      </c>
      <c r="E81" s="257">
        <f t="shared" si="27"/>
        <v>0</v>
      </c>
      <c r="F81" s="257">
        <f t="shared" si="28"/>
        <v>0</v>
      </c>
      <c r="G81" s="113">
        <f t="shared" si="29"/>
        <v>0</v>
      </c>
      <c r="H81" s="72">
        <v>0</v>
      </c>
      <c r="I81" s="257">
        <f t="shared" si="30"/>
        <v>0</v>
      </c>
      <c r="J81" s="257">
        <f t="shared" si="31"/>
        <v>0</v>
      </c>
      <c r="K81" s="113">
        <f t="shared" si="32"/>
        <v>0</v>
      </c>
      <c r="L81" s="191"/>
      <c r="M81" s="191"/>
    </row>
    <row r="82" spans="2:13">
      <c r="B82" s="324" t="s">
        <v>510</v>
      </c>
      <c r="C82" s="112" t="s">
        <v>81</v>
      </c>
      <c r="D82" s="72">
        <v>2.3467361034123601E-3</v>
      </c>
      <c r="E82" s="257">
        <f t="shared" si="27"/>
        <v>84623.858978544216</v>
      </c>
      <c r="F82" s="257">
        <f t="shared" si="28"/>
        <v>0</v>
      </c>
      <c r="G82" s="113">
        <f t="shared" si="29"/>
        <v>84623.858978544216</v>
      </c>
      <c r="H82" s="72">
        <v>2.8413278831799786E-3</v>
      </c>
      <c r="I82" s="257">
        <f t="shared" si="30"/>
        <v>111765.62347863788</v>
      </c>
      <c r="J82" s="257">
        <f t="shared" si="31"/>
        <v>0</v>
      </c>
      <c r="K82" s="113">
        <f t="shared" si="32"/>
        <v>111765.62347863788</v>
      </c>
      <c r="L82" s="191"/>
      <c r="M82" s="191"/>
    </row>
    <row r="83" spans="2:13">
      <c r="B83" s="324" t="s">
        <v>510</v>
      </c>
      <c r="C83" s="112" t="s">
        <v>82</v>
      </c>
      <c r="D83" s="72">
        <v>0.23648342090703153</v>
      </c>
      <c r="E83" s="257">
        <f t="shared" si="27"/>
        <v>8527648.0949438438</v>
      </c>
      <c r="F83" s="257">
        <f t="shared" si="28"/>
        <v>0</v>
      </c>
      <c r="G83" s="113">
        <f t="shared" si="29"/>
        <v>8527648.0949438438</v>
      </c>
      <c r="H83" s="72">
        <v>0.2363046788317498</v>
      </c>
      <c r="I83" s="257">
        <f t="shared" si="30"/>
        <v>9295210.1434316784</v>
      </c>
      <c r="J83" s="257">
        <f t="shared" si="31"/>
        <v>0</v>
      </c>
      <c r="K83" s="113">
        <f t="shared" si="32"/>
        <v>9295210.1434316784</v>
      </c>
      <c r="L83" s="191"/>
      <c r="M83" s="191"/>
    </row>
    <row r="84" spans="2:13">
      <c r="B84" s="324" t="s">
        <v>510</v>
      </c>
      <c r="C84" s="194" t="s">
        <v>83</v>
      </c>
      <c r="D84" s="72">
        <v>1.7200634293060772E-3</v>
      </c>
      <c r="E84" s="257">
        <f t="shared" si="27"/>
        <v>62025.894119110351</v>
      </c>
      <c r="F84" s="257">
        <f t="shared" si="28"/>
        <v>0</v>
      </c>
      <c r="G84" s="113">
        <f t="shared" si="29"/>
        <v>62025.894119110351</v>
      </c>
      <c r="H84" s="72">
        <v>2.3215812650761768E-3</v>
      </c>
      <c r="I84" s="257">
        <f t="shared" si="30"/>
        <v>91321.026018709556</v>
      </c>
      <c r="J84" s="257">
        <f t="shared" si="31"/>
        <v>0</v>
      </c>
      <c r="K84" s="113">
        <f t="shared" si="32"/>
        <v>91321.026018709556</v>
      </c>
      <c r="L84" s="191"/>
      <c r="M84" s="191"/>
    </row>
    <row r="85" spans="2:13">
      <c r="B85" s="324" t="s">
        <v>510</v>
      </c>
      <c r="C85" s="112" t="s">
        <v>84</v>
      </c>
      <c r="D85" s="72">
        <v>8.9922682094745239E-5</v>
      </c>
      <c r="E85" s="257">
        <f t="shared" si="27"/>
        <v>3242.6331863617525</v>
      </c>
      <c r="F85" s="257">
        <f t="shared" si="28"/>
        <v>0</v>
      </c>
      <c r="G85" s="113">
        <f t="shared" si="29"/>
        <v>3242.6331863617525</v>
      </c>
      <c r="H85" s="72">
        <v>9.2199837678054935E-5</v>
      </c>
      <c r="I85" s="257">
        <f t="shared" si="30"/>
        <v>3626.7452284260999</v>
      </c>
      <c r="J85" s="257">
        <f t="shared" si="31"/>
        <v>0</v>
      </c>
      <c r="K85" s="113">
        <f t="shared" si="32"/>
        <v>3626.7452284260999</v>
      </c>
      <c r="L85" s="191"/>
      <c r="M85" s="191"/>
    </row>
    <row r="86" spans="2:13">
      <c r="B86" s="324" t="s">
        <v>510</v>
      </c>
      <c r="C86" s="112" t="s">
        <v>85</v>
      </c>
      <c r="D86" s="72">
        <v>6.4256161547245018E-3</v>
      </c>
      <c r="E86" s="257">
        <f t="shared" si="27"/>
        <v>231709.2384341752</v>
      </c>
      <c r="F86" s="257">
        <f t="shared" si="28"/>
        <v>0</v>
      </c>
      <c r="G86" s="113">
        <f t="shared" si="29"/>
        <v>231709.2384341752</v>
      </c>
      <c r="H86" s="72">
        <v>7.3107738942802258E-3</v>
      </c>
      <c r="I86" s="257">
        <f t="shared" si="30"/>
        <v>287574.41449914553</v>
      </c>
      <c r="J86" s="257">
        <f t="shared" si="31"/>
        <v>0</v>
      </c>
      <c r="K86" s="113">
        <f t="shared" si="32"/>
        <v>287574.41449914553</v>
      </c>
      <c r="L86" s="191"/>
      <c r="M86" s="191"/>
    </row>
    <row r="87" spans="2:13">
      <c r="B87" s="324" t="s">
        <v>510</v>
      </c>
      <c r="C87" s="112" t="s">
        <v>86</v>
      </c>
      <c r="D87" s="72">
        <v>6.2199455452398593E-4</v>
      </c>
      <c r="E87" s="257">
        <f t="shared" si="27"/>
        <v>22429.270760748714</v>
      </c>
      <c r="F87" s="257">
        <f t="shared" si="28"/>
        <v>0</v>
      </c>
      <c r="G87" s="113">
        <f t="shared" si="29"/>
        <v>22429.270760748714</v>
      </c>
      <c r="H87" s="72">
        <v>7.1236795329074722E-4</v>
      </c>
      <c r="I87" s="257">
        <f t="shared" si="30"/>
        <v>28021.492667940103</v>
      </c>
      <c r="J87" s="257">
        <f t="shared" si="31"/>
        <v>0</v>
      </c>
      <c r="K87" s="113">
        <f t="shared" si="32"/>
        <v>28021.492667940103</v>
      </c>
      <c r="L87" s="191"/>
      <c r="M87" s="191"/>
    </row>
    <row r="88" spans="2:13">
      <c r="B88" s="324" t="s">
        <v>510</v>
      </c>
      <c r="C88" s="112" t="s">
        <v>88</v>
      </c>
      <c r="D88" s="72">
        <v>1.4050869052520912E-3</v>
      </c>
      <c r="E88" s="257">
        <f t="shared" si="27"/>
        <v>50667.766158178347</v>
      </c>
      <c r="F88" s="257">
        <f t="shared" si="28"/>
        <v>0</v>
      </c>
      <c r="G88" s="113">
        <f t="shared" si="29"/>
        <v>50667.766158178347</v>
      </c>
      <c r="H88" s="72">
        <v>9.7503058961867701E-4</v>
      </c>
      <c r="I88" s="257">
        <f t="shared" si="30"/>
        <v>38353.511541058753</v>
      </c>
      <c r="J88" s="257">
        <f t="shared" si="31"/>
        <v>0</v>
      </c>
      <c r="K88" s="113">
        <f t="shared" si="32"/>
        <v>38353.511541058753</v>
      </c>
      <c r="L88" s="191"/>
      <c r="M88" s="191"/>
    </row>
    <row r="89" spans="2:13">
      <c r="B89" s="324" t="s">
        <v>510</v>
      </c>
      <c r="C89" s="112" t="s">
        <v>90</v>
      </c>
      <c r="D89" s="72">
        <v>3.9239124074678867E-2</v>
      </c>
      <c r="E89" s="257">
        <f t="shared" si="27"/>
        <v>1414972.0956305354</v>
      </c>
      <c r="F89" s="257">
        <f t="shared" si="28"/>
        <v>0</v>
      </c>
      <c r="G89" s="113">
        <f t="shared" si="29"/>
        <v>1414972.0956305354</v>
      </c>
      <c r="H89" s="72">
        <v>3.0561150185947326E-2</v>
      </c>
      <c r="I89" s="257">
        <f t="shared" si="30"/>
        <v>1202144.2597233444</v>
      </c>
      <c r="J89" s="257">
        <f t="shared" si="31"/>
        <v>0</v>
      </c>
      <c r="K89" s="113">
        <f t="shared" si="32"/>
        <v>1202144.2597233444</v>
      </c>
      <c r="L89" s="191"/>
      <c r="M89" s="191"/>
    </row>
    <row r="90" spans="2:13">
      <c r="B90" s="282"/>
      <c r="C90" s="186" t="s">
        <v>176</v>
      </c>
      <c r="D90" s="118">
        <f>SUM(D80:D89)</f>
        <v>1</v>
      </c>
      <c r="E90" s="114">
        <f>'2.1 Profit &amp; Loss by component'!D43-'2.1 Profit &amp; Loss by component'!D37</f>
        <v>36060236.536819674</v>
      </c>
      <c r="F90" s="114">
        <f>'2.1 Profit &amp; Loss by component'!E43-'2.1 Profit &amp; Loss by component'!E37</f>
        <v>0</v>
      </c>
      <c r="G90" s="114">
        <f>SUM(G80:G89)</f>
        <v>36060236.536819682</v>
      </c>
      <c r="H90" s="118">
        <f>SUM(H80:H89)</f>
        <v>1</v>
      </c>
      <c r="I90" s="114">
        <f>'2.1 Profit &amp; Loss by component'!G43-'2.1 Profit &amp; Loss by component'!G37</f>
        <v>39335700.796893314</v>
      </c>
      <c r="J90" s="114">
        <f>'2.1 Profit &amp; Loss by component'!H43-'2.1 Profit &amp; Loss by component'!H37</f>
        <v>0</v>
      </c>
      <c r="K90" s="114">
        <f>SUM(K80:K89)</f>
        <v>39335700.796893314</v>
      </c>
      <c r="L90" s="191"/>
      <c r="M90" s="191"/>
    </row>
    <row r="91" spans="2:13" ht="14.25">
      <c r="B91" s="282"/>
      <c r="C91" s="186" t="s">
        <v>62</v>
      </c>
      <c r="D91" s="259"/>
      <c r="E91" s="114">
        <f>E90+E78+E66</f>
        <v>138692711.30454713</v>
      </c>
      <c r="F91" s="114">
        <f>F90+F78+F66</f>
        <v>769475.22305377724</v>
      </c>
      <c r="G91" s="114">
        <f>G90+G78+G66</f>
        <v>139462186.52760091</v>
      </c>
      <c r="H91" s="259"/>
      <c r="I91" s="114">
        <f>I90+I78+I66</f>
        <v>132441826.71977255</v>
      </c>
      <c r="J91" s="114">
        <f>J90+J78+J66</f>
        <v>712405.44928350253</v>
      </c>
      <c r="K91" s="114">
        <f>K90+K78+K66</f>
        <v>133154232.16905604</v>
      </c>
      <c r="L91" s="191"/>
      <c r="M91" s="191"/>
    </row>
    <row r="92" spans="2:13">
      <c r="B92" s="191"/>
      <c r="C92" s="191"/>
      <c r="D92" s="191"/>
      <c r="E92" s="191"/>
      <c r="F92" s="191"/>
      <c r="G92" s="191"/>
      <c r="H92" s="191"/>
      <c r="I92" s="191"/>
      <c r="J92" s="191"/>
      <c r="K92" s="191"/>
      <c r="L92" s="191"/>
      <c r="M92" s="191"/>
    </row>
    <row r="93" spans="2:13">
      <c r="B93" s="191"/>
      <c r="C93" s="191"/>
      <c r="D93" s="191"/>
      <c r="E93" s="191"/>
      <c r="F93" s="191"/>
      <c r="G93" s="191"/>
      <c r="H93" s="191"/>
      <c r="I93" s="191"/>
      <c r="J93" s="191"/>
      <c r="K93" s="191"/>
      <c r="L93" s="191"/>
      <c r="M93" s="191"/>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c r="B1" s="135" t="s">
        <v>53</v>
      </c>
      <c r="C1" s="135"/>
      <c r="D1" s="204"/>
      <c r="E1" s="204"/>
      <c r="F1" s="204"/>
      <c r="G1" s="204"/>
      <c r="H1" s="204"/>
      <c r="I1" s="204"/>
      <c r="J1" s="204"/>
    </row>
    <row r="2" spans="2:10" ht="20.25" customHeight="1">
      <c r="B2" s="135" t="str">
        <f>IF(Tradingname=0," ",Tradingname)</f>
        <v>APA (SWQP) PTY LIMITED</v>
      </c>
      <c r="C2" s="135"/>
    </row>
    <row r="3" spans="2:10" ht="20.25" customHeight="1">
      <c r="B3" s="135" t="s">
        <v>30</v>
      </c>
      <c r="C3" s="99">
        <f>IF(Yearending=0, "01/01/2000", Yearending)</f>
        <v>45838</v>
      </c>
      <c r="F3" s="238"/>
    </row>
    <row r="4" spans="2:10" ht="20.25">
      <c r="B4" s="91" t="s">
        <v>177</v>
      </c>
      <c r="C4" s="91"/>
    </row>
    <row r="6" spans="2:10" ht="20.25">
      <c r="B6" s="239"/>
      <c r="G6" s="240"/>
      <c r="H6" s="241"/>
      <c r="I6" s="242"/>
      <c r="J6" s="242"/>
    </row>
    <row r="7" spans="2:10" ht="15.75">
      <c r="B7" s="214" t="s">
        <v>178</v>
      </c>
    </row>
    <row r="8" spans="2:10" ht="13.9" customHeight="1">
      <c r="B8" s="215"/>
      <c r="C8" s="216"/>
      <c r="D8" s="216"/>
      <c r="E8" s="216"/>
    </row>
    <row r="9" spans="2:10" ht="13.9" customHeight="1">
      <c r="B9" s="35" t="s">
        <v>114</v>
      </c>
      <c r="C9" s="30" t="s">
        <v>125</v>
      </c>
      <c r="D9" s="30" t="s">
        <v>126</v>
      </c>
      <c r="E9" s="30" t="s">
        <v>56</v>
      </c>
      <c r="F9" s="216"/>
    </row>
    <row r="10" spans="2:10" ht="13.9" customHeight="1">
      <c r="B10" s="29"/>
      <c r="C10" s="31" t="s">
        <v>116</v>
      </c>
      <c r="D10" s="31" t="s">
        <v>116</v>
      </c>
      <c r="E10" s="31" t="s">
        <v>116</v>
      </c>
    </row>
    <row r="11" spans="2:10" ht="13.9" customHeight="1">
      <c r="B11" s="67" t="s">
        <v>482</v>
      </c>
      <c r="C11" s="68">
        <v>0</v>
      </c>
      <c r="D11" s="68"/>
      <c r="E11" s="11">
        <f t="shared" ref="E11:E17" si="0">SUM(C11:D11)</f>
        <v>0</v>
      </c>
    </row>
    <row r="12" spans="2:10" ht="13.9" customHeight="1">
      <c r="B12" s="67"/>
      <c r="C12" s="68"/>
      <c r="D12" s="68"/>
      <c r="E12" s="11">
        <f t="shared" si="0"/>
        <v>0</v>
      </c>
    </row>
    <row r="13" spans="2:10" ht="13.9" customHeight="1">
      <c r="B13" s="67"/>
      <c r="C13" s="68"/>
      <c r="D13" s="68"/>
      <c r="E13" s="11">
        <f t="shared" si="0"/>
        <v>0</v>
      </c>
    </row>
    <row r="14" spans="2:10" ht="13.9" customHeight="1">
      <c r="B14" s="67"/>
      <c r="C14" s="68"/>
      <c r="D14" s="68"/>
      <c r="E14" s="11">
        <f t="shared" si="0"/>
        <v>0</v>
      </c>
    </row>
    <row r="15" spans="2:10">
      <c r="B15" s="67"/>
      <c r="C15" s="68"/>
      <c r="D15" s="68"/>
      <c r="E15" s="11">
        <f t="shared" si="0"/>
        <v>0</v>
      </c>
    </row>
    <row r="16" spans="2:10">
      <c r="B16" s="67"/>
      <c r="C16" s="68"/>
      <c r="D16" s="68"/>
      <c r="E16" s="11">
        <f t="shared" si="0"/>
        <v>0</v>
      </c>
    </row>
    <row r="17" spans="2:6">
      <c r="B17" s="136" t="s">
        <v>56</v>
      </c>
      <c r="C17" s="11">
        <f>SUM(C11:C16)</f>
        <v>0</v>
      </c>
      <c r="D17" s="11">
        <f>SUM(D11:D16)</f>
        <v>0</v>
      </c>
      <c r="E17" s="11">
        <f t="shared" si="0"/>
        <v>0</v>
      </c>
    </row>
    <row r="18" spans="2:6" ht="19.5" customHeight="1"/>
    <row r="19" spans="2:6" ht="15.75">
      <c r="B19" s="214" t="s">
        <v>179</v>
      </c>
    </row>
    <row r="20" spans="2:6">
      <c r="B20" s="215"/>
      <c r="C20" s="216"/>
      <c r="D20" s="216"/>
      <c r="E20" s="216"/>
    </row>
    <row r="21" spans="2:6">
      <c r="B21" s="29" t="s">
        <v>180</v>
      </c>
      <c r="C21" s="36" t="s">
        <v>114</v>
      </c>
      <c r="D21" s="30" t="s">
        <v>56</v>
      </c>
      <c r="F21" s="216"/>
    </row>
    <row r="22" spans="2:6">
      <c r="B22" s="29"/>
      <c r="C22" s="31"/>
      <c r="D22" s="31" t="s">
        <v>116</v>
      </c>
    </row>
    <row r="23" spans="2:6">
      <c r="B23" s="67"/>
      <c r="C23" s="69"/>
      <c r="D23" s="68"/>
    </row>
    <row r="24" spans="2:6">
      <c r="B24" s="67"/>
      <c r="C24" s="69"/>
      <c r="D24" s="68"/>
    </row>
    <row r="25" spans="2:6">
      <c r="B25" s="67"/>
      <c r="C25" s="69"/>
      <c r="D25" s="68"/>
    </row>
    <row r="26" spans="2:6">
      <c r="B26" s="67"/>
      <c r="C26" s="69"/>
      <c r="D26" s="68"/>
    </row>
    <row r="27" spans="2:6">
      <c r="B27" s="67"/>
      <c r="C27" s="69"/>
      <c r="D27" s="68"/>
    </row>
    <row r="28" spans="2:6">
      <c r="B28" s="67"/>
      <c r="C28" s="69"/>
      <c r="D28" s="68"/>
    </row>
    <row r="29" spans="2:6">
      <c r="B29" s="407" t="s">
        <v>181</v>
      </c>
      <c r="C29" s="408"/>
      <c r="D29" s="11">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2.42578125" style="205" customWidth="1"/>
    <col min="2" max="2" width="22.5703125" style="205" customWidth="1"/>
    <col min="3" max="3" width="42.28515625" style="205" customWidth="1"/>
    <col min="4" max="4" width="26.7109375" style="205" customWidth="1"/>
    <col min="5" max="5" width="22.5703125" style="205" customWidth="1"/>
    <col min="6" max="6" width="20.5703125" style="205" customWidth="1"/>
    <col min="7" max="8" width="22.5703125" style="205" customWidth="1"/>
    <col min="9" max="9" width="35.28515625" style="205" customWidth="1"/>
    <col min="10" max="10" width="25.28515625" style="205" customWidth="1"/>
    <col min="11" max="16384" width="9.28515625" style="205"/>
  </cols>
  <sheetData>
    <row r="1" spans="2:9" ht="20.25" customHeight="1">
      <c r="B1" s="135" t="s">
        <v>53</v>
      </c>
      <c r="C1" s="135"/>
      <c r="D1" s="204"/>
      <c r="E1" s="204"/>
      <c r="F1" s="204"/>
      <c r="G1" s="204"/>
      <c r="H1" s="204"/>
    </row>
    <row r="2" spans="2:9" ht="20.25" customHeight="1">
      <c r="B2" s="135" t="str">
        <f>IF(Tradingname=0," ",Tradingname)</f>
        <v>APA (SWQP) PTY LIMITED</v>
      </c>
      <c r="C2" s="135"/>
      <c r="H2" s="206"/>
    </row>
    <row r="3" spans="2:9" ht="20.25" customHeight="1">
      <c r="B3" s="135" t="s">
        <v>30</v>
      </c>
      <c r="C3" s="99">
        <f>IF(Yearending=0, "01/01/2000", Yearending)</f>
        <v>45838</v>
      </c>
    </row>
    <row r="4" spans="2:9" ht="20.25">
      <c r="B4" s="91" t="s">
        <v>182</v>
      </c>
      <c r="C4" s="91"/>
    </row>
    <row r="6" spans="2:9">
      <c r="B6" s="409" t="s">
        <v>183</v>
      </c>
      <c r="C6" s="409"/>
      <c r="D6" s="409"/>
    </row>
    <row r="7" spans="2:9" ht="15.75" customHeight="1">
      <c r="B7" s="409"/>
      <c r="C7" s="409"/>
      <c r="D7" s="409"/>
    </row>
    <row r="8" spans="2:9" ht="15.75" customHeight="1">
      <c r="B8" s="409"/>
      <c r="C8" s="409"/>
      <c r="D8" s="409"/>
    </row>
    <row r="11" spans="2:9" s="260" customFormat="1" ht="15.75">
      <c r="B11" s="207" t="s">
        <v>184</v>
      </c>
      <c r="C11" s="208"/>
      <c r="D11" s="208"/>
      <c r="E11" s="208"/>
      <c r="F11" s="211"/>
      <c r="G11" s="208"/>
      <c r="H11" s="208"/>
      <c r="I11" s="205"/>
    </row>
    <row r="12" spans="2:9" s="260" customFormat="1" ht="15.75">
      <c r="B12" s="207"/>
      <c r="C12" s="208"/>
      <c r="D12" s="208"/>
      <c r="E12" s="208"/>
      <c r="F12" s="211"/>
      <c r="G12" s="208"/>
      <c r="H12" s="208"/>
      <c r="I12" s="205"/>
    </row>
    <row r="13" spans="2:9" ht="38.25">
      <c r="B13" s="37" t="s">
        <v>113</v>
      </c>
      <c r="C13" s="37" t="s">
        <v>185</v>
      </c>
      <c r="D13" s="49" t="s">
        <v>186</v>
      </c>
      <c r="E13" s="49" t="s">
        <v>187</v>
      </c>
      <c r="F13" s="49" t="s">
        <v>188</v>
      </c>
      <c r="G13" s="49" t="s">
        <v>189</v>
      </c>
      <c r="H13" s="49" t="s">
        <v>190</v>
      </c>
      <c r="I13" s="49" t="s">
        <v>191</v>
      </c>
    </row>
    <row r="14" spans="2:9">
      <c r="B14" s="89"/>
      <c r="C14" s="37" t="s">
        <v>192</v>
      </c>
      <c r="D14" s="53" t="s">
        <v>116</v>
      </c>
      <c r="E14" s="53" t="s">
        <v>116</v>
      </c>
      <c r="F14" s="53"/>
      <c r="G14" s="53" t="s">
        <v>116</v>
      </c>
      <c r="H14" s="53" t="s">
        <v>116</v>
      </c>
      <c r="I14" s="53" t="s">
        <v>116</v>
      </c>
    </row>
    <row r="15" spans="2:9">
      <c r="B15" s="325" t="s">
        <v>511</v>
      </c>
      <c r="C15" s="70"/>
      <c r="D15" s="71"/>
      <c r="E15" s="71"/>
      <c r="F15" s="72"/>
      <c r="G15" s="10">
        <f>D15*F15</f>
        <v>0</v>
      </c>
      <c r="H15" s="10">
        <f t="shared" ref="H15:H41" si="0">E15*F15</f>
        <v>0</v>
      </c>
      <c r="I15" s="90">
        <f t="shared" ref="I15:I41" si="1">G15+H15</f>
        <v>0</v>
      </c>
    </row>
    <row r="16" spans="2:9">
      <c r="B16" s="283"/>
      <c r="C16" s="70"/>
      <c r="D16" s="71"/>
      <c r="E16" s="71"/>
      <c r="F16" s="72"/>
      <c r="G16" s="10">
        <f>D16*F16</f>
        <v>0</v>
      </c>
      <c r="H16" s="10">
        <f t="shared" si="0"/>
        <v>0</v>
      </c>
      <c r="I16" s="90">
        <f t="shared" si="1"/>
        <v>0</v>
      </c>
    </row>
    <row r="17" spans="2:9">
      <c r="B17" s="283"/>
      <c r="C17" s="70"/>
      <c r="D17" s="71"/>
      <c r="E17" s="71"/>
      <c r="F17" s="72"/>
      <c r="G17" s="10">
        <f>D17*F17</f>
        <v>0</v>
      </c>
      <c r="H17" s="10">
        <f t="shared" si="0"/>
        <v>0</v>
      </c>
      <c r="I17" s="90">
        <f t="shared" si="1"/>
        <v>0</v>
      </c>
    </row>
    <row r="18" spans="2:9">
      <c r="B18" s="283"/>
      <c r="C18" s="70"/>
      <c r="D18" s="71"/>
      <c r="E18" s="71"/>
      <c r="F18" s="72"/>
      <c r="G18" s="10">
        <f>D18*F18</f>
        <v>0</v>
      </c>
      <c r="H18" s="90">
        <f t="shared" si="0"/>
        <v>0</v>
      </c>
      <c r="I18" s="90">
        <f t="shared" si="1"/>
        <v>0</v>
      </c>
    </row>
    <row r="19" spans="2:9">
      <c r="B19" s="283"/>
      <c r="C19" s="70"/>
      <c r="D19" s="71"/>
      <c r="E19" s="71"/>
      <c r="F19" s="72"/>
      <c r="G19" s="10">
        <f t="shared" ref="G19:G41" si="2">D19*F19</f>
        <v>0</v>
      </c>
      <c r="H19" s="10">
        <f t="shared" si="0"/>
        <v>0</v>
      </c>
      <c r="I19" s="90">
        <f t="shared" si="1"/>
        <v>0</v>
      </c>
    </row>
    <row r="20" spans="2:9">
      <c r="B20" s="283"/>
      <c r="C20" s="70"/>
      <c r="D20" s="71"/>
      <c r="E20" s="71"/>
      <c r="F20" s="72"/>
      <c r="G20" s="10">
        <f t="shared" si="2"/>
        <v>0</v>
      </c>
      <c r="H20" s="10">
        <f t="shared" si="0"/>
        <v>0</v>
      </c>
      <c r="I20" s="90">
        <f t="shared" si="1"/>
        <v>0</v>
      </c>
    </row>
    <row r="21" spans="2:9">
      <c r="B21" s="283"/>
      <c r="C21" s="70"/>
      <c r="D21" s="71"/>
      <c r="E21" s="71"/>
      <c r="F21" s="72"/>
      <c r="G21" s="10">
        <f t="shared" si="2"/>
        <v>0</v>
      </c>
      <c r="H21" s="10">
        <f t="shared" si="0"/>
        <v>0</v>
      </c>
      <c r="I21" s="90">
        <f t="shared" si="1"/>
        <v>0</v>
      </c>
    </row>
    <row r="22" spans="2:9">
      <c r="B22" s="283"/>
      <c r="C22" s="70"/>
      <c r="D22" s="71"/>
      <c r="E22" s="71"/>
      <c r="F22" s="72"/>
      <c r="G22" s="10">
        <f t="shared" si="2"/>
        <v>0</v>
      </c>
      <c r="H22" s="10">
        <f t="shared" si="0"/>
        <v>0</v>
      </c>
      <c r="I22" s="90">
        <f t="shared" si="1"/>
        <v>0</v>
      </c>
    </row>
    <row r="23" spans="2:9">
      <c r="B23" s="283"/>
      <c r="C23" s="70"/>
      <c r="D23" s="71"/>
      <c r="E23" s="71"/>
      <c r="F23" s="72"/>
      <c r="G23" s="10">
        <f t="shared" si="2"/>
        <v>0</v>
      </c>
      <c r="H23" s="10">
        <f t="shared" si="0"/>
        <v>0</v>
      </c>
      <c r="I23" s="90">
        <f t="shared" si="1"/>
        <v>0</v>
      </c>
    </row>
    <row r="24" spans="2:9">
      <c r="B24" s="283"/>
      <c r="C24" s="70"/>
      <c r="D24" s="71"/>
      <c r="E24" s="71"/>
      <c r="F24" s="72"/>
      <c r="G24" s="10">
        <f t="shared" si="2"/>
        <v>0</v>
      </c>
      <c r="H24" s="10">
        <f t="shared" si="0"/>
        <v>0</v>
      </c>
      <c r="I24" s="90">
        <f t="shared" si="1"/>
        <v>0</v>
      </c>
    </row>
    <row r="25" spans="2:9">
      <c r="B25" s="283"/>
      <c r="C25" s="70"/>
      <c r="D25" s="71"/>
      <c r="E25" s="71"/>
      <c r="F25" s="72"/>
      <c r="G25" s="10">
        <f t="shared" si="2"/>
        <v>0</v>
      </c>
      <c r="H25" s="10">
        <f t="shared" si="0"/>
        <v>0</v>
      </c>
      <c r="I25" s="90">
        <f t="shared" si="1"/>
        <v>0</v>
      </c>
    </row>
    <row r="26" spans="2:9">
      <c r="B26" s="283"/>
      <c r="C26" s="70"/>
      <c r="D26" s="71"/>
      <c r="E26" s="71"/>
      <c r="F26" s="72"/>
      <c r="G26" s="10">
        <f t="shared" si="2"/>
        <v>0</v>
      </c>
      <c r="H26" s="10">
        <f t="shared" si="0"/>
        <v>0</v>
      </c>
      <c r="I26" s="90">
        <f t="shared" si="1"/>
        <v>0</v>
      </c>
    </row>
    <row r="27" spans="2:9">
      <c r="B27" s="283"/>
      <c r="C27" s="70"/>
      <c r="D27" s="71"/>
      <c r="E27" s="71"/>
      <c r="F27" s="72"/>
      <c r="G27" s="10">
        <f t="shared" si="2"/>
        <v>0</v>
      </c>
      <c r="H27" s="10">
        <f t="shared" si="0"/>
        <v>0</v>
      </c>
      <c r="I27" s="90">
        <f t="shared" si="1"/>
        <v>0</v>
      </c>
    </row>
    <row r="28" spans="2:9">
      <c r="B28" s="283"/>
      <c r="C28" s="70"/>
      <c r="D28" s="71"/>
      <c r="E28" s="71"/>
      <c r="F28" s="72"/>
      <c r="G28" s="10">
        <f t="shared" si="2"/>
        <v>0</v>
      </c>
      <c r="H28" s="10">
        <f t="shared" si="0"/>
        <v>0</v>
      </c>
      <c r="I28" s="90">
        <f t="shared" si="1"/>
        <v>0</v>
      </c>
    </row>
    <row r="29" spans="2:9">
      <c r="B29" s="283"/>
      <c r="C29" s="70"/>
      <c r="D29" s="71"/>
      <c r="E29" s="71"/>
      <c r="F29" s="72"/>
      <c r="G29" s="10">
        <f t="shared" si="2"/>
        <v>0</v>
      </c>
      <c r="H29" s="10">
        <f t="shared" si="0"/>
        <v>0</v>
      </c>
      <c r="I29" s="90">
        <f t="shared" si="1"/>
        <v>0</v>
      </c>
    </row>
    <row r="30" spans="2:9">
      <c r="B30" s="283"/>
      <c r="C30" s="70"/>
      <c r="D30" s="71"/>
      <c r="E30" s="71"/>
      <c r="F30" s="72"/>
      <c r="G30" s="10">
        <f t="shared" si="2"/>
        <v>0</v>
      </c>
      <c r="H30" s="10">
        <f t="shared" si="0"/>
        <v>0</v>
      </c>
      <c r="I30" s="90">
        <f t="shared" si="1"/>
        <v>0</v>
      </c>
    </row>
    <row r="31" spans="2:9">
      <c r="B31" s="283"/>
      <c r="C31" s="70"/>
      <c r="D31" s="71"/>
      <c r="E31" s="71"/>
      <c r="F31" s="72"/>
      <c r="G31" s="10">
        <f t="shared" si="2"/>
        <v>0</v>
      </c>
      <c r="H31" s="10">
        <f t="shared" si="0"/>
        <v>0</v>
      </c>
      <c r="I31" s="90">
        <f t="shared" si="1"/>
        <v>0</v>
      </c>
    </row>
    <row r="32" spans="2:9">
      <c r="B32" s="283"/>
      <c r="C32" s="70"/>
      <c r="D32" s="71"/>
      <c r="E32" s="71"/>
      <c r="F32" s="72"/>
      <c r="G32" s="10">
        <f t="shared" si="2"/>
        <v>0</v>
      </c>
      <c r="H32" s="10">
        <f t="shared" si="0"/>
        <v>0</v>
      </c>
      <c r="I32" s="90">
        <f t="shared" si="1"/>
        <v>0</v>
      </c>
    </row>
    <row r="33" spans="2:9">
      <c r="B33" s="283"/>
      <c r="C33" s="70"/>
      <c r="D33" s="71"/>
      <c r="E33" s="71"/>
      <c r="F33" s="72"/>
      <c r="G33" s="10">
        <f t="shared" si="2"/>
        <v>0</v>
      </c>
      <c r="H33" s="10">
        <f t="shared" si="0"/>
        <v>0</v>
      </c>
      <c r="I33" s="90">
        <f t="shared" si="1"/>
        <v>0</v>
      </c>
    </row>
    <row r="34" spans="2:9">
      <c r="B34" s="283"/>
      <c r="C34" s="70"/>
      <c r="D34" s="71"/>
      <c r="E34" s="71"/>
      <c r="F34" s="72"/>
      <c r="G34" s="10">
        <f t="shared" si="2"/>
        <v>0</v>
      </c>
      <c r="H34" s="10">
        <f t="shared" si="0"/>
        <v>0</v>
      </c>
      <c r="I34" s="90">
        <f t="shared" si="1"/>
        <v>0</v>
      </c>
    </row>
    <row r="35" spans="2:9">
      <c r="B35" s="283"/>
      <c r="C35" s="70"/>
      <c r="D35" s="71"/>
      <c r="E35" s="71"/>
      <c r="F35" s="72"/>
      <c r="G35" s="10">
        <f t="shared" si="2"/>
        <v>0</v>
      </c>
      <c r="H35" s="10">
        <f t="shared" si="0"/>
        <v>0</v>
      </c>
      <c r="I35" s="90">
        <f t="shared" si="1"/>
        <v>0</v>
      </c>
    </row>
    <row r="36" spans="2:9">
      <c r="B36" s="283"/>
      <c r="C36" s="70"/>
      <c r="D36" s="71"/>
      <c r="E36" s="71"/>
      <c r="F36" s="72"/>
      <c r="G36" s="10">
        <f t="shared" si="2"/>
        <v>0</v>
      </c>
      <c r="H36" s="10">
        <f t="shared" si="0"/>
        <v>0</v>
      </c>
      <c r="I36" s="90">
        <f t="shared" si="1"/>
        <v>0</v>
      </c>
    </row>
    <row r="37" spans="2:9">
      <c r="B37" s="283"/>
      <c r="C37" s="70"/>
      <c r="D37" s="71"/>
      <c r="E37" s="71"/>
      <c r="F37" s="72"/>
      <c r="G37" s="10">
        <f t="shared" si="2"/>
        <v>0</v>
      </c>
      <c r="H37" s="10">
        <f t="shared" si="0"/>
        <v>0</v>
      </c>
      <c r="I37" s="90">
        <f t="shared" si="1"/>
        <v>0</v>
      </c>
    </row>
    <row r="38" spans="2:9">
      <c r="B38" s="283"/>
      <c r="C38" s="70"/>
      <c r="D38" s="71"/>
      <c r="E38" s="71"/>
      <c r="F38" s="72"/>
      <c r="G38" s="10">
        <f t="shared" si="2"/>
        <v>0</v>
      </c>
      <c r="H38" s="10">
        <f t="shared" si="0"/>
        <v>0</v>
      </c>
      <c r="I38" s="90">
        <f t="shared" si="1"/>
        <v>0</v>
      </c>
    </row>
    <row r="39" spans="2:9">
      <c r="B39" s="283"/>
      <c r="C39" s="70"/>
      <c r="D39" s="71"/>
      <c r="E39" s="71"/>
      <c r="F39" s="72"/>
      <c r="G39" s="10">
        <f t="shared" si="2"/>
        <v>0</v>
      </c>
      <c r="H39" s="10">
        <f t="shared" si="0"/>
        <v>0</v>
      </c>
      <c r="I39" s="90">
        <f t="shared" si="1"/>
        <v>0</v>
      </c>
    </row>
    <row r="40" spans="2:9">
      <c r="B40" s="283"/>
      <c r="C40" s="70"/>
      <c r="D40" s="71"/>
      <c r="E40" s="71"/>
      <c r="F40" s="72"/>
      <c r="G40" s="10">
        <f t="shared" si="2"/>
        <v>0</v>
      </c>
      <c r="H40" s="10">
        <f t="shared" si="0"/>
        <v>0</v>
      </c>
      <c r="I40" s="90">
        <f t="shared" si="1"/>
        <v>0</v>
      </c>
    </row>
    <row r="41" spans="2:9">
      <c r="B41" s="283"/>
      <c r="C41" s="70"/>
      <c r="D41" s="71"/>
      <c r="E41" s="71"/>
      <c r="F41" s="72"/>
      <c r="G41" s="10">
        <f t="shared" si="2"/>
        <v>0</v>
      </c>
      <c r="H41" s="10">
        <f t="shared" si="0"/>
        <v>0</v>
      </c>
      <c r="I41" s="90">
        <f t="shared" si="1"/>
        <v>0</v>
      </c>
    </row>
    <row r="42" spans="2:9">
      <c r="B42" s="284"/>
      <c r="C42" s="124" t="s">
        <v>56</v>
      </c>
      <c r="D42" s="10">
        <f>SUM(D15:D41)</f>
        <v>0</v>
      </c>
      <c r="E42" s="10">
        <f>SUM(E15:E41)</f>
        <v>0</v>
      </c>
      <c r="F42" s="12"/>
      <c r="G42" s="10">
        <f>SUM(G15:G41)</f>
        <v>0</v>
      </c>
      <c r="H42" s="10">
        <f>SUM(H15:H41)</f>
        <v>0</v>
      </c>
      <c r="I42" s="90">
        <f>SUM(I15:I41)</f>
        <v>0</v>
      </c>
    </row>
  </sheetData>
  <sheetProtection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1.28515625" style="205" customWidth="1"/>
    <col min="2" max="2" width="21" style="205" customWidth="1"/>
    <col min="3" max="3" width="36.28515625" style="205" customWidth="1"/>
    <col min="4" max="4" width="26.7109375" style="205" customWidth="1"/>
    <col min="5" max="5" width="23.5703125" style="205" customWidth="1"/>
    <col min="6" max="6" width="22.5703125" style="205" customWidth="1"/>
    <col min="7" max="7" width="20.5703125" style="205" customWidth="1"/>
    <col min="8" max="9" width="22.5703125" style="205" customWidth="1"/>
    <col min="10" max="10" width="35.28515625" style="205" customWidth="1"/>
    <col min="11" max="11" width="25.28515625" style="205" customWidth="1"/>
    <col min="12" max="16384" width="9.28515625" style="205"/>
  </cols>
  <sheetData>
    <row r="1" spans="2:10" ht="20.25" customHeight="1">
      <c r="B1" s="135" t="s">
        <v>53</v>
      </c>
      <c r="C1" s="135"/>
      <c r="D1" s="204"/>
      <c r="E1" s="204"/>
      <c r="F1" s="204"/>
      <c r="G1" s="204"/>
      <c r="H1" s="204"/>
      <c r="I1" s="204"/>
    </row>
    <row r="2" spans="2:10" ht="20.25" customHeight="1">
      <c r="B2" s="135" t="str">
        <f>IF(Tradingname=0," ",Tradingname)</f>
        <v>APA (SWQP) PTY LIMITED</v>
      </c>
      <c r="C2" s="135"/>
      <c r="H2" s="206"/>
      <c r="I2" s="206"/>
    </row>
    <row r="3" spans="2:10" ht="20.25" customHeight="1">
      <c r="B3" s="135" t="s">
        <v>30</v>
      </c>
      <c r="C3" s="99">
        <f>IF(Yearending=0, "01/01/2000", Yearending)</f>
        <v>45838</v>
      </c>
    </row>
    <row r="4" spans="2:10" ht="20.25">
      <c r="B4" s="91" t="s">
        <v>193</v>
      </c>
      <c r="C4" s="91"/>
    </row>
    <row r="6" spans="2:10">
      <c r="B6" s="409" t="s">
        <v>183</v>
      </c>
      <c r="C6" s="409"/>
      <c r="D6" s="409"/>
    </row>
    <row r="7" spans="2:10" ht="15.75" customHeight="1">
      <c r="B7" s="409"/>
      <c r="C7" s="409"/>
      <c r="D7" s="409"/>
    </row>
    <row r="8" spans="2:10" ht="24" customHeight="1">
      <c r="B8" s="409"/>
      <c r="C8" s="409"/>
      <c r="D8" s="409"/>
    </row>
    <row r="11" spans="2:10" ht="15.75">
      <c r="B11" s="207" t="s">
        <v>194</v>
      </c>
      <c r="C11" s="208"/>
      <c r="D11" s="208"/>
      <c r="E11" s="208"/>
      <c r="F11" s="208"/>
      <c r="G11" s="211"/>
      <c r="H11" s="208"/>
      <c r="I11" s="208"/>
    </row>
    <row r="12" spans="2:10" ht="15.75">
      <c r="B12" s="207"/>
      <c r="C12" s="208"/>
      <c r="D12" s="208"/>
      <c r="E12" s="208"/>
      <c r="F12" s="208"/>
      <c r="G12" s="211"/>
      <c r="H12" s="208"/>
      <c r="I12" s="208"/>
    </row>
    <row r="13" spans="2:10" ht="38.25">
      <c r="B13" s="37" t="s">
        <v>113</v>
      </c>
      <c r="C13" s="37" t="s">
        <v>114</v>
      </c>
      <c r="D13" s="41" t="s">
        <v>195</v>
      </c>
      <c r="E13" s="38" t="s">
        <v>196</v>
      </c>
      <c r="F13" s="38" t="s">
        <v>197</v>
      </c>
      <c r="G13" s="38" t="s">
        <v>188</v>
      </c>
      <c r="H13" s="38" t="s">
        <v>189</v>
      </c>
      <c r="I13" s="38" t="s">
        <v>190</v>
      </c>
      <c r="J13" s="38" t="s">
        <v>191</v>
      </c>
    </row>
    <row r="14" spans="2:10">
      <c r="B14" s="39"/>
      <c r="C14" s="39" t="s">
        <v>198</v>
      </c>
      <c r="D14" s="42"/>
      <c r="E14" s="40" t="s">
        <v>116</v>
      </c>
      <c r="F14" s="40" t="s">
        <v>116</v>
      </c>
      <c r="G14" s="40"/>
      <c r="H14" s="40" t="s">
        <v>116</v>
      </c>
      <c r="I14" s="40" t="s">
        <v>116</v>
      </c>
      <c r="J14" s="40" t="s">
        <v>116</v>
      </c>
    </row>
    <row r="15" spans="2:10">
      <c r="B15" s="283"/>
      <c r="C15" s="34" t="s">
        <v>149</v>
      </c>
      <c r="D15" s="125"/>
      <c r="E15" s="71"/>
      <c r="F15" s="71"/>
      <c r="G15" s="72"/>
      <c r="H15" s="10">
        <f t="shared" ref="H15:H22" si="0">E15*G15</f>
        <v>0</v>
      </c>
      <c r="I15" s="10">
        <f t="shared" ref="I15:I22" si="1">F15*G15</f>
        <v>0</v>
      </c>
      <c r="J15" s="90">
        <f t="shared" ref="J15:J35" si="2">H15+I15</f>
        <v>0</v>
      </c>
    </row>
    <row r="16" spans="2:10" ht="25.5">
      <c r="B16" s="283"/>
      <c r="C16" s="34" t="s">
        <v>150</v>
      </c>
      <c r="D16" s="125"/>
      <c r="E16" s="71"/>
      <c r="F16" s="71"/>
      <c r="G16" s="72"/>
      <c r="H16" s="10">
        <f t="shared" si="0"/>
        <v>0</v>
      </c>
      <c r="I16" s="10">
        <f t="shared" si="1"/>
        <v>0</v>
      </c>
      <c r="J16" s="90">
        <f t="shared" si="2"/>
        <v>0</v>
      </c>
    </row>
    <row r="17" spans="2:10">
      <c r="B17" s="334" t="s">
        <v>521</v>
      </c>
      <c r="C17" s="43" t="s">
        <v>151</v>
      </c>
      <c r="D17" s="125"/>
      <c r="E17" s="71"/>
      <c r="F17" s="71"/>
      <c r="G17" s="72"/>
      <c r="H17" s="10">
        <f t="shared" si="0"/>
        <v>0</v>
      </c>
      <c r="I17" s="10">
        <f t="shared" si="1"/>
        <v>0</v>
      </c>
      <c r="J17" s="90">
        <f t="shared" si="2"/>
        <v>0</v>
      </c>
    </row>
    <row r="18" spans="2:10">
      <c r="B18" s="283"/>
      <c r="C18" s="34" t="s">
        <v>152</v>
      </c>
      <c r="D18" s="125"/>
      <c r="E18" s="71">
        <v>55278031</v>
      </c>
      <c r="F18" s="71"/>
      <c r="G18" s="72">
        <v>0.175855150136973</v>
      </c>
      <c r="H18" s="10">
        <f t="shared" si="0"/>
        <v>9720926.4407812487</v>
      </c>
      <c r="I18" s="10">
        <f t="shared" si="1"/>
        <v>0</v>
      </c>
      <c r="J18" s="90">
        <f t="shared" si="2"/>
        <v>9720926.4407812487</v>
      </c>
    </row>
    <row r="19" spans="2:10">
      <c r="B19" s="283"/>
      <c r="C19" s="34" t="s">
        <v>153</v>
      </c>
      <c r="D19" s="125"/>
      <c r="E19" s="71"/>
      <c r="F19" s="71"/>
      <c r="G19" s="72"/>
      <c r="H19" s="10">
        <f t="shared" si="0"/>
        <v>0</v>
      </c>
      <c r="I19" s="10">
        <f t="shared" si="1"/>
        <v>0</v>
      </c>
      <c r="J19" s="90">
        <f t="shared" si="2"/>
        <v>0</v>
      </c>
    </row>
    <row r="20" spans="2:10">
      <c r="B20" s="283"/>
      <c r="C20" s="43" t="s">
        <v>154</v>
      </c>
      <c r="D20" s="125"/>
      <c r="E20" s="71"/>
      <c r="F20" s="71"/>
      <c r="G20" s="72"/>
      <c r="H20" s="10">
        <f t="shared" si="0"/>
        <v>0</v>
      </c>
      <c r="I20" s="10">
        <f t="shared" si="1"/>
        <v>0</v>
      </c>
      <c r="J20" s="90">
        <f t="shared" si="2"/>
        <v>0</v>
      </c>
    </row>
    <row r="21" spans="2:10">
      <c r="B21" s="283"/>
      <c r="C21" s="43" t="s">
        <v>155</v>
      </c>
      <c r="D21" s="125"/>
      <c r="E21" s="71"/>
      <c r="F21" s="71"/>
      <c r="G21" s="72"/>
      <c r="H21" s="10">
        <f t="shared" si="0"/>
        <v>0</v>
      </c>
      <c r="I21" s="10">
        <f t="shared" si="1"/>
        <v>0</v>
      </c>
      <c r="J21" s="90">
        <f t="shared" si="2"/>
        <v>0</v>
      </c>
    </row>
    <row r="22" spans="2:10" ht="25.5">
      <c r="B22" s="283"/>
      <c r="C22" s="43" t="s">
        <v>156</v>
      </c>
      <c r="D22" s="125"/>
      <c r="E22" s="71"/>
      <c r="F22" s="71"/>
      <c r="G22" s="72"/>
      <c r="H22" s="10">
        <f t="shared" si="0"/>
        <v>0</v>
      </c>
      <c r="I22" s="10">
        <f t="shared" si="1"/>
        <v>0</v>
      </c>
      <c r="J22" s="90">
        <f t="shared" si="2"/>
        <v>0</v>
      </c>
    </row>
    <row r="23" spans="2:10">
      <c r="B23" s="283"/>
      <c r="C23" s="34" t="s">
        <v>157</v>
      </c>
      <c r="D23" s="125"/>
      <c r="E23" s="126">
        <f>SUM(E24:E35)</f>
        <v>205056471.24199873</v>
      </c>
      <c r="F23" s="126">
        <f>SUM(F24:F35)</f>
        <v>0</v>
      </c>
      <c r="G23" s="127"/>
      <c r="H23" s="126">
        <f>SUM(H24:H35)</f>
        <v>36060236.536819674</v>
      </c>
      <c r="I23" s="126">
        <f>SUM(I24:I35)</f>
        <v>0</v>
      </c>
      <c r="J23" s="90">
        <f t="shared" si="2"/>
        <v>36060236.536819674</v>
      </c>
    </row>
    <row r="24" spans="2:10">
      <c r="B24" s="325" t="s">
        <v>521</v>
      </c>
      <c r="C24" s="70" t="s">
        <v>483</v>
      </c>
      <c r="D24" s="125"/>
      <c r="E24" s="71">
        <v>190714348.27999875</v>
      </c>
      <c r="F24" s="71"/>
      <c r="G24" s="72">
        <v>0.17585515013697348</v>
      </c>
      <c r="H24" s="10">
        <f t="shared" ref="H24:H35" si="3">E24*G24</f>
        <v>33538100.350054231</v>
      </c>
      <c r="I24" s="10">
        <f t="shared" ref="I24:I35" si="4">F24*G24</f>
        <v>0</v>
      </c>
      <c r="J24" s="90">
        <f t="shared" si="2"/>
        <v>33538100.350054231</v>
      </c>
    </row>
    <row r="25" spans="2:10">
      <c r="B25" s="325" t="s">
        <v>521</v>
      </c>
      <c r="C25" s="314" t="s">
        <v>501</v>
      </c>
      <c r="D25" s="125"/>
      <c r="E25" s="71">
        <v>1942424.69</v>
      </c>
      <c r="F25" s="71"/>
      <c r="G25" s="72">
        <f>G24</f>
        <v>0.17585515013697348</v>
      </c>
      <c r="H25" s="10">
        <f t="shared" si="3"/>
        <v>341585.38548971416</v>
      </c>
      <c r="I25" s="10">
        <f t="shared" si="4"/>
        <v>0</v>
      </c>
      <c r="J25" s="90">
        <f t="shared" si="2"/>
        <v>341585.38548971416</v>
      </c>
    </row>
    <row r="26" spans="2:10">
      <c r="B26" s="325" t="s">
        <v>521</v>
      </c>
      <c r="C26" s="314" t="s">
        <v>498</v>
      </c>
      <c r="D26" s="125"/>
      <c r="E26" s="71">
        <v>12399698.271999989</v>
      </c>
      <c r="F26" s="71"/>
      <c r="G26" s="72">
        <f>G25</f>
        <v>0.17585515013697348</v>
      </c>
      <c r="H26" s="10">
        <f t="shared" si="3"/>
        <v>2180550.8012757287</v>
      </c>
      <c r="I26" s="10">
        <f t="shared" si="4"/>
        <v>0</v>
      </c>
      <c r="J26" s="90">
        <f t="shared" si="2"/>
        <v>2180550.8012757287</v>
      </c>
    </row>
    <row r="27" spans="2:10">
      <c r="B27" s="283"/>
      <c r="C27" s="70"/>
      <c r="D27" s="125"/>
      <c r="E27" s="71"/>
      <c r="F27" s="71"/>
      <c r="G27" s="72"/>
      <c r="H27" s="10">
        <f t="shared" si="3"/>
        <v>0</v>
      </c>
      <c r="I27" s="10">
        <f t="shared" si="4"/>
        <v>0</v>
      </c>
      <c r="J27" s="90">
        <f t="shared" si="2"/>
        <v>0</v>
      </c>
    </row>
    <row r="28" spans="2:10">
      <c r="B28" s="283"/>
      <c r="C28" s="70"/>
      <c r="D28" s="125"/>
      <c r="E28" s="71"/>
      <c r="F28" s="71"/>
      <c r="G28" s="72"/>
      <c r="H28" s="10">
        <f t="shared" si="3"/>
        <v>0</v>
      </c>
      <c r="I28" s="10">
        <f t="shared" si="4"/>
        <v>0</v>
      </c>
      <c r="J28" s="90">
        <f t="shared" si="2"/>
        <v>0</v>
      </c>
    </row>
    <row r="29" spans="2:10">
      <c r="B29" s="283"/>
      <c r="C29" s="70"/>
      <c r="D29" s="125"/>
      <c r="E29" s="71"/>
      <c r="F29" s="71"/>
      <c r="G29" s="72"/>
      <c r="H29" s="10">
        <f t="shared" si="3"/>
        <v>0</v>
      </c>
      <c r="I29" s="10">
        <f t="shared" si="4"/>
        <v>0</v>
      </c>
      <c r="J29" s="90">
        <f t="shared" si="2"/>
        <v>0</v>
      </c>
    </row>
    <row r="30" spans="2:10">
      <c r="B30" s="283"/>
      <c r="C30" s="70"/>
      <c r="D30" s="125"/>
      <c r="E30" s="71"/>
      <c r="F30" s="71"/>
      <c r="G30" s="72"/>
      <c r="H30" s="10">
        <f t="shared" si="3"/>
        <v>0</v>
      </c>
      <c r="I30" s="10">
        <f t="shared" si="4"/>
        <v>0</v>
      </c>
      <c r="J30" s="90">
        <f t="shared" si="2"/>
        <v>0</v>
      </c>
    </row>
    <row r="31" spans="2:10">
      <c r="B31" s="283"/>
      <c r="C31" s="70"/>
      <c r="D31" s="125"/>
      <c r="E31" s="71"/>
      <c r="F31" s="71"/>
      <c r="G31" s="72"/>
      <c r="H31" s="10">
        <f t="shared" si="3"/>
        <v>0</v>
      </c>
      <c r="I31" s="10">
        <f t="shared" si="4"/>
        <v>0</v>
      </c>
      <c r="J31" s="90">
        <f t="shared" si="2"/>
        <v>0</v>
      </c>
    </row>
    <row r="32" spans="2:10">
      <c r="B32" s="283"/>
      <c r="C32" s="70"/>
      <c r="D32" s="125"/>
      <c r="E32" s="71"/>
      <c r="F32" s="71"/>
      <c r="G32" s="72"/>
      <c r="H32" s="10">
        <f t="shared" si="3"/>
        <v>0</v>
      </c>
      <c r="I32" s="10">
        <f t="shared" si="4"/>
        <v>0</v>
      </c>
      <c r="J32" s="90">
        <f t="shared" si="2"/>
        <v>0</v>
      </c>
    </row>
    <row r="33" spans="2:10">
      <c r="B33" s="283"/>
      <c r="C33" s="70"/>
      <c r="D33" s="125"/>
      <c r="E33" s="71"/>
      <c r="F33" s="71"/>
      <c r="G33" s="72"/>
      <c r="H33" s="10">
        <f t="shared" si="3"/>
        <v>0</v>
      </c>
      <c r="I33" s="10">
        <f t="shared" si="4"/>
        <v>0</v>
      </c>
      <c r="J33" s="90">
        <f t="shared" si="2"/>
        <v>0</v>
      </c>
    </row>
    <row r="34" spans="2:10">
      <c r="B34" s="283"/>
      <c r="C34" s="70"/>
      <c r="D34" s="125"/>
      <c r="E34" s="71"/>
      <c r="F34" s="71"/>
      <c r="G34" s="72"/>
      <c r="H34" s="10">
        <f t="shared" si="3"/>
        <v>0</v>
      </c>
      <c r="I34" s="10">
        <f t="shared" si="4"/>
        <v>0</v>
      </c>
      <c r="J34" s="90">
        <f t="shared" si="2"/>
        <v>0</v>
      </c>
    </row>
    <row r="35" spans="2:10">
      <c r="B35" s="283"/>
      <c r="C35" s="70"/>
      <c r="D35" s="125"/>
      <c r="E35" s="71"/>
      <c r="F35" s="71"/>
      <c r="G35" s="72"/>
      <c r="H35" s="10">
        <f t="shared" si="3"/>
        <v>0</v>
      </c>
      <c r="I35" s="10">
        <f t="shared" si="4"/>
        <v>0</v>
      </c>
      <c r="J35" s="90">
        <f t="shared" si="2"/>
        <v>0</v>
      </c>
    </row>
    <row r="36" spans="2:10">
      <c r="B36" s="284"/>
      <c r="C36" s="410" t="s">
        <v>181</v>
      </c>
      <c r="D36" s="411"/>
      <c r="E36" s="10">
        <f>SUM(E15:E23)</f>
        <v>260334502.24199873</v>
      </c>
      <c r="F36" s="10">
        <f>SUM(F15:F23)</f>
        <v>0</v>
      </c>
      <c r="G36" s="128"/>
      <c r="H36" s="10">
        <f>SUM(H15:H23)</f>
        <v>45781162.977600925</v>
      </c>
      <c r="I36" s="10">
        <f>SUM(I15:I23)</f>
        <v>0</v>
      </c>
      <c r="J36" s="90">
        <f>SUM(J15:J23)</f>
        <v>45781162.977600925</v>
      </c>
    </row>
  </sheetData>
  <sheetProtection sheet="1" objects="1" scenarios="1"/>
  <mergeCells count="2">
    <mergeCell ref="B6:D8"/>
    <mergeCell ref="C36:D36"/>
  </mergeCells>
  <phoneticPr fontId="32"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28515625" defaultRowHeight="12.75"/>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c r="B1" s="135" t="s">
        <v>53</v>
      </c>
      <c r="C1" s="135"/>
    </row>
    <row r="2" spans="2:6" ht="20.25">
      <c r="B2" s="135" t="str">
        <f>IF(Tradingname=0," ",Tradingname)</f>
        <v>APA (SWQP) PTY LIMITED</v>
      </c>
      <c r="C2" s="135"/>
      <c r="E2" s="261"/>
    </row>
    <row r="3" spans="2:6" ht="20.25">
      <c r="B3" s="135" t="s">
        <v>30</v>
      </c>
      <c r="C3" s="99">
        <f>IF(Yearending=0, "01/01/2000", Yearending)</f>
        <v>45838</v>
      </c>
    </row>
    <row r="4" spans="2:6" ht="45" customHeight="1">
      <c r="B4" s="413" t="s">
        <v>199</v>
      </c>
      <c r="C4" s="413"/>
      <c r="D4" s="244"/>
    </row>
    <row r="5" spans="2:6">
      <c r="D5" s="262"/>
    </row>
    <row r="6" spans="2:6" ht="12.75" customHeight="1">
      <c r="B6" s="409" t="s">
        <v>200</v>
      </c>
      <c r="C6" s="409"/>
      <c r="D6" s="409"/>
      <c r="E6" s="409"/>
      <c r="F6" s="409"/>
    </row>
    <row r="7" spans="2:6" ht="12.75" customHeight="1">
      <c r="B7" s="409"/>
      <c r="C7" s="409"/>
      <c r="D7" s="409"/>
      <c r="E7" s="409"/>
      <c r="F7" s="409"/>
    </row>
    <row r="8" spans="2:6" ht="12.75" customHeight="1">
      <c r="B8" s="409"/>
      <c r="C8" s="409"/>
      <c r="D8" s="409"/>
      <c r="E8" s="409"/>
      <c r="F8" s="409"/>
    </row>
    <row r="9" spans="2:6" ht="12.75" customHeight="1">
      <c r="B9" s="409"/>
      <c r="C9" s="409"/>
      <c r="D9" s="409"/>
      <c r="E9" s="409"/>
      <c r="F9" s="409"/>
    </row>
    <row r="10" spans="2:6" ht="12.75" customHeight="1">
      <c r="B10" s="409"/>
      <c r="C10" s="409"/>
      <c r="D10" s="409"/>
      <c r="E10" s="409"/>
      <c r="F10" s="409"/>
    </row>
    <row r="11" spans="2:6">
      <c r="D11" s="262"/>
    </row>
    <row r="12" spans="2:6">
      <c r="D12" s="262"/>
    </row>
    <row r="13" spans="2:6" ht="15.75">
      <c r="B13" s="412" t="s">
        <v>201</v>
      </c>
      <c r="C13" s="412"/>
      <c r="D13" s="262"/>
    </row>
    <row r="15" spans="2:6" ht="25.5">
      <c r="B15" s="44" t="s">
        <v>113</v>
      </c>
      <c r="C15" s="45" t="s">
        <v>114</v>
      </c>
      <c r="D15" s="45" t="s">
        <v>162</v>
      </c>
      <c r="E15" s="302" t="s">
        <v>124</v>
      </c>
    </row>
    <row r="16" spans="2:6">
      <c r="B16" s="44"/>
      <c r="C16" s="46" t="s">
        <v>202</v>
      </c>
      <c r="D16" s="302"/>
      <c r="E16" s="302"/>
    </row>
    <row r="17" spans="2:7">
      <c r="B17" s="285"/>
      <c r="C17" s="48" t="s">
        <v>203</v>
      </c>
      <c r="D17" s="45"/>
      <c r="E17" s="302"/>
    </row>
    <row r="18" spans="2:7">
      <c r="B18" s="321" t="s">
        <v>512</v>
      </c>
      <c r="C18" s="47" t="s">
        <v>204</v>
      </c>
      <c r="D18" s="129">
        <f>IF(Cover!C23="Scheme pipeline","-",SUMIF('3.5 Depreciation amortisation'!$D$15:$D$58,'3.1 Depreciated Book Value'!C17,'3.5 Depreciation amortisation'!$H$15:$H$58))</f>
        <v>1321750507.04</v>
      </c>
      <c r="E18" s="66">
        <v>1311600174.5999999</v>
      </c>
    </row>
    <row r="19" spans="2:7">
      <c r="B19" s="321" t="s">
        <v>512</v>
      </c>
      <c r="C19" s="47" t="s">
        <v>205</v>
      </c>
      <c r="D19" s="129">
        <f>IF(Cover!C23="Scheme pipeline","-",SUMIF('3.5 Depreciation amortisation'!$D$15:$D$58,'3.1 Depreciated Book Value'!C17,'3.5 Depreciation amortisation'!$I$15:$I$58))</f>
        <v>963368.58999999962</v>
      </c>
      <c r="E19" s="66">
        <v>10150332.439999999</v>
      </c>
    </row>
    <row r="20" spans="2:7">
      <c r="B20" s="321" t="s">
        <v>512</v>
      </c>
      <c r="C20" s="47" t="s">
        <v>206</v>
      </c>
      <c r="D20" s="129">
        <f>IF(Cover!C23="Scheme pipeline","-",SUMIF('3.5 Depreciation amortisation'!$D$15:$D$58,'3.1 Depreciated Book Value'!C17,'3.5 Depreciation amortisation'!$J$15:$J$58))</f>
        <v>0</v>
      </c>
      <c r="E20" s="66">
        <v>0</v>
      </c>
    </row>
    <row r="21" spans="2:7">
      <c r="B21" s="326"/>
      <c r="C21" s="84" t="s">
        <v>207</v>
      </c>
      <c r="D21" s="129">
        <f>IF(Cover!C23="Scheme pipeline","-",SUM(D18:D20))</f>
        <v>1322713875.6299999</v>
      </c>
      <c r="E21" s="129">
        <f>SUM(E18:E20)</f>
        <v>1321750507.04</v>
      </c>
    </row>
    <row r="22" spans="2:7">
      <c r="B22" s="321" t="s">
        <v>512</v>
      </c>
      <c r="C22" s="47" t="s">
        <v>208</v>
      </c>
      <c r="D22" s="129">
        <f>IF(Cover!C23="Scheme pipeline","-",-ABS(SUMIF('3.5 Depreciation amortisation'!$D$15:$D$58,'3.1 Depreciated Book Value'!C17,'3.5 Depreciation amortisation'!$O$15:$O$58)+SUMIF('3.5 Depreciation amortisation'!$D$15:$D$58,'3.1 Depreciated Book Value'!C17,'3.5 Depreciation amortisation'!$P$15:$P$58))-D23)</f>
        <v>-249716603.78999898</v>
      </c>
      <c r="E22" s="66">
        <v>-218255570.63999897</v>
      </c>
    </row>
    <row r="23" spans="2:7">
      <c r="B23" s="321" t="s">
        <v>512</v>
      </c>
      <c r="C23" s="47" t="s">
        <v>209</v>
      </c>
      <c r="D23" s="129">
        <f>IF(Cover!C23="Scheme pipeline","-",-ABS(SUMIF('3.4 Asset impairment'!$C$10:$C$24,'3.1 Depreciated Book Value'!C17,'3.4 Asset impairment'!$D$10:$D$24))+SUMIF('3.4 Asset impairment'!$C$30:$C$56,'3.1 Depreciated Book Value'!C17,'3.4 Asset impairment'!$G$30:$G$56))</f>
        <v>0</v>
      </c>
      <c r="E23" s="66">
        <v>0</v>
      </c>
    </row>
    <row r="24" spans="2:7">
      <c r="B24" s="321" t="s">
        <v>512</v>
      </c>
      <c r="C24" s="47" t="s">
        <v>210</v>
      </c>
      <c r="D24" s="129">
        <f>IF(Cover!C23="Scheme pipeline","-",SUMIF('3.5 Depreciation amortisation'!$D$15:$D$58,'3.1 Depreciated Book Value'!C17,'3.5 Depreciation amortisation'!$K$15:$K$58))</f>
        <v>0</v>
      </c>
      <c r="E24" s="66">
        <v>0</v>
      </c>
      <c r="F24" s="242"/>
    </row>
    <row r="25" spans="2:7">
      <c r="B25" s="326"/>
      <c r="C25" s="84" t="s">
        <v>211</v>
      </c>
      <c r="D25" s="129">
        <f>IF(Cover!C23="Scheme pipeline","-",SUM(D21:D24))</f>
        <v>1072997271.8400009</v>
      </c>
      <c r="E25" s="129">
        <f>SUM(E21:E24)</f>
        <v>1103494936.400001</v>
      </c>
    </row>
    <row r="26" spans="2:7">
      <c r="B26" s="326"/>
      <c r="C26" s="48" t="s">
        <v>212</v>
      </c>
      <c r="D26" s="130"/>
      <c r="E26" s="130"/>
      <c r="G26" s="160"/>
    </row>
    <row r="27" spans="2:7">
      <c r="B27" s="321" t="s">
        <v>512</v>
      </c>
      <c r="C27" s="47" t="s">
        <v>204</v>
      </c>
      <c r="D27" s="129">
        <f>IF(Cover!C23="Scheme pipeline","-",SUMIF('3.5 Depreciation amortisation'!$D$15:$D$58,'3.1 Depreciated Book Value'!C26,'3.5 Depreciation amortisation'!$H$15:$H$58))</f>
        <v>632924944.54999912</v>
      </c>
      <c r="E27" s="66">
        <v>545070205.23000014</v>
      </c>
      <c r="G27" s="160"/>
    </row>
    <row r="28" spans="2:7">
      <c r="B28" s="321" t="s">
        <v>512</v>
      </c>
      <c r="C28" s="47" t="s">
        <v>205</v>
      </c>
      <c r="D28" s="129">
        <f>IF(Cover!C23="Scheme pipeline","-",SUMIF('3.5 Depreciation amortisation'!$D$15:$D$58,'3.1 Depreciated Book Value'!C26,'3.5 Depreciation amortisation'!$I$15:$I$58))</f>
        <v>-439406.12999991048</v>
      </c>
      <c r="E28" s="66">
        <v>87854739.319999009</v>
      </c>
      <c r="G28" s="160"/>
    </row>
    <row r="29" spans="2:7">
      <c r="B29" s="321" t="s">
        <v>512</v>
      </c>
      <c r="C29" s="47" t="s">
        <v>206</v>
      </c>
      <c r="D29" s="129">
        <f>IF(Cover!C23="Scheme pipeline","-",SUMIF('3.5 Depreciation amortisation'!$D$15:$D$58,'3.1 Depreciated Book Value'!C26,'3.5 Depreciation amortisation'!$J$15:$J$58))</f>
        <v>0</v>
      </c>
      <c r="E29" s="66">
        <v>0</v>
      </c>
      <c r="G29" s="160"/>
    </row>
    <row r="30" spans="2:7">
      <c r="B30" s="321" t="s">
        <v>512</v>
      </c>
      <c r="C30" s="47" t="s">
        <v>208</v>
      </c>
      <c r="D30" s="129">
        <f>IF(Cover!C23="Scheme pipeline","-",-ABS(SUMIF('3.5 Depreciation amortisation'!$D$15:$D$58,'3.1 Depreciated Book Value'!C26,'3.5 Depreciation amortisation'!$O$15:$O$58)+SUMIF('3.5 Depreciation amortisation'!$D$15:$D$58,'3.1 Depreciated Book Value'!C26,'3.5 Depreciation amortisation'!$P$15:$P$58))-D31)</f>
        <v>-231796002.97</v>
      </c>
      <c r="E30" s="66">
        <v>-205222653.97</v>
      </c>
      <c r="F30" s="242"/>
      <c r="G30" s="160"/>
    </row>
    <row r="31" spans="2:7">
      <c r="B31" s="321" t="s">
        <v>512</v>
      </c>
      <c r="C31" s="47" t="s">
        <v>209</v>
      </c>
      <c r="D31" s="129">
        <f>IF(Cover!C23="Scheme pipeline","-",-ABS(SUMIF('3.4 Asset impairment'!$C$10:$C$24,'3.1 Depreciated Book Value'!C26,'3.4 Asset impairment'!$D$10:$D$24))+SUMIF('3.4 Asset impairment'!$C$30:$C$56,C26,'3.4 Asset impairment'!$G$30:$G$56))</f>
        <v>0</v>
      </c>
      <c r="E31" s="66">
        <v>0</v>
      </c>
      <c r="F31" s="242"/>
      <c r="G31" s="160"/>
    </row>
    <row r="32" spans="2:7" ht="11.25" customHeight="1">
      <c r="B32" s="321" t="s">
        <v>512</v>
      </c>
      <c r="C32" s="47" t="s">
        <v>210</v>
      </c>
      <c r="D32" s="129">
        <f>IF(Cover!C23="Scheme pipeline","-",SUMIF('3.5 Depreciation amortisation'!$D$15:$D$58,'3.1 Depreciated Book Value'!C26,'3.5 Depreciation amortisation'!$K$15:$K$58))</f>
        <v>0</v>
      </c>
      <c r="E32" s="66">
        <v>0</v>
      </c>
      <c r="G32" s="160"/>
    </row>
    <row r="33" spans="2:7">
      <c r="B33" s="326"/>
      <c r="C33" s="84" t="s">
        <v>213</v>
      </c>
      <c r="D33" s="129">
        <f>IF(Cover!C23="Scheme pipeline","-",SUM(D27:D32))</f>
        <v>400689535.44999921</v>
      </c>
      <c r="E33" s="129">
        <f>SUM(E27:E32)</f>
        <v>427702290.57999909</v>
      </c>
      <c r="G33" s="160"/>
    </row>
    <row r="34" spans="2:7">
      <c r="B34" s="326"/>
      <c r="C34" s="48" t="s">
        <v>214</v>
      </c>
      <c r="D34" s="130"/>
      <c r="E34" s="130"/>
      <c r="G34" s="159"/>
    </row>
    <row r="35" spans="2:7">
      <c r="B35" s="321" t="s">
        <v>512</v>
      </c>
      <c r="C35" s="47" t="s">
        <v>204</v>
      </c>
      <c r="D35" s="129">
        <f>IF(Cover!C23="Scheme pipeline","-",SUMIF('3.5 Depreciation amortisation'!$D$15:$D$58,'3.1 Depreciated Book Value'!C34,'3.5 Depreciation amortisation'!$H$15:$H$58))</f>
        <v>7666930.8199999891</v>
      </c>
      <c r="E35" s="66">
        <v>6439244.3399999896</v>
      </c>
    </row>
    <row r="36" spans="2:7">
      <c r="B36" s="321" t="s">
        <v>512</v>
      </c>
      <c r="C36" s="47" t="s">
        <v>205</v>
      </c>
      <c r="D36" s="129">
        <f>IF(Cover!C23="Scheme pipeline","-",SUMIF('3.5 Depreciation amortisation'!$D$15:$D$58,'3.1 Depreciated Book Value'!C34,'3.5 Depreciation amortisation'!$I$15:$I$58))</f>
        <v>-2251843.15</v>
      </c>
      <c r="E36" s="66">
        <v>1227686.4799999995</v>
      </c>
    </row>
    <row r="37" spans="2:7">
      <c r="B37" s="321" t="s">
        <v>512</v>
      </c>
      <c r="C37" s="47" t="s">
        <v>206</v>
      </c>
      <c r="D37" s="129">
        <f>IF(Cover!C23="Scheme pipeline","-",SUMIF('3.5 Depreciation amortisation'!$D$15:$D$58,'3.1 Depreciated Book Value'!C34,'3.5 Depreciation amortisation'!$J$15:$J$58))</f>
        <v>0</v>
      </c>
      <c r="E37" s="66">
        <v>0</v>
      </c>
    </row>
    <row r="38" spans="2:7">
      <c r="B38" s="321" t="s">
        <v>512</v>
      </c>
      <c r="C38" s="47" t="s">
        <v>208</v>
      </c>
      <c r="D38" s="129">
        <f>IF(Cover!C23="Scheme pipeline","-",-ABS(SUMIF('3.5 Depreciation amortisation'!$D$15:$D$58,'3.1 Depreciated Book Value'!C34,'3.5 Depreciation amortisation'!$O$15:$O$58)+SUMIF('3.5 Depreciation amortisation'!$D$15:$D$58,'3.1 Depreciated Book Value'!C34,'3.5 Depreciation amortisation'!$P$15:$P$58))-D39)</f>
        <v>-2167293.0299999998</v>
      </c>
      <c r="E38" s="66">
        <v>-2077778.0299999998</v>
      </c>
      <c r="F38" s="242"/>
    </row>
    <row r="39" spans="2:7">
      <c r="B39" s="321" t="s">
        <v>512</v>
      </c>
      <c r="C39" s="47" t="s">
        <v>209</v>
      </c>
      <c r="D39" s="129">
        <f>IF(Cover!C23="Scheme pipeline","-",-ABS(SUMIF('3.4 Asset impairment'!$C$10:$C$24,'3.1 Depreciated Book Value'!C34,'3.4 Asset impairment'!$D$10:$D$24))+SUMIF('3.4 Asset impairment'!$C$30:$C$56,'3.1 Depreciated Book Value'!C34,'3.4 Asset impairment'!$G$30:$G$56))</f>
        <v>0</v>
      </c>
      <c r="E39" s="66">
        <v>0</v>
      </c>
      <c r="F39" s="242"/>
    </row>
    <row r="40" spans="2:7" ht="11.25" customHeight="1">
      <c r="B40" s="321" t="s">
        <v>512</v>
      </c>
      <c r="C40" s="47" t="s">
        <v>210</v>
      </c>
      <c r="D40" s="129">
        <f>IF(Cover!C23="Scheme pipeline","-",SUMIF('3.5 Depreciation amortisation'!$D$15:$D$58,'3.1 Depreciated Book Value'!C34,'3.5 Depreciation amortisation'!$K$15:$K$58))</f>
        <v>0</v>
      </c>
      <c r="E40" s="66">
        <v>0</v>
      </c>
    </row>
    <row r="41" spans="2:7">
      <c r="B41" s="326"/>
      <c r="C41" s="84" t="s">
        <v>215</v>
      </c>
      <c r="D41" s="129">
        <f>SUM(D35:D40)</f>
        <v>3247794.639999989</v>
      </c>
      <c r="E41" s="129">
        <f>SUM(E35:E40)</f>
        <v>5589152.7899999898</v>
      </c>
    </row>
    <row r="42" spans="2:7">
      <c r="B42" s="326"/>
      <c r="C42" s="48" t="s">
        <v>216</v>
      </c>
      <c r="D42" s="130"/>
      <c r="E42" s="130"/>
    </row>
    <row r="43" spans="2:7">
      <c r="B43" s="321" t="s">
        <v>512</v>
      </c>
      <c r="C43" s="47" t="s">
        <v>204</v>
      </c>
      <c r="D43" s="129">
        <f>IF(Cover!C23="Scheme pipeline","-",SUMIF('3.5 Depreciation amortisation'!$D$15:$D$58,'3.1 Depreciated Book Value'!C42,'3.5 Depreciation amortisation'!$H$15:$H$58))</f>
        <v>5468251.1199999899</v>
      </c>
      <c r="E43" s="66">
        <v>3626721.3599999901</v>
      </c>
    </row>
    <row r="44" spans="2:7">
      <c r="B44" s="321" t="s">
        <v>512</v>
      </c>
      <c r="C44" s="47" t="s">
        <v>217</v>
      </c>
      <c r="D44" s="129">
        <f>IF(Cover!C23="Scheme pipeline","-",SUMIF('3.5 Depreciation amortisation'!$D$15:$D$58,'3.1 Depreciated Book Value'!C42,'3.5 Depreciation amortisation'!$I$15:$I$58))</f>
        <v>1.1641532182693481E-10</v>
      </c>
      <c r="E44" s="66">
        <v>1841529.7599999998</v>
      </c>
    </row>
    <row r="45" spans="2:7">
      <c r="B45" s="321" t="s">
        <v>512</v>
      </c>
      <c r="C45" s="47" t="s">
        <v>206</v>
      </c>
      <c r="D45" s="129">
        <f>IF(Cover!C23="Scheme pipeline","-",SUMIF('3.5 Depreciation amortisation'!$D$15:$D$58,'3.1 Depreciated Book Value'!C42,'3.5 Depreciation amortisation'!$J$15:$J$58))</f>
        <v>0</v>
      </c>
      <c r="E45" s="66">
        <v>0</v>
      </c>
    </row>
    <row r="46" spans="2:7">
      <c r="B46" s="321" t="s">
        <v>512</v>
      </c>
      <c r="C46" s="47" t="s">
        <v>208</v>
      </c>
      <c r="D46" s="129">
        <f>IF(Cover!C23="Scheme pipeline","-",-ABS(SUMIF('3.5 Depreciation amortisation'!$D$15:$D$58,'3.1 Depreciated Book Value'!C42,'3.5 Depreciation amortisation'!$O$15:$O$58)+SUMIF('3.5 Depreciation amortisation'!$D$15:$D$58,'3.1 Depreciated Book Value'!C42,'3.5 Depreciation amortisation'!$P$15:$P$58))-D47)</f>
        <v>-3345281.66</v>
      </c>
      <c r="E46" s="66">
        <v>-3000993.66</v>
      </c>
      <c r="F46" s="242"/>
    </row>
    <row r="47" spans="2:7">
      <c r="B47" s="321" t="s">
        <v>512</v>
      </c>
      <c r="C47" s="47" t="s">
        <v>209</v>
      </c>
      <c r="D47" s="129">
        <f>IF(Cover!C23="Scheme pipeline","-",-ABS(SUMIF('3.4 Asset impairment'!$C$10:$C$24,'3.1 Depreciated Book Value'!C42,'3.4 Asset impairment'!$D$10:$D$24))+SUMIF('3.4 Asset impairment'!$C$30:$C$56,'3.1 Depreciated Book Value'!C42,'3.4 Asset impairment'!$G$30:$G$56))</f>
        <v>0</v>
      </c>
      <c r="E47" s="66">
        <v>0</v>
      </c>
      <c r="F47" s="242"/>
    </row>
    <row r="48" spans="2:7" ht="11.25" customHeight="1">
      <c r="B48" s="321" t="s">
        <v>512</v>
      </c>
      <c r="C48" s="47" t="s">
        <v>210</v>
      </c>
      <c r="D48" s="129">
        <f>IF(Cover!C23="Scheme pipeline","-",SUMIF('3.5 Depreciation amortisation'!$D$15:$D$58,'3.1 Depreciated Book Value'!C42,'3.5 Depreciation amortisation'!$K$15:$K$58))</f>
        <v>0</v>
      </c>
      <c r="E48" s="66">
        <v>0</v>
      </c>
    </row>
    <row r="49" spans="2:6">
      <c r="B49" s="326"/>
      <c r="C49" s="84" t="s">
        <v>218</v>
      </c>
      <c r="D49" s="129">
        <f>SUM(D43:D48)</f>
        <v>2122969.4599999897</v>
      </c>
      <c r="E49" s="129">
        <f>SUM(E43:E48)</f>
        <v>2467257.4599999897</v>
      </c>
    </row>
    <row r="50" spans="2:6">
      <c r="B50" s="326"/>
      <c r="C50" s="48" t="s">
        <v>219</v>
      </c>
      <c r="D50" s="130"/>
      <c r="E50" s="130"/>
    </row>
    <row r="51" spans="2:6">
      <c r="B51" s="321" t="s">
        <v>512</v>
      </c>
      <c r="C51" s="47" t="s">
        <v>204</v>
      </c>
      <c r="D51" s="129">
        <f>IF(Cover!C23="Scheme pipeline","-",SUMIF('3.5 Depreciation amortisation'!$D$15:$D$58,'3.1 Depreciated Book Value'!C50,'3.5 Depreciation amortisation'!$H$15:$H$58))</f>
        <v>0</v>
      </c>
      <c r="E51" s="66">
        <v>0</v>
      </c>
    </row>
    <row r="52" spans="2:6">
      <c r="B52" s="321" t="s">
        <v>512</v>
      </c>
      <c r="C52" s="47" t="s">
        <v>205</v>
      </c>
      <c r="D52" s="129">
        <f>IF(Cover!C23="Scheme pipeline","-",SUMIF('3.5 Depreciation amortisation'!$D$15:$D$58,'3.1 Depreciated Book Value'!C50,'3.5 Depreciation amortisation'!$I$15:$I$58))</f>
        <v>0</v>
      </c>
      <c r="E52" s="66">
        <v>0</v>
      </c>
    </row>
    <row r="53" spans="2:6">
      <c r="B53" s="321" t="s">
        <v>512</v>
      </c>
      <c r="C53" s="47" t="s">
        <v>206</v>
      </c>
      <c r="D53" s="129">
        <f>IF(Cover!C23="Scheme pipeline","-",SUMIF('3.5 Depreciation amortisation'!$D$15:$D$58,'3.1 Depreciated Book Value'!C50,'3.5 Depreciation amortisation'!$J$15:$J$58))</f>
        <v>0</v>
      </c>
      <c r="E53" s="66">
        <v>0</v>
      </c>
    </row>
    <row r="54" spans="2:6">
      <c r="B54" s="321" t="s">
        <v>512</v>
      </c>
      <c r="C54" s="47" t="s">
        <v>208</v>
      </c>
      <c r="D54" s="129">
        <f>IF(Cover!C23="Scheme pipeline","-",-ABS(SUMIF('3.5 Depreciation amortisation'!$D$15:$D$58,'3.1 Depreciated Book Value'!C50,'3.5 Depreciation amortisation'!$O$15:$O$58)+SUMIF('3.5 Depreciation amortisation'!$D$15:$D$58,'3.1 Depreciated Book Value'!C50,'3.5 Depreciation amortisation'!$P$15:$P$58))-D55)</f>
        <v>0</v>
      </c>
      <c r="E54" s="66">
        <v>0</v>
      </c>
      <c r="F54" s="242"/>
    </row>
    <row r="55" spans="2:6">
      <c r="B55" s="321" t="s">
        <v>512</v>
      </c>
      <c r="C55" s="47" t="s">
        <v>209</v>
      </c>
      <c r="D55" s="129">
        <f>IF(Cover!C23="Scheme pipeline","-",-ABS(SUMIF('3.4 Asset impairment'!$C$10:$C$24,'3.1 Depreciated Book Value'!C50,'3.4 Asset impairment'!$D$10:$D$24))+SUMIF('3.4 Asset impairment'!$C$30:$C$56,'3.1 Depreciated Book Value'!C50,'3.4 Asset impairment'!$G$30:$G$56))</f>
        <v>0</v>
      </c>
      <c r="E55" s="66">
        <v>0</v>
      </c>
      <c r="F55" s="242"/>
    </row>
    <row r="56" spans="2:6" ht="11.25" customHeight="1">
      <c r="B56" s="321" t="s">
        <v>512</v>
      </c>
      <c r="C56" s="47" t="s">
        <v>210</v>
      </c>
      <c r="D56" s="129">
        <f>IF(Cover!C23="Scheme pipeline","-",SUMIF('3.5 Depreciation amortisation'!$D$15:$D$58,'3.1 Depreciated Book Value'!C50,'3.5 Depreciation amortisation'!$K$15:$K$58))</f>
        <v>0</v>
      </c>
      <c r="E56" s="66">
        <v>0</v>
      </c>
    </row>
    <row r="57" spans="2:6">
      <c r="B57" s="326"/>
      <c r="C57" s="84" t="s">
        <v>220</v>
      </c>
      <c r="D57" s="129">
        <f>SUM(D51:D56)</f>
        <v>0</v>
      </c>
      <c r="E57" s="129">
        <f>SUM(E51:E56)</f>
        <v>0</v>
      </c>
    </row>
    <row r="58" spans="2:6">
      <c r="B58" s="326"/>
      <c r="C58" s="48" t="s">
        <v>221</v>
      </c>
      <c r="D58" s="130"/>
      <c r="E58" s="130"/>
    </row>
    <row r="59" spans="2:6">
      <c r="B59" s="321" t="s">
        <v>512</v>
      </c>
      <c r="C59" s="47" t="s">
        <v>204</v>
      </c>
      <c r="D59" s="129">
        <f>IF(Cover!C23="Scheme pipeline","-",SUMIF('3.5 Depreciation amortisation'!$D$15:$D$58,'3.1 Depreciated Book Value'!C58,'3.5 Depreciation amortisation'!$H$15:$H$58))</f>
        <v>7002156.0899999999</v>
      </c>
      <c r="E59" s="66">
        <v>6947652.4199999999</v>
      </c>
    </row>
    <row r="60" spans="2:6">
      <c r="B60" s="321" t="s">
        <v>512</v>
      </c>
      <c r="C60" s="47" t="s">
        <v>205</v>
      </c>
      <c r="D60" s="129">
        <f>IF(Cover!C23="Scheme pipeline","-",SUMIF('3.5 Depreciation amortisation'!$D$15:$D$58,'3.1 Depreciated Book Value'!C58,'3.5 Depreciation amortisation'!$I$15:$I$58))</f>
        <v>576539.04</v>
      </c>
      <c r="E60" s="66">
        <v>54503.670000000013</v>
      </c>
    </row>
    <row r="61" spans="2:6">
      <c r="B61" s="321" t="s">
        <v>512</v>
      </c>
      <c r="C61" s="47" t="s">
        <v>206</v>
      </c>
      <c r="D61" s="129">
        <f>IF(Cover!C23="Scheme pipeline","-",SUMIF('3.5 Depreciation amortisation'!$D$15:$D$58,'3.1 Depreciated Book Value'!C58,'3.5 Depreciation amortisation'!$J$15:$J$58))</f>
        <v>0</v>
      </c>
      <c r="E61" s="66">
        <v>0</v>
      </c>
    </row>
    <row r="62" spans="2:6" ht="11.25" customHeight="1">
      <c r="B62" s="321" t="s">
        <v>512</v>
      </c>
      <c r="C62" s="47" t="s">
        <v>208</v>
      </c>
      <c r="D62" s="129">
        <f>IF(Cover!C23="Scheme pipeline","-",-ABS(SUMIF('3.5 Depreciation amortisation'!$D$15:$D$58,'3.1 Depreciated Book Value'!C58,'3.5 Depreciation amortisation'!$O$15:$O$58)+SUMIF('3.5 Depreciation amortisation'!$D$15:$D$58,'3.1 Depreciated Book Value'!C58,'3.5 Depreciation amortisation'!$P$15:$P$58))-D63)</f>
        <v>-5073647.73999999</v>
      </c>
      <c r="E62" s="66">
        <v>-4469253.73999999</v>
      </c>
      <c r="F62" s="242"/>
    </row>
    <row r="63" spans="2:6" ht="11.25" customHeight="1">
      <c r="B63" s="321" t="s">
        <v>512</v>
      </c>
      <c r="C63" s="47" t="s">
        <v>209</v>
      </c>
      <c r="D63" s="129">
        <f>IF(Cover!C23="Scheme pipeline","-",-ABS(SUMIF('3.4 Asset impairment'!$C$10:$C$24,'3.1 Depreciated Book Value'!C58,'3.4 Asset impairment'!$D$10:$D$24))+SUMIF('3.4 Asset impairment'!$C$30:$C$56,'3.1 Depreciated Book Value'!C58,'3.4 Asset impairment'!$G$30:$G$56))</f>
        <v>0</v>
      </c>
      <c r="E63" s="66">
        <v>0</v>
      </c>
      <c r="F63" s="242"/>
    </row>
    <row r="64" spans="2:6" ht="11.25" customHeight="1">
      <c r="B64" s="321" t="s">
        <v>512</v>
      </c>
      <c r="C64" s="47" t="s">
        <v>210</v>
      </c>
      <c r="D64" s="129">
        <f>IF(Cover!C23="Scheme pipeline","-",SUMIF('3.5 Depreciation amortisation'!$D$15:$D$58,'3.1 Depreciated Book Value'!C58,'3.5 Depreciation amortisation'!$K$15:$K$58))</f>
        <v>0</v>
      </c>
      <c r="E64" s="66">
        <v>0</v>
      </c>
    </row>
    <row r="65" spans="2:6">
      <c r="B65" s="326"/>
      <c r="C65" s="84" t="s">
        <v>222</v>
      </c>
      <c r="D65" s="129">
        <f>SUM(D59:D64)</f>
        <v>2505047.3900000099</v>
      </c>
      <c r="E65" s="129">
        <f>SUM(E59:E64)</f>
        <v>2532902.3500000099</v>
      </c>
    </row>
    <row r="66" spans="2:6">
      <c r="B66" s="326"/>
      <c r="C66" s="48" t="s">
        <v>223</v>
      </c>
      <c r="D66" s="130"/>
      <c r="E66" s="130"/>
    </row>
    <row r="67" spans="2:6">
      <c r="B67" s="321" t="s">
        <v>512</v>
      </c>
      <c r="C67" s="47" t="s">
        <v>204</v>
      </c>
      <c r="D67" s="129">
        <f>IF(Cover!C23="Scheme pipeline","-",SUMIF('3.5 Depreciation amortisation'!$D$15:$D$58,'3.1 Depreciated Book Value'!C66,'3.5 Depreciation amortisation'!$H$15:$H$58))</f>
        <v>2084651.3599999901</v>
      </c>
      <c r="E67" s="66">
        <v>2071899.48999999</v>
      </c>
    </row>
    <row r="68" spans="2:6">
      <c r="B68" s="321" t="s">
        <v>512</v>
      </c>
      <c r="C68" s="47" t="s">
        <v>205</v>
      </c>
      <c r="D68" s="129">
        <f>IF(Cover!C23="Scheme pipeline","-",SUMIF('3.5 Depreciation amortisation'!$D$15:$D$58,'3.1 Depreciated Book Value'!C66,'3.5 Depreciation amortisation'!$I$15:$I$58))</f>
        <v>517218</v>
      </c>
      <c r="E68" s="66">
        <v>12751.869999999999</v>
      </c>
    </row>
    <row r="69" spans="2:6">
      <c r="B69" s="321" t="s">
        <v>512</v>
      </c>
      <c r="C69" s="47" t="s">
        <v>206</v>
      </c>
      <c r="D69" s="129">
        <f>IF(Cover!C23="Scheme pipeline","-",SUMIF('3.5 Depreciation amortisation'!$D$15:$D$58,'3.1 Depreciated Book Value'!C66,'3.5 Depreciation amortisation'!$J$15:$J$58))</f>
        <v>0</v>
      </c>
      <c r="E69" s="66">
        <v>0</v>
      </c>
    </row>
    <row r="70" spans="2:6">
      <c r="B70" s="321" t="s">
        <v>512</v>
      </c>
      <c r="C70" s="47" t="s">
        <v>208</v>
      </c>
      <c r="D70" s="129">
        <f>IF(Cover!C23="Scheme pipeline","-",-ABS(SUMIF('3.5 Depreciation amortisation'!$D$15:$D$58,'3.1 Depreciated Book Value'!C66,'3.5 Depreciation amortisation'!$O$15:$O$58)+SUMIF('3.5 Depreciation amortisation'!$D$15:$D$58,'3.1 Depreciated Book Value'!C66,'3.5 Depreciation amortisation'!$P$15:$P$58))-D71)</f>
        <v>-1200727.03</v>
      </c>
      <c r="E70" s="66">
        <v>-1122159.03</v>
      </c>
      <c r="F70" s="242"/>
    </row>
    <row r="71" spans="2:6">
      <c r="B71" s="321" t="s">
        <v>512</v>
      </c>
      <c r="C71" s="47" t="s">
        <v>209</v>
      </c>
      <c r="D71" s="129">
        <f>IF(Cover!C23="Scheme pipeline","-",-ABS(SUMIF('3.4 Asset impairment'!$C$10:$C$24,'3.1 Depreciated Book Value'!C66,'3.4 Asset impairment'!$D$10:$D$24))+SUMIF('3.4 Asset impairment'!$C$30:$C$56,'3.1 Depreciated Book Value'!C66,'3.4 Asset impairment'!$G$30:$G$56))</f>
        <v>0</v>
      </c>
      <c r="E71" s="66">
        <v>0</v>
      </c>
      <c r="F71" s="242"/>
    </row>
    <row r="72" spans="2:6" ht="11.25" customHeight="1">
      <c r="B72" s="321" t="s">
        <v>512</v>
      </c>
      <c r="C72" s="47" t="s">
        <v>210</v>
      </c>
      <c r="D72" s="129">
        <f>IF(Cover!C23="Scheme pipeline","-",SUMIF('3.5 Depreciation amortisation'!$D$15:$D$58,'3.1 Depreciated Book Value'!C66,'3.5 Depreciation amortisation'!$K$15:$K$58))</f>
        <v>0</v>
      </c>
      <c r="E72" s="66">
        <v>0</v>
      </c>
    </row>
    <row r="73" spans="2:6">
      <c r="B73" s="326"/>
      <c r="C73" s="84" t="s">
        <v>224</v>
      </c>
      <c r="D73" s="129">
        <f>SUM(D67:D72)</f>
        <v>1401142.3299999901</v>
      </c>
      <c r="E73" s="129">
        <f>SUM(E67:E72)</f>
        <v>962492.32999999006</v>
      </c>
    </row>
    <row r="74" spans="2:6">
      <c r="B74" s="326"/>
      <c r="C74" s="48" t="s">
        <v>225</v>
      </c>
      <c r="D74" s="130"/>
      <c r="E74" s="130"/>
    </row>
    <row r="75" spans="2:6">
      <c r="B75" s="321" t="s">
        <v>512</v>
      </c>
      <c r="C75" s="47" t="s">
        <v>204</v>
      </c>
      <c r="D75" s="129">
        <f>IF(Cover!C23="Scheme pipeline","-",SUMIF('3.5 Depreciation amortisation'!$D$15:$D$58,'3.1 Depreciated Book Value'!C74,'3.5 Depreciation amortisation'!$H$15:$H$58))</f>
        <v>3875629.49</v>
      </c>
      <c r="E75" s="66">
        <v>3875629.49</v>
      </c>
    </row>
    <row r="76" spans="2:6">
      <c r="B76" s="321" t="s">
        <v>512</v>
      </c>
      <c r="C76" s="47" t="s">
        <v>205</v>
      </c>
      <c r="D76" s="129">
        <f>IF(Cover!C23="Scheme pipeline","-",SUMIF('3.5 Depreciation amortisation'!$D$15:$D$58,'3.1 Depreciated Book Value'!C74,'3.5 Depreciation amortisation'!$I$15:$I$58))</f>
        <v>0</v>
      </c>
      <c r="E76" s="66">
        <v>0</v>
      </c>
    </row>
    <row r="77" spans="2:6">
      <c r="B77" s="321" t="s">
        <v>512</v>
      </c>
      <c r="C77" s="47" t="s">
        <v>206</v>
      </c>
      <c r="D77" s="129">
        <f>IF(Cover!C23="Scheme pipeline","-",SUMIF('3.5 Depreciation amortisation'!$D$15:$D$58,'3.1 Depreciated Book Value'!C74,'3.5 Depreciation amortisation'!$J$15:$J$58))</f>
        <v>0</v>
      </c>
      <c r="E77" s="66">
        <v>0</v>
      </c>
    </row>
    <row r="78" spans="2:6">
      <c r="B78" s="321" t="s">
        <v>512</v>
      </c>
      <c r="C78" s="47" t="s">
        <v>209</v>
      </c>
      <c r="D78" s="129">
        <f>IF(Cover!C23="Scheme pipeline","-",-ABS(SUMIF('3.4 Asset impairment'!$C$10:$C$24,'3.1 Depreciated Book Value'!C74,'3.4 Asset impairment'!$D$10:$D$24))+SUMIF('3.4 Asset impairment'!$C$30:$C$56,'3.1 Depreciated Book Value'!C74,'3.4 Asset impairment'!$G$30:$G$56))</f>
        <v>0</v>
      </c>
      <c r="E78" s="66">
        <v>0</v>
      </c>
    </row>
    <row r="79" spans="2:6" ht="11.25" customHeight="1">
      <c r="B79" s="321" t="s">
        <v>512</v>
      </c>
      <c r="C79" s="47" t="s">
        <v>210</v>
      </c>
      <c r="D79" s="129">
        <f>IF(Cover!C23="Scheme pipeline","-",SUMIF('3.5 Depreciation amortisation'!$D$15:$D$58,'3.1 Depreciated Book Value'!C74,'3.5 Depreciation amortisation'!$K$15:$K$58))</f>
        <v>0</v>
      </c>
      <c r="E79" s="66">
        <v>0</v>
      </c>
    </row>
    <row r="80" spans="2:6">
      <c r="B80" s="326"/>
      <c r="C80" s="84" t="s">
        <v>226</v>
      </c>
      <c r="D80" s="129">
        <f>SUM(D75:D79)</f>
        <v>3875629.49</v>
      </c>
      <c r="E80" s="129">
        <f>SUM(E75:E79)</f>
        <v>3875629.49</v>
      </c>
    </row>
    <row r="81" spans="2:8">
      <c r="B81" s="326"/>
      <c r="C81" s="48" t="s">
        <v>227</v>
      </c>
      <c r="D81" s="130"/>
      <c r="E81" s="130"/>
      <c r="G81" s="263"/>
      <c r="H81" s="263"/>
    </row>
    <row r="82" spans="2:8" s="263" customFormat="1">
      <c r="B82" s="321" t="s">
        <v>512</v>
      </c>
      <c r="C82" s="47" t="s">
        <v>204</v>
      </c>
      <c r="D82" s="129">
        <f>IF(Cover!C23="Scheme pipeline","-",SUMIF('3.5 Depreciation amortisation'!$D$15:$D$58,'3.1 Depreciated Book Value'!C81,'3.5 Depreciation amortisation'!$H$15:$H$58))</f>
        <v>9351161.2199998908</v>
      </c>
      <c r="E82" s="131">
        <v>7623417.9099998996</v>
      </c>
      <c r="F82" s="264"/>
    </row>
    <row r="83" spans="2:8" s="263" customFormat="1">
      <c r="B83" s="321" t="s">
        <v>512</v>
      </c>
      <c r="C83" s="47" t="s">
        <v>205</v>
      </c>
      <c r="D83" s="129">
        <f>IF(Cover!C23="Scheme pipeline","-",SUMIF('3.5 Depreciation amortisation'!$D$15:$D$58,'3.1 Depreciated Book Value'!C81,'3.5 Depreciation amortisation'!$I$15:$I$58))</f>
        <v>11021314.68</v>
      </c>
      <c r="E83" s="131">
        <v>1727743.3099999903</v>
      </c>
      <c r="F83" s="264"/>
    </row>
    <row r="84" spans="2:8" s="263" customFormat="1">
      <c r="B84" s="321" t="s">
        <v>512</v>
      </c>
      <c r="C84" s="47" t="s">
        <v>206</v>
      </c>
      <c r="D84" s="129">
        <f>IF(Cover!C23="Scheme pipeline","-",SUMIF('3.5 Depreciation amortisation'!$D$15:$D$58,'3.1 Depreciated Book Value'!C81,'3.5 Depreciation amortisation'!$J$15:$J$58))</f>
        <v>0</v>
      </c>
      <c r="E84" s="131">
        <v>0</v>
      </c>
      <c r="F84" s="264"/>
    </row>
    <row r="85" spans="2:8" s="263" customFormat="1">
      <c r="B85" s="321" t="s">
        <v>512</v>
      </c>
      <c r="C85" s="47" t="s">
        <v>208</v>
      </c>
      <c r="D85" s="129">
        <f>IF(Cover!C23="Scheme pipeline","-",-ABS(SUMIF('3.5 Depreciation amortisation'!$D$15:$D$58,'3.1 Depreciated Book Value'!C81,'3.5 Depreciation amortisation'!$O$15:$O$58)+SUMIF('3.5 Depreciation amortisation'!$D$15:$D$58,'3.1 Depreciated Book Value'!C81,'3.5 Depreciation amortisation'!$P$15:$P$58))-D86)</f>
        <v>-6638626.4699999895</v>
      </c>
      <c r="E85" s="131">
        <v>-4981131.4499999899</v>
      </c>
      <c r="F85" s="264"/>
    </row>
    <row r="86" spans="2:8" s="263" customFormat="1">
      <c r="B86" s="321" t="s">
        <v>512</v>
      </c>
      <c r="C86" s="47" t="s">
        <v>209</v>
      </c>
      <c r="D86" s="129">
        <f>IF(Cover!C23="Scheme pipeline","-",-ABS(SUMIF('3.4 Asset impairment'!$C$10:$C$24,'3.1 Depreciated Book Value'!C81,'3.4 Asset impairment'!$D$10:$D$24))+SUMIF('3.4 Asset impairment'!$C$30:$C$56,'3.1 Depreciated Book Value'!C81,'3.4 Asset impairment'!$G$30:$G$56))</f>
        <v>0</v>
      </c>
      <c r="E86" s="131">
        <v>0</v>
      </c>
      <c r="F86" s="264"/>
    </row>
    <row r="87" spans="2:8" s="263" customFormat="1">
      <c r="B87" s="321" t="s">
        <v>512</v>
      </c>
      <c r="C87" s="47" t="s">
        <v>210</v>
      </c>
      <c r="D87" s="129">
        <f>IF(Cover!C23="Scheme pipeline","-",SUMIF('3.5 Depreciation amortisation'!$D$15:$D$58,'3.1 Depreciated Book Value'!C81,'3.5 Depreciation amortisation'!$K$15:$K$58))</f>
        <v>-228209</v>
      </c>
      <c r="E87" s="131">
        <v>0</v>
      </c>
      <c r="G87" s="4"/>
      <c r="H87" s="4"/>
    </row>
    <row r="88" spans="2:8">
      <c r="B88" s="326"/>
      <c r="C88" s="84" t="s">
        <v>228</v>
      </c>
      <c r="D88" s="129">
        <f>SUM(D82:D87)</f>
        <v>13505640.429999901</v>
      </c>
      <c r="E88" s="129">
        <f>SUM(E82:E87)</f>
        <v>4370029.7699999008</v>
      </c>
    </row>
    <row r="89" spans="2:8">
      <c r="B89" s="326"/>
      <c r="C89" s="48" t="s">
        <v>229</v>
      </c>
      <c r="D89" s="130"/>
      <c r="E89" s="130"/>
      <c r="F89" s="100"/>
    </row>
    <row r="90" spans="2:8">
      <c r="B90" s="321" t="s">
        <v>512</v>
      </c>
      <c r="C90" s="47" t="s">
        <v>204</v>
      </c>
      <c r="D90" s="129">
        <f>IF(Cover!C23="Scheme pipeline","-",SUMIF('3.5 Depreciation amortisation'!$D$15:$D$58,'3.1 Depreciated Book Value'!C89,'3.5 Depreciation amortisation'!$H$15:$H$58))</f>
        <v>778272.74999999988</v>
      </c>
      <c r="E90" s="66">
        <v>570780.42999999982</v>
      </c>
      <c r="F90" s="100"/>
    </row>
    <row r="91" spans="2:8">
      <c r="B91" s="321" t="s">
        <v>512</v>
      </c>
      <c r="C91" s="47" t="s">
        <v>205</v>
      </c>
      <c r="D91" s="129">
        <f>IF(Cover!C23="Scheme pipeline","-",SUMIF('3.5 Depreciation amortisation'!$D$15:$D$58,'3.1 Depreciated Book Value'!C89,'3.5 Depreciation amortisation'!$I$15:$I$58))</f>
        <v>72998.490000000005</v>
      </c>
      <c r="E91" s="66">
        <v>207492.32000000004</v>
      </c>
      <c r="F91" s="100"/>
    </row>
    <row r="92" spans="2:8">
      <c r="B92" s="321" t="s">
        <v>512</v>
      </c>
      <c r="C92" s="47" t="s">
        <v>206</v>
      </c>
      <c r="D92" s="129">
        <f>IF(Cover!C23="Scheme pipeline","-",SUMIF('3.5 Depreciation amortisation'!$D$15:$D$58,'3.1 Depreciated Book Value'!C89,'3.5 Depreciation amortisation'!$J$15:$J$58))</f>
        <v>0</v>
      </c>
      <c r="E92" s="66">
        <v>0</v>
      </c>
      <c r="F92" s="100"/>
    </row>
    <row r="93" spans="2:8">
      <c r="B93" s="321" t="s">
        <v>512</v>
      </c>
      <c r="C93" s="47" t="s">
        <v>230</v>
      </c>
      <c r="D93" s="129">
        <f>IF(Cover!C23="Scheme pipeline","-",-ABS(SUMIF('3.5 Depreciation amortisation'!$D$15:$D$58,'3.1 Depreciated Book Value'!C89,'3.5 Depreciation amortisation'!$O$15:$O$58)+SUMIF('3.5 Depreciation amortisation'!$D$15:$D$58,'3.1 Depreciated Book Value'!C89,'3.5 Depreciation amortisation'!$P$15:$P$58))-D94)</f>
        <v>-624778.25999999989</v>
      </c>
      <c r="E93" s="66">
        <v>-509536.36999999994</v>
      </c>
      <c r="F93" s="100"/>
      <c r="G93" s="100"/>
    </row>
    <row r="94" spans="2:8">
      <c r="B94" s="321" t="s">
        <v>512</v>
      </c>
      <c r="C94" s="47" t="s">
        <v>209</v>
      </c>
      <c r="D94" s="129">
        <f>IF(Cover!C23="Scheme pipeline","-",-ABS(SUMIF('3.4 Asset impairment'!$C$10:$C$24,'3.1 Depreciated Book Value'!C89,'3.4 Asset impairment'!$D$10:$D$24))+SUMIF('3.4 Asset impairment'!$C$30:$C$56,'3.1 Depreciated Book Value'!C89,'3.4 Asset impairment'!$G$30:$G$56))</f>
        <v>0</v>
      </c>
      <c r="E94" s="66">
        <v>0</v>
      </c>
      <c r="F94" s="100"/>
      <c r="G94" s="100"/>
    </row>
    <row r="95" spans="2:8" ht="11.25" customHeight="1">
      <c r="B95" s="321" t="s">
        <v>512</v>
      </c>
      <c r="C95" s="47" t="s">
        <v>210</v>
      </c>
      <c r="D95" s="129">
        <f>IF(Cover!C23="Scheme pipeline","-",SUMIF('3.5 Depreciation amortisation'!$D$15:$D$58,'3.1 Depreciated Book Value'!C89,'3.5 Depreciation amortisation'!$K$15:$K$58))</f>
        <v>0</v>
      </c>
      <c r="E95" s="66">
        <v>0</v>
      </c>
      <c r="F95" s="100"/>
    </row>
    <row r="96" spans="2:8">
      <c r="B96" s="326"/>
      <c r="C96" s="84" t="s">
        <v>231</v>
      </c>
      <c r="D96" s="129">
        <f>SUM(D90:D95)</f>
        <v>226492.97999999998</v>
      </c>
      <c r="E96" s="129">
        <f>SUM(E90:E95)</f>
        <v>268736.37999999995</v>
      </c>
      <c r="F96" s="100"/>
    </row>
    <row r="97" spans="2:7">
      <c r="B97" s="321" t="s">
        <v>512</v>
      </c>
      <c r="C97" s="48" t="s">
        <v>232</v>
      </c>
      <c r="D97" s="130"/>
      <c r="E97" s="130"/>
    </row>
    <row r="98" spans="2:7">
      <c r="B98" s="321" t="s">
        <v>512</v>
      </c>
      <c r="C98" s="47" t="s">
        <v>204</v>
      </c>
      <c r="D98" s="66">
        <v>0</v>
      </c>
      <c r="E98" s="66">
        <v>0</v>
      </c>
      <c r="F98" s="100"/>
    </row>
    <row r="99" spans="2:7">
      <c r="B99" s="321" t="s">
        <v>512</v>
      </c>
      <c r="C99" s="47" t="s">
        <v>205</v>
      </c>
      <c r="D99" s="66">
        <v>0</v>
      </c>
      <c r="E99" s="66">
        <v>0</v>
      </c>
      <c r="F99" s="100"/>
    </row>
    <row r="100" spans="2:7">
      <c r="B100" s="321" t="s">
        <v>512</v>
      </c>
      <c r="C100" s="47" t="s">
        <v>206</v>
      </c>
      <c r="D100" s="66">
        <v>0</v>
      </c>
      <c r="E100" s="66">
        <v>0</v>
      </c>
      <c r="F100" s="100"/>
    </row>
    <row r="101" spans="2:7">
      <c r="B101" s="321" t="s">
        <v>512</v>
      </c>
      <c r="C101" s="47" t="s">
        <v>210</v>
      </c>
      <c r="D101" s="66">
        <v>0</v>
      </c>
      <c r="E101" s="66">
        <v>0</v>
      </c>
      <c r="F101" s="100"/>
      <c r="G101" s="100"/>
    </row>
    <row r="102" spans="2:7">
      <c r="B102" s="326"/>
      <c r="C102" s="84" t="s">
        <v>233</v>
      </c>
      <c r="D102" s="129">
        <f>SUM(D98:D101)</f>
        <v>0</v>
      </c>
      <c r="E102" s="129">
        <f>SUM(E98:E101)</f>
        <v>0</v>
      </c>
      <c r="F102" s="100"/>
    </row>
    <row r="103" spans="2:7">
      <c r="B103" s="326"/>
      <c r="C103" s="85" t="s">
        <v>234</v>
      </c>
      <c r="D103" s="129">
        <f>SUM(D25,D33,D41,D49,D57,D65,D73,D80,D88,D102,D96)</f>
        <v>1500571524.01</v>
      </c>
      <c r="E103" s="129">
        <f>SUM(E25,E33,E41,E49,E57,E65,E73,E80,E88,E102,E96)</f>
        <v>1551263427.55</v>
      </c>
      <c r="F103" s="100"/>
    </row>
    <row r="104" spans="2:7">
      <c r="B104" s="326"/>
      <c r="C104" s="46" t="s">
        <v>235</v>
      </c>
      <c r="D104" s="130"/>
      <c r="E104" s="130"/>
    </row>
    <row r="105" spans="2:7">
      <c r="B105" s="326"/>
      <c r="C105" s="48" t="s">
        <v>236</v>
      </c>
      <c r="D105" s="130"/>
      <c r="E105" s="130"/>
    </row>
    <row r="106" spans="2:7">
      <c r="B106" s="321" t="s">
        <v>512</v>
      </c>
      <c r="C106" s="47" t="s">
        <v>204</v>
      </c>
      <c r="D106" s="129">
        <f>IF(Cover!C23="Scheme pipeline","-",SUMIF('3.5 Depreciation amortisation'!$D$66:$D$83,$C$105,'3.5 Depreciation amortisation'!$G$66:$G$83))</f>
        <v>71322881.028243974</v>
      </c>
      <c r="E106" s="66">
        <v>70441474.05608727</v>
      </c>
      <c r="F106" s="100"/>
    </row>
    <row r="107" spans="2:7">
      <c r="B107" s="321" t="s">
        <v>512</v>
      </c>
      <c r="C107" s="47" t="s">
        <v>205</v>
      </c>
      <c r="D107" s="129">
        <f>IF(Cover!C23="Scheme pipeline","-",SUMIF('3.5 Depreciation amortisation'!$D$66:$D$83,$C$105,'3.5 Depreciation amortisation'!$H$66:$H$83))</f>
        <v>17034633.14523156</v>
      </c>
      <c r="E107" s="66">
        <v>1464289.8803689741</v>
      </c>
      <c r="F107" s="100"/>
    </row>
    <row r="108" spans="2:7">
      <c r="B108" s="321" t="s">
        <v>512</v>
      </c>
      <c r="C108" s="47" t="s">
        <v>206</v>
      </c>
      <c r="D108" s="129">
        <f>IF(Cover!C23="Scheme pipeline","-",SUMIF('3.5 Depreciation amortisation'!$D$66:$D$83,$C$105,'3.5 Depreciation amortisation'!$I$66:$I$83))</f>
        <v>0</v>
      </c>
      <c r="E108" s="66">
        <v>0</v>
      </c>
    </row>
    <row r="109" spans="2:7">
      <c r="B109" s="321" t="s">
        <v>512</v>
      </c>
      <c r="C109" s="47" t="s">
        <v>208</v>
      </c>
      <c r="D109" s="129">
        <f>IF(Cover!C23="Scheme pipeline","-",-ABS(SUMIF('3.5 Depreciation amortisation'!$D$66:$D$83,$C$105,'3.5 Depreciation amortisation'!$N$66:$N$83)+SUMIF('3.5 Depreciation amortisation'!$D$66:$D$83,$C$105,'3.5 Depreciation amortisation'!$O$66:$O$83))-D110)</f>
        <v>-62908035.285444818</v>
      </c>
      <c r="E109" s="66">
        <v>-53187108.844663568</v>
      </c>
      <c r="F109" s="100"/>
    </row>
    <row r="110" spans="2:7">
      <c r="B110" s="321" t="s">
        <v>512</v>
      </c>
      <c r="C110" s="47" t="s">
        <v>209</v>
      </c>
      <c r="D110" s="129">
        <f>IF(Cover!C23="Scheme pipeline","-",-ABS(SUMIF('3.4 Asset impairment'!$C$10:$C$24,'3.1 Depreciated Book Value'!C105,'3.4 Asset impairment'!$D$10:$D$24))+SUMIF('3.4 Asset impairment'!$C$30:$C$56,'3.1 Depreciated Book Value'!C105,'3.4 Asset impairment'!$G$30:$G$56))</f>
        <v>0</v>
      </c>
      <c r="E110" s="66">
        <v>0</v>
      </c>
      <c r="F110" s="100"/>
    </row>
    <row r="111" spans="2:7">
      <c r="B111" s="321" t="s">
        <v>512</v>
      </c>
      <c r="C111" s="47" t="s">
        <v>210</v>
      </c>
      <c r="D111" s="129">
        <f>IF(Cover!C23="Scheme pipeline","-",SUMIF('3.5 Depreciation amortisation'!$D$66:$D$83,$C$105,'3.5 Depreciation amortisation'!$J$66:$J$83))</f>
        <v>-187152.89919111726</v>
      </c>
      <c r="E111" s="66">
        <v>-582882.90821226558</v>
      </c>
      <c r="F111" s="100"/>
    </row>
    <row r="112" spans="2:7">
      <c r="B112" s="326"/>
      <c r="C112" s="84" t="s">
        <v>237</v>
      </c>
      <c r="D112" s="129">
        <f>SUM(D106:D111)</f>
        <v>25262325.988839597</v>
      </c>
      <c r="E112" s="129">
        <f>SUM(E106:E111)</f>
        <v>18135772.183580413</v>
      </c>
    </row>
    <row r="113" spans="2:7">
      <c r="B113" s="326"/>
      <c r="C113" s="48" t="s">
        <v>238</v>
      </c>
      <c r="D113" s="130"/>
      <c r="E113" s="130"/>
      <c r="F113" s="100"/>
    </row>
    <row r="114" spans="2:7">
      <c r="B114" s="321" t="s">
        <v>512</v>
      </c>
      <c r="C114" s="47" t="s">
        <v>204</v>
      </c>
      <c r="D114" s="129">
        <f>IF(Cover!C23="Scheme pipeline","-",SUMIF('3.5 Depreciation amortisation'!$D$66:$D$83,$C$113,'3.5 Depreciation amortisation'!$G$66:$G$83))</f>
        <v>13428964.035152109</v>
      </c>
      <c r="E114" s="66">
        <v>10324175.0614533</v>
      </c>
      <c r="F114" s="100"/>
    </row>
    <row r="115" spans="2:7">
      <c r="B115" s="321" t="s">
        <v>512</v>
      </c>
      <c r="C115" s="47" t="s">
        <v>205</v>
      </c>
      <c r="D115" s="129">
        <f>IF(Cover!C23="Scheme pipeline","-",SUMIF('3.5 Depreciation amortisation'!$D$66:$D$83,$C$113,'3.5 Depreciation amortisation'!$H$66:$H$83))</f>
        <v>2286560.9567800905</v>
      </c>
      <c r="E115" s="66">
        <v>3098764.117303405</v>
      </c>
      <c r="F115" s="100"/>
    </row>
    <row r="116" spans="2:7">
      <c r="B116" s="321" t="s">
        <v>512</v>
      </c>
      <c r="C116" s="47" t="s">
        <v>206</v>
      </c>
      <c r="D116" s="129">
        <f>IF(Cover!C23="Scheme pipeline","-",SUMIF('3.5 Depreciation amortisation'!$D$66:$D$83,$C$113,'3.5 Depreciation amortisation'!$I$66:$I$83))</f>
        <v>0</v>
      </c>
      <c r="E116" s="66">
        <v>0</v>
      </c>
      <c r="F116" s="100"/>
    </row>
    <row r="117" spans="2:7">
      <c r="B117" s="321" t="s">
        <v>512</v>
      </c>
      <c r="C117" s="47" t="s">
        <v>230</v>
      </c>
      <c r="D117" s="129">
        <f>IF(Cover!C23="Scheme pipeline","-",-ABS(SUMIF('3.5 Depreciation amortisation'!$D$66:$D$83,$C$113,'3.5 Depreciation amortisation'!$N$66:$N$83)+SUMIF('3.5 Depreciation amortisation'!$D$66:$D$83,$C$113,'3.5 Depreciation amortisation'!$O$66:$O$83))-D118)</f>
        <v>-8889525.6069473419</v>
      </c>
      <c r="E117" s="66">
        <v>-6708974.8056716137</v>
      </c>
      <c r="F117" s="100"/>
      <c r="G117" s="100"/>
    </row>
    <row r="118" spans="2:7">
      <c r="B118" s="321" t="s">
        <v>512</v>
      </c>
      <c r="C118" s="47" t="s">
        <v>209</v>
      </c>
      <c r="D118" s="129">
        <f>IF(Cover!C23="Scheme pipeline","-",-ABS(SUMIF('3.4 Asset impairment'!$C$10:$C$24,'3.1 Depreciated Book Value'!C113,'3.4 Asset impairment'!$D$10:$D$24))+SUMIF('3.4 Asset impairment'!$C$30:$C$56,'3.1 Depreciated Book Value'!C113,'3.4 Asset impairment'!$G$30:$G$56))</f>
        <v>0</v>
      </c>
      <c r="E118" s="66">
        <v>0</v>
      </c>
      <c r="F118" s="100"/>
      <c r="G118" s="100"/>
    </row>
    <row r="119" spans="2:7" ht="11.25" customHeight="1">
      <c r="B119" s="321" t="s">
        <v>512</v>
      </c>
      <c r="C119" s="47" t="s">
        <v>210</v>
      </c>
      <c r="D119" s="129">
        <f>IF(Cover!C23="Scheme pipeline","-",SUMIF('3.5 Depreciation amortisation'!$D$66:$D$83,$C$113,'3.5 Depreciation amortisation'!$J$66:$J$83))</f>
        <v>-51664.366735790863</v>
      </c>
      <c r="E119" s="66">
        <v>6024.8563954055116</v>
      </c>
      <c r="F119" s="100"/>
    </row>
    <row r="120" spans="2:7">
      <c r="B120" s="326"/>
      <c r="C120" s="84" t="s">
        <v>239</v>
      </c>
      <c r="D120" s="129">
        <f>SUM(D114:D119)</f>
        <v>6774335.0182490675</v>
      </c>
      <c r="E120" s="129">
        <f>SUM(E114:E119)</f>
        <v>6719989.2294804966</v>
      </c>
      <c r="F120" s="100"/>
    </row>
    <row r="121" spans="2:7">
      <c r="B121" s="321" t="s">
        <v>512</v>
      </c>
      <c r="C121" s="48" t="s">
        <v>240</v>
      </c>
      <c r="D121" s="66">
        <v>5928619.4100000001</v>
      </c>
      <c r="E121" s="66">
        <v>3541727.99</v>
      </c>
      <c r="F121" s="100"/>
    </row>
    <row r="122" spans="2:7">
      <c r="B122" s="321" t="s">
        <v>512</v>
      </c>
      <c r="C122" s="48" t="s">
        <v>241</v>
      </c>
      <c r="D122" s="66">
        <v>0</v>
      </c>
      <c r="E122" s="66">
        <v>0</v>
      </c>
    </row>
    <row r="123" spans="2:7">
      <c r="B123" s="321" t="s">
        <v>512</v>
      </c>
      <c r="C123" s="48" t="s">
        <v>242</v>
      </c>
      <c r="D123" s="66">
        <v>762389697.54000008</v>
      </c>
      <c r="E123" s="66">
        <v>775556642.29000008</v>
      </c>
    </row>
    <row r="124" spans="2:7">
      <c r="B124" s="282"/>
      <c r="C124" s="86" t="s">
        <v>243</v>
      </c>
      <c r="D124" s="129">
        <f>SUM(D112,D120:D123)</f>
        <v>800354977.95708871</v>
      </c>
      <c r="E124" s="129">
        <f>SUM(E112,E120:E123)</f>
        <v>803954131.69306099</v>
      </c>
      <c r="F124" s="100"/>
    </row>
    <row r="125" spans="2:7" ht="12.75" customHeight="1">
      <c r="B125" s="282"/>
      <c r="C125" s="86" t="s">
        <v>244</v>
      </c>
      <c r="D125" s="132">
        <f>SUM(D103,D124)</f>
        <v>2300926501.9670887</v>
      </c>
      <c r="E125" s="132">
        <f>SUM(E103,E124)</f>
        <v>2355217559.2430611</v>
      </c>
    </row>
    <row r="128" spans="2:7" ht="15.75">
      <c r="B128" s="214" t="s">
        <v>245</v>
      </c>
    </row>
    <row r="129" spans="2:4" ht="12.75" customHeight="1">
      <c r="B129" s="214"/>
    </row>
    <row r="130" spans="2:4" ht="25.5">
      <c r="B130" s="44" t="s">
        <v>113</v>
      </c>
      <c r="C130" s="45" t="s">
        <v>114</v>
      </c>
      <c r="D130" s="302" t="str">
        <f>IFERROR(VLOOKUP(C132,rInitialyears,2,FALSE),"")</f>
        <v/>
      </c>
    </row>
    <row r="131" spans="2:4">
      <c r="B131" s="44"/>
      <c r="C131" s="86" t="s">
        <v>244</v>
      </c>
      <c r="D131" s="302"/>
    </row>
    <row r="132" spans="2:4">
      <c r="B132" s="321" t="s">
        <v>512</v>
      </c>
      <c r="C132" s="293" t="s">
        <v>480</v>
      </c>
      <c r="D132" s="315">
        <v>2056423434.1100001</v>
      </c>
    </row>
  </sheetData>
  <sheetProtection sheet="1"/>
  <mergeCells count="3">
    <mergeCell ref="B13:C13"/>
    <mergeCell ref="B4:C4"/>
    <mergeCell ref="B6:F10"/>
  </mergeCells>
  <phoneticPr fontId="32" type="noConversion"/>
  <dataValidations disablePrompts="1"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cols>
    <col min="1" max="1" width="12" style="4" customWidth="1"/>
    <col min="2" max="2" width="34.5703125" style="4" customWidth="1"/>
    <col min="3" max="3" width="70.7109375" style="4" customWidth="1"/>
    <col min="4" max="8" width="20.7109375" style="4" customWidth="1"/>
    <col min="9" max="16384" width="9.28515625" style="4"/>
  </cols>
  <sheetData>
    <row r="1" spans="2:8" ht="20.25">
      <c r="B1" s="135" t="s">
        <v>53</v>
      </c>
      <c r="C1" s="135"/>
    </row>
    <row r="2" spans="2:8" ht="20.25">
      <c r="B2" s="135" t="str">
        <f>IF(Tradingname=0," ",Tradingname)</f>
        <v>APA (SWQP) PTY LIMITED</v>
      </c>
      <c r="C2" s="135"/>
      <c r="E2" s="261"/>
    </row>
    <row r="3" spans="2:8" ht="20.25">
      <c r="B3" s="135" t="s">
        <v>30</v>
      </c>
      <c r="C3" s="99">
        <f>IF(Yearending=0, "01/01/2000", Yearending)</f>
        <v>45838</v>
      </c>
    </row>
    <row r="4" spans="2:8" ht="20.25">
      <c r="B4" s="135" t="s">
        <v>246</v>
      </c>
      <c r="C4" s="99">
        <f>'1. Pipeline information'!C15</f>
        <v>0</v>
      </c>
    </row>
    <row r="5" spans="2:8" ht="20.25">
      <c r="B5" s="91" t="s">
        <v>247</v>
      </c>
      <c r="C5" s="91"/>
      <c r="D5" s="244"/>
    </row>
    <row r="6" spans="2:8">
      <c r="D6" s="262"/>
    </row>
    <row r="7" spans="2:8">
      <c r="B7" s="409" t="s">
        <v>248</v>
      </c>
      <c r="C7" s="409"/>
      <c r="D7" s="409"/>
    </row>
    <row r="8" spans="2:8">
      <c r="B8" s="409"/>
      <c r="C8" s="409"/>
      <c r="D8" s="409"/>
    </row>
    <row r="9" spans="2:8">
      <c r="B9" s="409"/>
      <c r="C9" s="409"/>
      <c r="D9" s="409"/>
    </row>
    <row r="12" spans="2:8" ht="15.75">
      <c r="B12" s="412" t="s">
        <v>249</v>
      </c>
      <c r="C12" s="412"/>
      <c r="D12" s="262"/>
    </row>
    <row r="14" spans="2:8">
      <c r="B14" s="262"/>
      <c r="C14" s="262"/>
      <c r="D14" s="414" t="s">
        <v>250</v>
      </c>
      <c r="E14" s="414"/>
      <c r="F14" s="414"/>
      <c r="G14" s="414"/>
      <c r="H14" s="414"/>
    </row>
    <row r="15" spans="2:8">
      <c r="B15" s="44" t="s">
        <v>113</v>
      </c>
      <c r="C15" s="302" t="s">
        <v>114</v>
      </c>
      <c r="D15" s="302" t="str">
        <f>YEAR(Yearstart)-4&amp;"-"&amp;RIGHT(YEAR(Yearstart)-3,2)</f>
        <v>2020-21</v>
      </c>
      <c r="E15" s="302" t="str">
        <f>YEAR(Yearstart)-3&amp;"-"&amp;RIGHT(YEAR(Yearstart)-2,2)</f>
        <v>2021-22</v>
      </c>
      <c r="F15" s="45" t="str">
        <f>YEAR(Yearstart)-2&amp;"-"&amp;RIGHT(YEAR(Yearstart)-1,2)</f>
        <v>2022-23</v>
      </c>
      <c r="G15" s="45" t="str">
        <f>YEAR(Yearstart)-1&amp;"-"&amp;RIGHT(YEAR(Yearstart),2)</f>
        <v>2023-24</v>
      </c>
      <c r="H15" s="302" t="str">
        <f>YEAR(Yearstart)&amp;"-"&amp;RIGHT(YEAR(Yearstart)+1,2)</f>
        <v>2024-25</v>
      </c>
    </row>
    <row r="16" spans="2:8">
      <c r="B16" s="286"/>
      <c r="C16" s="45"/>
      <c r="D16" s="45"/>
      <c r="E16" s="45"/>
      <c r="F16" s="45"/>
      <c r="G16" s="45"/>
      <c r="H16" s="302"/>
    </row>
    <row r="17" spans="2:12">
      <c r="B17" s="285"/>
      <c r="C17" s="48" t="s">
        <v>251</v>
      </c>
      <c r="D17" s="162" t="s">
        <v>252</v>
      </c>
      <c r="E17" s="162" t="s">
        <v>252</v>
      </c>
      <c r="F17" s="162" t="s">
        <v>252</v>
      </c>
      <c r="G17" s="162" t="s">
        <v>252</v>
      </c>
      <c r="H17" s="162" t="s">
        <v>252</v>
      </c>
    </row>
    <row r="18" spans="2:12">
      <c r="B18" s="321" t="s">
        <v>513</v>
      </c>
      <c r="C18" s="163" t="s">
        <v>253</v>
      </c>
      <c r="D18" s="66"/>
      <c r="E18" s="129">
        <f>D23</f>
        <v>0</v>
      </c>
      <c r="F18" s="129">
        <f>E23</f>
        <v>0</v>
      </c>
      <c r="G18" s="129">
        <f>F23</f>
        <v>0</v>
      </c>
      <c r="H18" s="129">
        <f>G23</f>
        <v>0</v>
      </c>
    </row>
    <row r="19" spans="2:12">
      <c r="B19" s="327" t="s">
        <v>513</v>
      </c>
      <c r="C19" s="163" t="s">
        <v>254</v>
      </c>
      <c r="D19" s="66"/>
      <c r="E19" s="66"/>
      <c r="F19" s="66"/>
      <c r="G19" s="66"/>
      <c r="H19" s="66"/>
    </row>
    <row r="20" spans="2:12">
      <c r="B20" s="285"/>
      <c r="C20" s="84" t="s">
        <v>255</v>
      </c>
      <c r="D20" s="129">
        <f>SUM(D18:D19)</f>
        <v>0</v>
      </c>
      <c r="E20" s="129">
        <f>SUM(E18:E19)</f>
        <v>0</v>
      </c>
      <c r="F20" s="129">
        <f>SUM(F18:F19)</f>
        <v>0</v>
      </c>
      <c r="G20" s="129">
        <f>SUM(G18:G19)</f>
        <v>0</v>
      </c>
      <c r="H20" s="129">
        <f>SUM(H18:H19)</f>
        <v>0</v>
      </c>
    </row>
    <row r="21" spans="2:12">
      <c r="B21" s="327" t="s">
        <v>513</v>
      </c>
      <c r="C21" s="163" t="s">
        <v>256</v>
      </c>
      <c r="D21" s="66"/>
      <c r="E21" s="66"/>
      <c r="F21" s="66"/>
      <c r="G21" s="66"/>
      <c r="H21" s="66"/>
    </row>
    <row r="22" spans="2:12">
      <c r="B22" s="327" t="s">
        <v>513</v>
      </c>
      <c r="C22" s="163" t="s">
        <v>257</v>
      </c>
      <c r="D22" s="66"/>
      <c r="E22" s="66"/>
      <c r="F22" s="66"/>
      <c r="G22" s="66"/>
      <c r="H22" s="66"/>
      <c r="L22" s="9"/>
    </row>
    <row r="23" spans="2:12">
      <c r="B23" s="285"/>
      <c r="C23" s="84" t="s">
        <v>258</v>
      </c>
      <c r="D23" s="129">
        <f>SUM(D20:D22)</f>
        <v>0</v>
      </c>
      <c r="E23" s="129">
        <f>SUM(E20:E22)</f>
        <v>0</v>
      </c>
      <c r="F23" s="129">
        <f>SUM(F20:F22)</f>
        <v>0</v>
      </c>
      <c r="G23" s="129">
        <f>SUM(G20:G22)</f>
        <v>0</v>
      </c>
      <c r="H23" s="129">
        <f>SUM(H20:H22)</f>
        <v>0</v>
      </c>
    </row>
    <row r="24" spans="2:12">
      <c r="B24" s="285"/>
      <c r="C24" s="48" t="s">
        <v>259</v>
      </c>
      <c r="D24" s="302"/>
      <c r="E24" s="302"/>
      <c r="F24" s="302"/>
      <c r="G24" s="302"/>
      <c r="H24" s="302"/>
    </row>
    <row r="25" spans="2:12">
      <c r="B25" s="327" t="s">
        <v>513</v>
      </c>
      <c r="C25" s="163" t="s">
        <v>253</v>
      </c>
      <c r="D25" s="66"/>
      <c r="E25" s="129">
        <f>D29</f>
        <v>0</v>
      </c>
      <c r="F25" s="129">
        <f>E29</f>
        <v>0</v>
      </c>
      <c r="G25" s="129">
        <f>F29</f>
        <v>0</v>
      </c>
      <c r="H25" s="129">
        <f>G29</f>
        <v>0</v>
      </c>
    </row>
    <row r="26" spans="2:12">
      <c r="B26" s="327" t="s">
        <v>513</v>
      </c>
      <c r="C26" s="163" t="s">
        <v>260</v>
      </c>
      <c r="D26" s="66"/>
      <c r="E26" s="66"/>
      <c r="F26" s="66"/>
      <c r="G26" s="66"/>
      <c r="H26" s="66"/>
    </row>
    <row r="27" spans="2:12">
      <c r="B27" s="327" t="s">
        <v>513</v>
      </c>
      <c r="C27" s="163" t="s">
        <v>261</v>
      </c>
      <c r="D27" s="66"/>
      <c r="E27" s="66"/>
      <c r="F27" s="66"/>
      <c r="G27" s="66"/>
      <c r="H27" s="66"/>
    </row>
    <row r="28" spans="2:12">
      <c r="B28" s="327" t="s">
        <v>513</v>
      </c>
      <c r="C28" s="163" t="s">
        <v>262</v>
      </c>
      <c r="D28" s="66"/>
      <c r="E28" s="66"/>
      <c r="F28" s="66"/>
      <c r="G28" s="66"/>
      <c r="H28" s="66"/>
    </row>
    <row r="29" spans="2:12">
      <c r="B29" s="285"/>
      <c r="C29" s="84" t="s">
        <v>263</v>
      </c>
      <c r="D29" s="129">
        <f>SUM(D25:D28)</f>
        <v>0</v>
      </c>
      <c r="E29" s="129">
        <f>SUM(E25:E28)</f>
        <v>0</v>
      </c>
      <c r="F29" s="129">
        <f>SUM(F25:F28)</f>
        <v>0</v>
      </c>
      <c r="G29" s="129">
        <f>SUM(G25:G28)</f>
        <v>0</v>
      </c>
      <c r="H29" s="129">
        <f>SUM(H25:H28)</f>
        <v>0</v>
      </c>
    </row>
    <row r="30" spans="2:12">
      <c r="B30" s="285"/>
      <c r="C30" s="48" t="s">
        <v>264</v>
      </c>
      <c r="D30" s="302"/>
      <c r="E30" s="302"/>
      <c r="F30" s="302"/>
      <c r="G30" s="302"/>
      <c r="H30" s="302"/>
    </row>
    <row r="31" spans="2:12">
      <c r="B31" s="327" t="s">
        <v>513</v>
      </c>
      <c r="C31" s="163" t="s">
        <v>253</v>
      </c>
      <c r="D31" s="66"/>
      <c r="E31" s="129">
        <f>D35</f>
        <v>0</v>
      </c>
      <c r="F31" s="129">
        <f>E35</f>
        <v>0</v>
      </c>
      <c r="G31" s="129">
        <f>F35</f>
        <v>0</v>
      </c>
      <c r="H31" s="129">
        <f>G35</f>
        <v>0</v>
      </c>
    </row>
    <row r="32" spans="2:12">
      <c r="B32" s="327" t="s">
        <v>513</v>
      </c>
      <c r="C32" s="163" t="s">
        <v>265</v>
      </c>
      <c r="D32" s="66"/>
      <c r="E32" s="66"/>
      <c r="F32" s="66"/>
      <c r="G32" s="66"/>
      <c r="H32" s="66"/>
    </row>
    <row r="33" spans="2:8" ht="11.25" customHeight="1">
      <c r="B33" s="327" t="s">
        <v>513</v>
      </c>
      <c r="C33" s="163" t="s">
        <v>266</v>
      </c>
      <c r="D33" s="66"/>
      <c r="E33" s="66"/>
      <c r="F33" s="66"/>
      <c r="G33" s="66"/>
      <c r="H33" s="66"/>
    </row>
    <row r="34" spans="2:8">
      <c r="B34" s="327" t="s">
        <v>513</v>
      </c>
      <c r="C34" s="163" t="s">
        <v>262</v>
      </c>
      <c r="D34" s="66"/>
      <c r="E34" s="66"/>
      <c r="F34" s="66"/>
      <c r="G34" s="66"/>
      <c r="H34" s="66"/>
    </row>
    <row r="35" spans="2:8">
      <c r="B35" s="285"/>
      <c r="C35" s="84" t="s">
        <v>267</v>
      </c>
      <c r="D35" s="129">
        <f>SUM(D31:D34)</f>
        <v>0</v>
      </c>
      <c r="E35" s="129">
        <f>SUM(E31:E34)</f>
        <v>0</v>
      </c>
      <c r="F35" s="129">
        <f>SUM(F31:F34)</f>
        <v>0</v>
      </c>
      <c r="G35" s="129">
        <f>SUM(G31:G34)</f>
        <v>0</v>
      </c>
      <c r="H35" s="129">
        <f>SUM(H31:H34)</f>
        <v>0</v>
      </c>
    </row>
    <row r="36" spans="2:8">
      <c r="B36" s="285"/>
      <c r="C36" s="48" t="s">
        <v>268</v>
      </c>
      <c r="D36" s="302"/>
      <c r="E36" s="302"/>
      <c r="F36" s="302"/>
      <c r="G36" s="302"/>
      <c r="H36" s="302"/>
    </row>
    <row r="37" spans="2:8">
      <c r="B37" s="327" t="s">
        <v>513</v>
      </c>
      <c r="C37" s="163" t="s">
        <v>253</v>
      </c>
      <c r="D37" s="66"/>
      <c r="E37" s="129">
        <f>D41</f>
        <v>0</v>
      </c>
      <c r="F37" s="129">
        <f>E41</f>
        <v>0</v>
      </c>
      <c r="G37" s="129">
        <f>F41</f>
        <v>0</v>
      </c>
      <c r="H37" s="129">
        <f>G41</f>
        <v>0</v>
      </c>
    </row>
    <row r="38" spans="2:8">
      <c r="B38" s="327" t="s">
        <v>513</v>
      </c>
      <c r="C38" s="163" t="s">
        <v>260</v>
      </c>
      <c r="D38" s="66"/>
      <c r="E38" s="66"/>
      <c r="F38" s="66"/>
      <c r="G38" s="66"/>
      <c r="H38" s="66"/>
    </row>
    <row r="39" spans="2:8">
      <c r="B39" s="327" t="s">
        <v>513</v>
      </c>
      <c r="C39" s="163" t="s">
        <v>269</v>
      </c>
      <c r="D39" s="66"/>
      <c r="E39" s="66"/>
      <c r="F39" s="66"/>
      <c r="G39" s="66"/>
      <c r="H39" s="66"/>
    </row>
    <row r="40" spans="2:8">
      <c r="B40" s="327" t="s">
        <v>513</v>
      </c>
      <c r="C40" s="163" t="s">
        <v>262</v>
      </c>
      <c r="D40" s="66"/>
      <c r="E40" s="66"/>
      <c r="F40" s="66"/>
      <c r="G40" s="66"/>
      <c r="H40" s="66"/>
    </row>
    <row r="41" spans="2:8" ht="11.25" customHeight="1">
      <c r="B41" s="285"/>
      <c r="C41" s="84" t="s">
        <v>270</v>
      </c>
      <c r="D41" s="129">
        <f>SUM(D37:D40)</f>
        <v>0</v>
      </c>
      <c r="E41" s="129">
        <f>SUM(E37:E40)</f>
        <v>0</v>
      </c>
      <c r="F41" s="129">
        <f>SUM(F37:F40)</f>
        <v>0</v>
      </c>
      <c r="G41" s="129">
        <f>SUM(G37:G40)</f>
        <v>0</v>
      </c>
      <c r="H41" s="129">
        <f>SUM(H37:H40)</f>
        <v>0</v>
      </c>
    </row>
    <row r="42" spans="2:8">
      <c r="B42" s="285"/>
      <c r="C42" s="48" t="s">
        <v>271</v>
      </c>
      <c r="D42" s="302"/>
      <c r="E42" s="302"/>
      <c r="F42" s="302"/>
      <c r="G42" s="302"/>
      <c r="H42" s="302"/>
    </row>
    <row r="43" spans="2:8">
      <c r="B43" s="327" t="s">
        <v>513</v>
      </c>
      <c r="C43" s="163" t="s">
        <v>253</v>
      </c>
      <c r="D43" s="66"/>
      <c r="E43" s="129">
        <f>D47</f>
        <v>0</v>
      </c>
      <c r="F43" s="129">
        <f>E47</f>
        <v>0</v>
      </c>
      <c r="G43" s="129">
        <f>F47</f>
        <v>0</v>
      </c>
      <c r="H43" s="129">
        <f>G47</f>
        <v>0</v>
      </c>
    </row>
    <row r="44" spans="2:8">
      <c r="B44" s="327" t="s">
        <v>513</v>
      </c>
      <c r="C44" s="163" t="s">
        <v>260</v>
      </c>
      <c r="D44" s="66"/>
      <c r="E44" s="66"/>
      <c r="F44" s="66"/>
      <c r="G44" s="66"/>
      <c r="H44" s="66"/>
    </row>
    <row r="45" spans="2:8">
      <c r="B45" s="327" t="s">
        <v>513</v>
      </c>
      <c r="C45" s="163" t="s">
        <v>272</v>
      </c>
      <c r="D45" s="66"/>
      <c r="E45" s="66"/>
      <c r="F45" s="66"/>
      <c r="G45" s="66"/>
      <c r="H45" s="66"/>
    </row>
    <row r="46" spans="2:8">
      <c r="B46" s="327" t="s">
        <v>513</v>
      </c>
      <c r="C46" s="163" t="s">
        <v>262</v>
      </c>
      <c r="D46" s="66"/>
      <c r="E46" s="66"/>
      <c r="F46" s="66"/>
      <c r="G46" s="66"/>
      <c r="H46" s="66"/>
    </row>
    <row r="47" spans="2:8">
      <c r="B47" s="285"/>
      <c r="C47" s="84" t="s">
        <v>273</v>
      </c>
      <c r="D47" s="129">
        <f>SUM(D43:D46)</f>
        <v>0</v>
      </c>
      <c r="E47" s="129">
        <f>SUM(E43:E46)</f>
        <v>0</v>
      </c>
      <c r="F47" s="129">
        <f>SUM(F43:F46)</f>
        <v>0</v>
      </c>
      <c r="G47" s="129">
        <f>SUM(G43:G46)</f>
        <v>0</v>
      </c>
      <c r="H47" s="129">
        <f>SUM(H43:H46)</f>
        <v>0</v>
      </c>
    </row>
    <row r="48" spans="2:8">
      <c r="B48" s="285"/>
      <c r="C48" s="48" t="s">
        <v>274</v>
      </c>
      <c r="D48" s="302"/>
      <c r="E48" s="302"/>
      <c r="F48" s="302"/>
      <c r="G48" s="302"/>
      <c r="H48" s="302"/>
    </row>
    <row r="49" spans="2:8" ht="11.25" customHeight="1">
      <c r="B49" s="327" t="s">
        <v>513</v>
      </c>
      <c r="C49" s="163" t="s">
        <v>253</v>
      </c>
      <c r="D49" s="66"/>
      <c r="E49" s="129">
        <f>D53</f>
        <v>0</v>
      </c>
      <c r="F49" s="129">
        <f>E53</f>
        <v>0</v>
      </c>
      <c r="G49" s="129">
        <f>F53</f>
        <v>0</v>
      </c>
      <c r="H49" s="129">
        <f>G53</f>
        <v>0</v>
      </c>
    </row>
    <row r="50" spans="2:8">
      <c r="B50" s="327" t="s">
        <v>513</v>
      </c>
      <c r="C50" s="163" t="s">
        <v>260</v>
      </c>
      <c r="D50" s="66"/>
      <c r="E50" s="66"/>
      <c r="F50" s="66"/>
      <c r="G50" s="66"/>
      <c r="H50" s="66"/>
    </row>
    <row r="51" spans="2:8">
      <c r="B51" s="327" t="s">
        <v>513</v>
      </c>
      <c r="C51" s="163" t="s">
        <v>275</v>
      </c>
      <c r="D51" s="66"/>
      <c r="E51" s="66"/>
      <c r="F51" s="66"/>
      <c r="G51" s="66"/>
      <c r="H51" s="66"/>
    </row>
    <row r="52" spans="2:8">
      <c r="B52" s="327" t="s">
        <v>513</v>
      </c>
      <c r="C52" s="163" t="s">
        <v>262</v>
      </c>
      <c r="D52" s="66"/>
      <c r="E52" s="66"/>
      <c r="F52" s="66"/>
      <c r="G52" s="66"/>
      <c r="H52" s="66"/>
    </row>
    <row r="53" spans="2:8">
      <c r="B53" s="285"/>
      <c r="C53" s="84" t="s">
        <v>276</v>
      </c>
      <c r="D53" s="129">
        <f>SUM(D49:D52)</f>
        <v>0</v>
      </c>
      <c r="E53" s="129">
        <f>SUM(E49:E52)</f>
        <v>0</v>
      </c>
      <c r="F53" s="129">
        <f>SUM(F49:F52)</f>
        <v>0</v>
      </c>
      <c r="G53" s="129">
        <f>SUM(G49:G52)</f>
        <v>0</v>
      </c>
      <c r="H53" s="129">
        <f>SUM(H49:H52)</f>
        <v>0</v>
      </c>
    </row>
    <row r="54" spans="2:8">
      <c r="B54" s="285"/>
      <c r="C54" s="48" t="s">
        <v>277</v>
      </c>
      <c r="D54" s="302"/>
      <c r="E54" s="302"/>
      <c r="F54" s="302"/>
      <c r="G54" s="302"/>
      <c r="H54" s="302"/>
    </row>
    <row r="55" spans="2:8">
      <c r="B55" s="327" t="s">
        <v>513</v>
      </c>
      <c r="C55" s="163" t="s">
        <v>253</v>
      </c>
      <c r="D55" s="66"/>
      <c r="E55" s="129">
        <f>D59</f>
        <v>0</v>
      </c>
      <c r="F55" s="129">
        <f>E59</f>
        <v>0</v>
      </c>
      <c r="G55" s="129">
        <f>F59</f>
        <v>0</v>
      </c>
      <c r="H55" s="129">
        <f>G59</f>
        <v>0</v>
      </c>
    </row>
    <row r="56" spans="2:8">
      <c r="B56" s="327" t="s">
        <v>513</v>
      </c>
      <c r="C56" s="163" t="s">
        <v>260</v>
      </c>
      <c r="D56" s="66"/>
      <c r="E56" s="66"/>
      <c r="F56" s="66"/>
      <c r="G56" s="66"/>
      <c r="H56" s="66"/>
    </row>
    <row r="57" spans="2:8" ht="11.25" customHeight="1">
      <c r="B57" s="327" t="s">
        <v>513</v>
      </c>
      <c r="C57" s="163" t="s">
        <v>278</v>
      </c>
      <c r="D57" s="66"/>
      <c r="E57" s="66"/>
      <c r="F57" s="66"/>
      <c r="G57" s="66"/>
      <c r="H57" s="66"/>
    </row>
    <row r="58" spans="2:8">
      <c r="B58" s="327" t="s">
        <v>513</v>
      </c>
      <c r="C58" s="163" t="s">
        <v>262</v>
      </c>
      <c r="D58" s="66"/>
      <c r="E58" s="66"/>
      <c r="F58" s="66"/>
      <c r="G58" s="66"/>
      <c r="H58" s="66"/>
    </row>
    <row r="59" spans="2:8">
      <c r="B59" s="285"/>
      <c r="C59" s="84" t="s">
        <v>279</v>
      </c>
      <c r="D59" s="129">
        <f>SUM(D55:D58)</f>
        <v>0</v>
      </c>
      <c r="E59" s="129">
        <f>SUM(E55:E58)</f>
        <v>0</v>
      </c>
      <c r="F59" s="129">
        <f>SUM(F55:F58)</f>
        <v>0</v>
      </c>
      <c r="G59" s="129">
        <f>SUM(G55:G58)</f>
        <v>0</v>
      </c>
      <c r="H59" s="129">
        <f>SUM(H55:H58)</f>
        <v>0</v>
      </c>
    </row>
    <row r="60" spans="2:8">
      <c r="B60" s="285"/>
      <c r="C60" s="48" t="s">
        <v>280</v>
      </c>
      <c r="D60" s="302"/>
      <c r="E60" s="302"/>
      <c r="F60" s="302"/>
      <c r="G60" s="302"/>
      <c r="H60" s="302"/>
    </row>
    <row r="61" spans="2:8">
      <c r="B61" s="327" t="s">
        <v>513</v>
      </c>
      <c r="C61" s="163" t="s">
        <v>253</v>
      </c>
      <c r="D61" s="66"/>
      <c r="E61" s="129">
        <f>D65</f>
        <v>0</v>
      </c>
      <c r="F61" s="129">
        <f>E65</f>
        <v>0</v>
      </c>
      <c r="G61" s="129">
        <f>F65</f>
        <v>0</v>
      </c>
      <c r="H61" s="129">
        <f>G65</f>
        <v>0</v>
      </c>
    </row>
    <row r="62" spans="2:8">
      <c r="B62" s="327" t="s">
        <v>513</v>
      </c>
      <c r="C62" s="163" t="s">
        <v>260</v>
      </c>
      <c r="D62" s="66"/>
      <c r="E62" s="66"/>
      <c r="F62" s="66"/>
      <c r="G62" s="66"/>
      <c r="H62" s="66"/>
    </row>
    <row r="63" spans="2:8" ht="11.25" customHeight="1">
      <c r="B63" s="327" t="s">
        <v>513</v>
      </c>
      <c r="C63" s="163" t="s">
        <v>281</v>
      </c>
      <c r="D63" s="66"/>
      <c r="E63" s="66"/>
      <c r="F63" s="66"/>
      <c r="G63" s="66"/>
      <c r="H63" s="66"/>
    </row>
    <row r="64" spans="2:8" ht="11.25" customHeight="1">
      <c r="B64" s="327" t="s">
        <v>513</v>
      </c>
      <c r="C64" s="163" t="s">
        <v>262</v>
      </c>
      <c r="D64" s="66"/>
      <c r="E64" s="66"/>
      <c r="F64" s="66"/>
      <c r="G64" s="66"/>
      <c r="H64" s="66"/>
    </row>
    <row r="65" spans="2:8" ht="11.25" customHeight="1">
      <c r="B65" s="285"/>
      <c r="C65" s="84" t="s">
        <v>282</v>
      </c>
      <c r="D65" s="129">
        <f>SUM(D61:D64)</f>
        <v>0</v>
      </c>
      <c r="E65" s="129">
        <f>SUM(E61:E64)</f>
        <v>0</v>
      </c>
      <c r="F65" s="129">
        <f>SUM(F61:F64)</f>
        <v>0</v>
      </c>
      <c r="G65" s="129">
        <f>SUM(G61:G64)</f>
        <v>0</v>
      </c>
      <c r="H65" s="129">
        <f>SUM(H61:H64)</f>
        <v>0</v>
      </c>
    </row>
    <row r="66" spans="2:8">
      <c r="B66" s="285"/>
      <c r="C66" s="48" t="s">
        <v>283</v>
      </c>
      <c r="D66" s="302"/>
      <c r="E66" s="302"/>
      <c r="F66" s="302"/>
      <c r="G66" s="302"/>
      <c r="H66" s="302"/>
    </row>
    <row r="67" spans="2:8">
      <c r="B67" s="327" t="s">
        <v>513</v>
      </c>
      <c r="C67" s="163" t="s">
        <v>253</v>
      </c>
      <c r="D67" s="66"/>
      <c r="E67" s="129">
        <f>D71</f>
        <v>0</v>
      </c>
      <c r="F67" s="129">
        <f>E71</f>
        <v>0</v>
      </c>
      <c r="G67" s="129">
        <f>F71</f>
        <v>0</v>
      </c>
      <c r="H67" s="129">
        <f>G71</f>
        <v>0</v>
      </c>
    </row>
    <row r="68" spans="2:8">
      <c r="B68" s="327" t="s">
        <v>513</v>
      </c>
      <c r="C68" s="163" t="s">
        <v>260</v>
      </c>
      <c r="D68" s="66"/>
      <c r="E68" s="66"/>
      <c r="F68" s="66"/>
      <c r="G68" s="66"/>
      <c r="H68" s="66"/>
    </row>
    <row r="69" spans="2:8">
      <c r="B69" s="327" t="s">
        <v>513</v>
      </c>
      <c r="C69" s="163" t="s">
        <v>284</v>
      </c>
      <c r="D69" s="66"/>
      <c r="E69" s="66"/>
      <c r="F69" s="66"/>
      <c r="G69" s="66"/>
      <c r="H69" s="66"/>
    </row>
    <row r="70" spans="2:8">
      <c r="B70" s="327" t="s">
        <v>513</v>
      </c>
      <c r="C70" s="163" t="s">
        <v>262</v>
      </c>
      <c r="D70" s="66"/>
      <c r="E70" s="66"/>
      <c r="F70" s="66"/>
      <c r="G70" s="66"/>
      <c r="H70" s="66"/>
    </row>
    <row r="71" spans="2:8">
      <c r="B71" s="285"/>
      <c r="C71" s="84" t="s">
        <v>285</v>
      </c>
      <c r="D71" s="129">
        <f>SUM(D67:D70)</f>
        <v>0</v>
      </c>
      <c r="E71" s="129">
        <f>SUM(E67:E70)</f>
        <v>0</v>
      </c>
      <c r="F71" s="129">
        <f>SUM(F67:F70)</f>
        <v>0</v>
      </c>
      <c r="G71" s="129">
        <f>SUM(G67:G70)</f>
        <v>0</v>
      </c>
      <c r="H71" s="129">
        <f>SUM(H67:H70)</f>
        <v>0</v>
      </c>
    </row>
    <row r="72" spans="2:8">
      <c r="B72" s="285"/>
      <c r="C72" s="48" t="s">
        <v>286</v>
      </c>
      <c r="D72" s="302"/>
      <c r="E72" s="302"/>
      <c r="F72" s="302"/>
      <c r="G72" s="302"/>
      <c r="H72" s="302"/>
    </row>
    <row r="73" spans="2:8" ht="11.25" customHeight="1">
      <c r="B73" s="327" t="s">
        <v>513</v>
      </c>
      <c r="C73" s="163" t="s">
        <v>253</v>
      </c>
      <c r="D73" s="66"/>
      <c r="E73" s="129">
        <f>D77</f>
        <v>0</v>
      </c>
      <c r="F73" s="129">
        <f>E77</f>
        <v>0</v>
      </c>
      <c r="G73" s="129">
        <f>F77</f>
        <v>0</v>
      </c>
      <c r="H73" s="129">
        <f>G77</f>
        <v>0</v>
      </c>
    </row>
    <row r="74" spans="2:8">
      <c r="B74" s="327" t="s">
        <v>513</v>
      </c>
      <c r="C74" s="163" t="s">
        <v>260</v>
      </c>
      <c r="D74" s="66"/>
      <c r="E74" s="66"/>
      <c r="F74" s="66"/>
      <c r="G74" s="66"/>
      <c r="H74" s="66"/>
    </row>
    <row r="75" spans="2:8">
      <c r="B75" s="327" t="s">
        <v>513</v>
      </c>
      <c r="C75" s="163" t="s">
        <v>284</v>
      </c>
      <c r="D75" s="66"/>
      <c r="E75" s="66"/>
      <c r="F75" s="66"/>
      <c r="G75" s="66"/>
      <c r="H75" s="66"/>
    </row>
    <row r="76" spans="2:8">
      <c r="B76" s="327" t="s">
        <v>513</v>
      </c>
      <c r="C76" s="163" t="s">
        <v>262</v>
      </c>
      <c r="D76" s="66"/>
      <c r="E76" s="66"/>
      <c r="F76" s="66"/>
      <c r="G76" s="66"/>
      <c r="H76" s="66"/>
    </row>
    <row r="77" spans="2:8">
      <c r="B77" s="285"/>
      <c r="C77" s="84" t="s">
        <v>287</v>
      </c>
      <c r="D77" s="129">
        <f>SUM(D73:D76)</f>
        <v>0</v>
      </c>
      <c r="E77" s="129">
        <f>SUM(E73:E76)</f>
        <v>0</v>
      </c>
      <c r="F77" s="129">
        <f>SUM(F73:F76)</f>
        <v>0</v>
      </c>
      <c r="G77" s="129">
        <f>SUM(G73:G76)</f>
        <v>0</v>
      </c>
      <c r="H77" s="129">
        <f>SUM(H73:H76)</f>
        <v>0</v>
      </c>
    </row>
    <row r="78" spans="2:8">
      <c r="B78" s="285"/>
      <c r="C78" s="84" t="s">
        <v>288</v>
      </c>
      <c r="D78" s="129">
        <f>SUM(D23,D29,D35,D41,D47,D53,D59,D65,D71,D77)</f>
        <v>0</v>
      </c>
      <c r="E78" s="129">
        <f>SUM(E23,E29,E35,E41,E47,E53,E59,E65,E71,E77)</f>
        <v>0</v>
      </c>
      <c r="F78" s="129">
        <f>SUM(F23,F29,F35,F41,F47,F53,F59,F65,F71,F77)</f>
        <v>0</v>
      </c>
      <c r="G78" s="129">
        <f>SUM(G23,G29,G35,G41,G47,G53,G59,G65,G71,G77)</f>
        <v>0</v>
      </c>
      <c r="H78" s="129">
        <f>SUM(H23,H29,H35,H41,H47,H53,H59,H65,H71,H77)</f>
        <v>0</v>
      </c>
    </row>
    <row r="79" spans="2:8">
      <c r="B79" s="285"/>
      <c r="C79" s="48" t="s">
        <v>289</v>
      </c>
      <c r="D79" s="302"/>
      <c r="E79" s="302"/>
      <c r="F79" s="302"/>
      <c r="G79" s="302"/>
      <c r="H79" s="302"/>
    </row>
    <row r="80" spans="2:8" ht="11.25" customHeight="1">
      <c r="B80" s="327" t="s">
        <v>513</v>
      </c>
      <c r="C80" s="163" t="s">
        <v>253</v>
      </c>
      <c r="D80" s="66"/>
      <c r="E80" s="129">
        <f>D84</f>
        <v>0</v>
      </c>
      <c r="F80" s="129">
        <f>E84</f>
        <v>0</v>
      </c>
      <c r="G80" s="129">
        <f>F84</f>
        <v>0</v>
      </c>
      <c r="H80" s="129">
        <f>G84</f>
        <v>0</v>
      </c>
    </row>
    <row r="81" spans="2:8">
      <c r="B81" s="327" t="s">
        <v>513</v>
      </c>
      <c r="C81" s="163" t="s">
        <v>260</v>
      </c>
      <c r="D81" s="66"/>
      <c r="E81" s="66"/>
      <c r="F81" s="66"/>
      <c r="G81" s="66"/>
      <c r="H81" s="66"/>
    </row>
    <row r="82" spans="2:8">
      <c r="B82" s="327" t="s">
        <v>513</v>
      </c>
      <c r="C82" s="163" t="s">
        <v>290</v>
      </c>
      <c r="D82" s="66"/>
      <c r="E82" s="66"/>
      <c r="F82" s="66"/>
      <c r="G82" s="66"/>
      <c r="H82" s="66"/>
    </row>
    <row r="83" spans="2:8" s="263" customFormat="1">
      <c r="B83" s="327" t="s">
        <v>513</v>
      </c>
      <c r="C83" s="163" t="s">
        <v>291</v>
      </c>
      <c r="D83" s="66"/>
      <c r="E83" s="66"/>
      <c r="F83" s="66"/>
      <c r="G83" s="66"/>
      <c r="H83" s="66"/>
    </row>
    <row r="84" spans="2:8" s="263" customFormat="1">
      <c r="B84" s="285"/>
      <c r="C84" s="84" t="s">
        <v>292</v>
      </c>
      <c r="D84" s="129">
        <f>SUM(D80:D83)</f>
        <v>0</v>
      </c>
      <c r="E84" s="129">
        <f>SUM(E80:E83)</f>
        <v>0</v>
      </c>
      <c r="F84" s="129">
        <f>SUM(F80:F83)</f>
        <v>0</v>
      </c>
      <c r="G84" s="129">
        <f>SUM(G80:G83)</f>
        <v>0</v>
      </c>
      <c r="H84" s="129">
        <f>SUM(H80:H83)</f>
        <v>0</v>
      </c>
    </row>
    <row r="85" spans="2:8" s="263" customFormat="1">
      <c r="B85" s="285"/>
      <c r="C85" s="48" t="s">
        <v>293</v>
      </c>
      <c r="D85" s="302"/>
      <c r="E85" s="302"/>
      <c r="F85" s="302"/>
      <c r="G85" s="302"/>
      <c r="H85" s="302"/>
    </row>
    <row r="86" spans="2:8" s="263" customFormat="1">
      <c r="B86" s="327" t="s">
        <v>513</v>
      </c>
      <c r="C86" s="163" t="s">
        <v>253</v>
      </c>
      <c r="D86" s="66"/>
      <c r="E86" s="129">
        <f>D90</f>
        <v>0</v>
      </c>
      <c r="F86" s="129">
        <f>E90</f>
        <v>0</v>
      </c>
      <c r="G86" s="129">
        <f>F90</f>
        <v>0</v>
      </c>
      <c r="H86" s="129">
        <f>G90</f>
        <v>0</v>
      </c>
    </row>
    <row r="87" spans="2:8" s="263" customFormat="1">
      <c r="B87" s="327" t="s">
        <v>513</v>
      </c>
      <c r="C87" s="163" t="s">
        <v>260</v>
      </c>
      <c r="D87" s="66"/>
      <c r="E87" s="66"/>
      <c r="F87" s="66"/>
      <c r="G87" s="66"/>
      <c r="H87" s="66"/>
    </row>
    <row r="88" spans="2:8" s="263" customFormat="1">
      <c r="B88" s="327" t="s">
        <v>513</v>
      </c>
      <c r="C88" s="163" t="s">
        <v>284</v>
      </c>
      <c r="D88" s="66"/>
      <c r="E88" s="66"/>
      <c r="F88" s="66"/>
      <c r="G88" s="66"/>
      <c r="H88" s="66"/>
    </row>
    <row r="89" spans="2:8">
      <c r="B89" s="327" t="s">
        <v>513</v>
      </c>
      <c r="C89" s="163" t="s">
        <v>262</v>
      </c>
      <c r="D89" s="66"/>
      <c r="E89" s="66"/>
      <c r="F89" s="66"/>
      <c r="G89" s="66"/>
      <c r="H89" s="66"/>
    </row>
    <row r="90" spans="2:8">
      <c r="B90" s="285"/>
      <c r="C90" s="84" t="s">
        <v>294</v>
      </c>
      <c r="D90" s="129">
        <f>SUM(D86:D89)</f>
        <v>0</v>
      </c>
      <c r="E90" s="129">
        <f>SUM(E86:E89)</f>
        <v>0</v>
      </c>
      <c r="F90" s="129">
        <f>SUM(F86:F89)</f>
        <v>0</v>
      </c>
      <c r="G90" s="129">
        <f>SUM(G86:G89)</f>
        <v>0</v>
      </c>
      <c r="H90" s="129">
        <f>SUM(H86:H89)</f>
        <v>0</v>
      </c>
    </row>
    <row r="91" spans="2:8">
      <c r="B91" s="327" t="s">
        <v>513</v>
      </c>
      <c r="C91" s="163" t="s">
        <v>295</v>
      </c>
      <c r="D91" s="66"/>
      <c r="E91" s="129">
        <f>D93</f>
        <v>0</v>
      </c>
      <c r="F91" s="129">
        <f>E93</f>
        <v>0</v>
      </c>
      <c r="G91" s="129">
        <f>F93</f>
        <v>0</v>
      </c>
      <c r="H91" s="129">
        <f>G93</f>
        <v>0</v>
      </c>
    </row>
    <row r="92" spans="2:8">
      <c r="B92" s="327" t="s">
        <v>513</v>
      </c>
      <c r="C92" s="163" t="s">
        <v>296</v>
      </c>
      <c r="D92" s="66"/>
      <c r="E92" s="66"/>
      <c r="F92" s="66"/>
      <c r="G92" s="66"/>
      <c r="H92" s="66"/>
    </row>
    <row r="93" spans="2:8">
      <c r="B93" s="285"/>
      <c r="C93" s="84" t="s">
        <v>297</v>
      </c>
      <c r="D93" s="129">
        <f>SUM(D91:D92)</f>
        <v>0</v>
      </c>
      <c r="E93" s="129">
        <f>SUM(E91:E92)</f>
        <v>0</v>
      </c>
      <c r="F93" s="129">
        <f>SUM(F91:F92)</f>
        <v>0</v>
      </c>
      <c r="G93" s="129">
        <f>SUM(G91:G92)</f>
        <v>0</v>
      </c>
      <c r="H93" s="129">
        <f>SUM(H91:H92)</f>
        <v>0</v>
      </c>
    </row>
    <row r="94" spans="2:8">
      <c r="B94" s="285"/>
      <c r="C94" s="84" t="s">
        <v>298</v>
      </c>
      <c r="D94" s="129">
        <f>SUM(D84,D90,D93)</f>
        <v>0</v>
      </c>
      <c r="E94" s="129">
        <f>SUM(E84,E90,E93)</f>
        <v>0</v>
      </c>
      <c r="F94" s="129">
        <f>SUM(F84,F90,F93)</f>
        <v>0</v>
      </c>
      <c r="G94" s="129">
        <f>SUM(G84,G90,G93)</f>
        <v>0</v>
      </c>
      <c r="H94" s="129">
        <f>SUM(H84,H90,H93)</f>
        <v>0</v>
      </c>
    </row>
    <row r="95" spans="2:8">
      <c r="B95" s="285"/>
      <c r="C95" s="84" t="s">
        <v>299</v>
      </c>
      <c r="D95" s="129">
        <f>D78+D94</f>
        <v>0</v>
      </c>
      <c r="E95" s="129">
        <f>E78+E94</f>
        <v>0</v>
      </c>
      <c r="F95" s="129">
        <f>F78+F94</f>
        <v>0</v>
      </c>
      <c r="G95" s="129">
        <f>G78+G94</f>
        <v>0</v>
      </c>
      <c r="H95" s="129">
        <f>H78+H94</f>
        <v>0</v>
      </c>
    </row>
    <row r="119" spans="3:3">
      <c r="C119" s="265"/>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28515625" style="205" customWidth="1"/>
    <col min="2" max="2" width="21" style="205" customWidth="1"/>
    <col min="3" max="6" width="42.28515625" style="205" customWidth="1"/>
    <col min="7" max="7" width="9.42578125" style="205" customWidth="1"/>
    <col min="8" max="8" width="25.28515625" style="205" customWidth="1"/>
    <col min="9" max="16384" width="9.28515625" style="205"/>
  </cols>
  <sheetData>
    <row r="1" spans="2:6" ht="20.25" customHeight="1">
      <c r="B1" s="135" t="s">
        <v>53</v>
      </c>
      <c r="C1" s="135"/>
    </row>
    <row r="2" spans="2:6" ht="20.25">
      <c r="B2" s="135" t="str">
        <f>IF(Tradingname=0," ",Tradingname)</f>
        <v>APA (SWQP) PTY LIMITED</v>
      </c>
      <c r="C2" s="135"/>
    </row>
    <row r="3" spans="2:6" ht="20.25">
      <c r="B3" s="135" t="s">
        <v>30</v>
      </c>
      <c r="C3" s="99">
        <f>IF(Yearending=0, "01/01/2000", Yearending)</f>
        <v>45838</v>
      </c>
    </row>
    <row r="4" spans="2:6" ht="20.25">
      <c r="B4" s="91" t="s">
        <v>300</v>
      </c>
      <c r="C4" s="91"/>
    </row>
    <row r="7" spans="2:6" ht="15.75">
      <c r="B7" s="207" t="s">
        <v>301</v>
      </c>
      <c r="C7" s="208"/>
      <c r="D7" s="208"/>
      <c r="E7" s="208"/>
    </row>
    <row r="8" spans="2:6" ht="15.75">
      <c r="B8" s="207"/>
      <c r="C8" s="208"/>
      <c r="D8" s="208"/>
      <c r="E8" s="208"/>
    </row>
    <row r="9" spans="2:6" ht="25.5">
      <c r="B9" s="37" t="s">
        <v>113</v>
      </c>
      <c r="C9" s="37" t="s">
        <v>302</v>
      </c>
      <c r="D9" s="37" t="s">
        <v>303</v>
      </c>
      <c r="E9" s="37" t="s">
        <v>304</v>
      </c>
      <c r="F9" s="49" t="s">
        <v>305</v>
      </c>
    </row>
    <row r="10" spans="2:6">
      <c r="B10" s="39"/>
      <c r="C10" s="39"/>
      <c r="D10" s="42"/>
      <c r="E10" s="266" t="s">
        <v>306</v>
      </c>
      <c r="F10" s="267"/>
    </row>
    <row r="11" spans="2:6" ht="25.5">
      <c r="B11" s="325" t="s">
        <v>514</v>
      </c>
      <c r="C11" s="13" t="str">
        <f>'3.1 Depreciated Book Value'!C17</f>
        <v xml:space="preserve">Pipelines </v>
      </c>
      <c r="D11" s="310" t="str">
        <f>CONCATENATE("9/10/2012"," to ",TEXT(Yearending,"d/m/yyyy"))</f>
        <v>9/10/2012 to 30/6/2025</v>
      </c>
      <c r="E11" s="133">
        <v>46.007490347732151</v>
      </c>
      <c r="F11" s="309" t="s">
        <v>526</v>
      </c>
    </row>
    <row r="12" spans="2:6" ht="25.5">
      <c r="B12" s="325" t="s">
        <v>514</v>
      </c>
      <c r="C12" s="13" t="str">
        <f>'3.1 Depreciated Book Value'!C26</f>
        <v xml:space="preserve">Compressors </v>
      </c>
      <c r="D12" s="74" t="str">
        <f>CONCATENATE("9/10/2012"," to ",TEXT(Yearending,"d/m/yyyy"))</f>
        <v>9/10/2012 to 30/6/2025</v>
      </c>
      <c r="E12" s="317">
        <v>25.560203006677646</v>
      </c>
      <c r="F12" s="134" t="s">
        <v>526</v>
      </c>
    </row>
    <row r="13" spans="2:6" ht="25.5">
      <c r="B13" s="325" t="s">
        <v>514</v>
      </c>
      <c r="C13" s="13" t="str">
        <f>'3.1 Depreciated Book Value'!C34</f>
        <v xml:space="preserve">City Gates, supply regulators and valve stations </v>
      </c>
      <c r="D13" s="310" t="str">
        <f>CONCATENATE("9/10/2012"," to ",TEXT(Yearending,"d/m/yyyy"))</f>
        <v>9/10/2012 to 30/6/2025</v>
      </c>
      <c r="E13" s="133">
        <v>31.763779408168269</v>
      </c>
      <c r="F13" s="134" t="s">
        <v>526</v>
      </c>
    </row>
    <row r="14" spans="2:6" ht="25.5">
      <c r="B14" s="325" t="s">
        <v>514</v>
      </c>
      <c r="C14" s="13" t="str">
        <f>'3.1 Depreciated Book Value'!C42</f>
        <v xml:space="preserve">Metering </v>
      </c>
      <c r="D14" s="310" t="str">
        <f>CONCATENATE("9/10/2012"," to ",TEXT(Yearending,"d/m/yyyy"))</f>
        <v>9/10/2012 to 30/6/2025</v>
      </c>
      <c r="E14" s="133">
        <v>17.575206989122329</v>
      </c>
      <c r="F14" s="134" t="s">
        <v>526</v>
      </c>
    </row>
    <row r="15" spans="2:6">
      <c r="B15" s="325" t="s">
        <v>514</v>
      </c>
      <c r="C15" s="13" t="str">
        <f>'3.1 Depreciated Book Value'!C50</f>
        <v xml:space="preserve">Odorant plants </v>
      </c>
      <c r="D15" s="74" t="s">
        <v>481</v>
      </c>
      <c r="E15" s="317" t="s">
        <v>481</v>
      </c>
      <c r="F15" s="134" t="s">
        <v>481</v>
      </c>
    </row>
    <row r="16" spans="2:6" ht="25.5">
      <c r="B16" s="325" t="s">
        <v>514</v>
      </c>
      <c r="C16" s="13" t="str">
        <f>'3.1 Depreciated Book Value'!C58</f>
        <v xml:space="preserve">SCADA (Communications) </v>
      </c>
      <c r="D16" s="310" t="str">
        <f>CONCATENATE("9/10/2012"," to ",TEXT(Yearending,"d/m/yyyy"))</f>
        <v>9/10/2012 to 30/6/2025</v>
      </c>
      <c r="E16" s="133">
        <v>8.0885368619150437</v>
      </c>
      <c r="F16" s="134" t="s">
        <v>526</v>
      </c>
    </row>
    <row r="17" spans="2:7" ht="25.5">
      <c r="B17" s="325" t="s">
        <v>514</v>
      </c>
      <c r="C17" s="13" t="str">
        <f>'3.1 Depreciated Book Value'!C66</f>
        <v xml:space="preserve">Buildings </v>
      </c>
      <c r="D17" s="310" t="str">
        <f>CONCATENATE("9/10/2012"," to ",TEXT(Yearending,"d/m/yyyy"))</f>
        <v>9/10/2012 to 30/6/2025</v>
      </c>
      <c r="E17" s="133">
        <v>15.251891095292017</v>
      </c>
      <c r="F17" s="134" t="s">
        <v>526</v>
      </c>
    </row>
    <row r="18" spans="2:7" ht="25.5">
      <c r="B18" s="325" t="s">
        <v>514</v>
      </c>
      <c r="C18" s="13" t="str">
        <f>'3.1 Depreciated Book Value'!C81</f>
        <v>Other depreciable pipeline assets</v>
      </c>
      <c r="D18" s="74" t="str">
        <f>CONCATENATE("9/10/2012"," to ",TEXT(Yearending,"d/m/yyyy"))</f>
        <v>9/10/2012 to 30/6/2025</v>
      </c>
      <c r="E18" s="133">
        <v>15.414239116917607</v>
      </c>
      <c r="F18" s="134" t="s">
        <v>526</v>
      </c>
    </row>
    <row r="19" spans="2:7" ht="25.5">
      <c r="B19" s="283"/>
      <c r="C19" s="318" t="s">
        <v>505</v>
      </c>
      <c r="D19" s="74" t="str">
        <f>CONCATENATE("9/10/2012"," to ",TEXT(Yearending,"d/m/yyyy"))</f>
        <v>9/10/2012 to 30/6/2025</v>
      </c>
      <c r="E19" s="317" t="s">
        <v>481</v>
      </c>
      <c r="F19" s="309" t="s">
        <v>526</v>
      </c>
    </row>
    <row r="20" spans="2:7">
      <c r="B20" s="283"/>
      <c r="C20" s="73" t="s">
        <v>307</v>
      </c>
      <c r="D20" s="74"/>
      <c r="E20" s="133"/>
      <c r="F20" s="134"/>
    </row>
    <row r="21" spans="2:7">
      <c r="B21" s="283"/>
      <c r="C21" s="73" t="s">
        <v>307</v>
      </c>
      <c r="D21" s="74"/>
      <c r="E21" s="133"/>
      <c r="F21" s="134"/>
      <c r="G21" s="268"/>
    </row>
    <row r="22" spans="2:7">
      <c r="B22" s="283"/>
      <c r="C22" s="73" t="s">
        <v>307</v>
      </c>
      <c r="D22" s="74"/>
      <c r="E22" s="133"/>
      <c r="F22" s="134"/>
      <c r="G22" s="268"/>
    </row>
    <row r="23" spans="2:7" ht="25.5">
      <c r="B23" s="334" t="s">
        <v>514</v>
      </c>
      <c r="C23" s="13" t="str">
        <f>'3.1 Depreciated Book Value'!C89</f>
        <v xml:space="preserve">Leased assets </v>
      </c>
      <c r="D23" s="335" t="s">
        <v>522</v>
      </c>
      <c r="E23" s="317" t="s">
        <v>523</v>
      </c>
      <c r="F23" s="134" t="s">
        <v>526</v>
      </c>
      <c r="G23" s="268"/>
    </row>
    <row r="24" spans="2:7">
      <c r="B24" s="283"/>
      <c r="C24" s="73" t="s">
        <v>307</v>
      </c>
      <c r="D24" s="74"/>
      <c r="E24" s="133"/>
      <c r="F24" s="134"/>
      <c r="G24" s="268"/>
    </row>
    <row r="25" spans="2:7">
      <c r="B25" s="283"/>
      <c r="C25" s="73" t="s">
        <v>307</v>
      </c>
      <c r="D25" s="74"/>
      <c r="E25" s="133"/>
      <c r="F25" s="134"/>
      <c r="G25" s="268"/>
    </row>
    <row r="26" spans="2:7">
      <c r="B26" s="283"/>
      <c r="C26" s="73" t="s">
        <v>307</v>
      </c>
      <c r="D26" s="74"/>
      <c r="E26" s="133"/>
      <c r="F26" s="134"/>
    </row>
    <row r="27" spans="2:7">
      <c r="B27" s="283"/>
      <c r="C27" s="73" t="s">
        <v>307</v>
      </c>
      <c r="D27" s="74"/>
      <c r="E27" s="133"/>
      <c r="F27" s="134"/>
    </row>
    <row r="28" spans="2:7" ht="25.5">
      <c r="B28" s="334" t="s">
        <v>514</v>
      </c>
      <c r="C28" s="13" t="str">
        <f>'3.1 Depreciated Book Value'!C105</f>
        <v>Shared property, plant and equipment</v>
      </c>
      <c r="D28" s="335" t="s">
        <v>524</v>
      </c>
      <c r="E28" s="133">
        <v>3.4323791017076388</v>
      </c>
      <c r="F28" s="134" t="s">
        <v>526</v>
      </c>
    </row>
    <row r="29" spans="2:7">
      <c r="B29" s="283"/>
      <c r="C29" s="73" t="s">
        <v>307</v>
      </c>
      <c r="D29" s="74"/>
      <c r="E29" s="133"/>
      <c r="F29" s="134"/>
    </row>
    <row r="30" spans="2:7">
      <c r="B30" s="283"/>
      <c r="C30" s="73" t="s">
        <v>307</v>
      </c>
      <c r="D30" s="74"/>
      <c r="E30" s="133"/>
      <c r="F30" s="134"/>
    </row>
    <row r="31" spans="2:7">
      <c r="B31" s="283"/>
      <c r="C31" s="73" t="s">
        <v>307</v>
      </c>
      <c r="D31" s="74"/>
      <c r="E31" s="133"/>
      <c r="F31" s="134"/>
    </row>
    <row r="32" spans="2:7">
      <c r="B32" s="283"/>
      <c r="C32" s="73" t="s">
        <v>307</v>
      </c>
      <c r="D32" s="74"/>
      <c r="E32" s="133"/>
      <c r="F32" s="134"/>
      <c r="G32" s="268"/>
    </row>
    <row r="33" spans="2:7">
      <c r="B33" s="283"/>
      <c r="C33" s="73" t="s">
        <v>307</v>
      </c>
      <c r="D33" s="74"/>
      <c r="E33" s="133"/>
      <c r="F33" s="134"/>
      <c r="G33" s="268"/>
    </row>
    <row r="34" spans="2:7" ht="25.5">
      <c r="B34" s="334" t="s">
        <v>514</v>
      </c>
      <c r="C34" s="13" t="str">
        <f>'3.1 Depreciated Book Value'!C113</f>
        <v>Shared leased assets</v>
      </c>
      <c r="D34" s="335" t="s">
        <v>522</v>
      </c>
      <c r="E34" s="317" t="s">
        <v>523</v>
      </c>
      <c r="F34" s="134" t="s">
        <v>526</v>
      </c>
      <c r="G34" s="268"/>
    </row>
    <row r="35" spans="2:7">
      <c r="B35" s="283"/>
      <c r="C35" s="73" t="s">
        <v>307</v>
      </c>
      <c r="D35" s="74"/>
      <c r="E35" s="133"/>
      <c r="F35" s="134"/>
      <c r="G35" s="268"/>
    </row>
    <row r="36" spans="2:7">
      <c r="B36" s="283"/>
      <c r="C36" s="73" t="s">
        <v>307</v>
      </c>
      <c r="D36" s="74"/>
      <c r="E36" s="133"/>
      <c r="F36" s="134"/>
      <c r="G36" s="268"/>
    </row>
    <row r="37" spans="2:7">
      <c r="B37" s="283"/>
      <c r="C37" s="73" t="s">
        <v>307</v>
      </c>
      <c r="D37" s="74"/>
      <c r="E37" s="133"/>
      <c r="F37" s="134"/>
      <c r="G37" s="268"/>
    </row>
    <row r="38" spans="2:7">
      <c r="B38" s="283"/>
      <c r="C38" s="73" t="s">
        <v>307</v>
      </c>
      <c r="D38" s="74"/>
      <c r="E38" s="133"/>
      <c r="F38" s="134"/>
    </row>
    <row r="39" spans="2:7">
      <c r="B39" s="283"/>
      <c r="C39" s="73" t="s">
        <v>307</v>
      </c>
      <c r="D39" s="74"/>
      <c r="E39" s="133"/>
      <c r="F39" s="134"/>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c r="B1" s="135" t="s">
        <v>53</v>
      </c>
      <c r="C1" s="135"/>
      <c r="D1" s="204"/>
      <c r="E1" s="204"/>
      <c r="F1" s="204"/>
      <c r="G1" s="204"/>
      <c r="H1" s="204"/>
      <c r="I1" s="204"/>
      <c r="J1" s="204"/>
    </row>
    <row r="2" spans="2:10" ht="20.25">
      <c r="B2" s="135" t="str">
        <f>IF(Tradingname=0," ",Tradingname)</f>
        <v>APA (SWQP) PTY LIMITED</v>
      </c>
      <c r="C2" s="135"/>
    </row>
    <row r="3" spans="2:10" ht="18" customHeight="1">
      <c r="B3" s="135" t="s">
        <v>30</v>
      </c>
      <c r="C3" s="99">
        <f>IF(Yearending=0, "01/01/2000", Yearending)</f>
        <v>45838</v>
      </c>
      <c r="F3" s="238"/>
    </row>
    <row r="4" spans="2:10" ht="20.25">
      <c r="B4" s="91" t="s">
        <v>308</v>
      </c>
      <c r="C4" s="91"/>
    </row>
    <row r="6" spans="2:10" ht="15.75">
      <c r="B6" s="214"/>
    </row>
    <row r="7" spans="2:10" ht="15.75">
      <c r="B7" s="214" t="s">
        <v>309</v>
      </c>
    </row>
    <row r="8" spans="2:10">
      <c r="B8" s="215"/>
      <c r="C8" s="216"/>
      <c r="D8" s="216"/>
      <c r="E8" s="216"/>
      <c r="F8" s="216"/>
      <c r="G8" s="240"/>
      <c r="H8" s="241"/>
      <c r="I8" s="242"/>
      <c r="J8" s="242"/>
    </row>
    <row r="9" spans="2:10" ht="31.9" customHeight="1">
      <c r="B9" s="30" t="s">
        <v>310</v>
      </c>
      <c r="C9" s="51" t="s">
        <v>311</v>
      </c>
      <c r="D9" s="30" t="s">
        <v>312</v>
      </c>
      <c r="E9" s="30" t="s">
        <v>313</v>
      </c>
      <c r="F9" s="30" t="s">
        <v>314</v>
      </c>
    </row>
    <row r="10" spans="2:10" ht="13.9" customHeight="1">
      <c r="B10" s="67"/>
      <c r="C10" s="76"/>
      <c r="D10" s="68"/>
      <c r="E10" s="75"/>
      <c r="F10" s="69"/>
    </row>
    <row r="11" spans="2:10" ht="13.9" customHeight="1">
      <c r="B11" s="67"/>
      <c r="C11" s="76"/>
      <c r="D11" s="68"/>
      <c r="E11" s="75"/>
      <c r="F11" s="69"/>
    </row>
    <row r="12" spans="2:10" ht="13.9" customHeight="1">
      <c r="B12" s="67"/>
      <c r="C12" s="76"/>
      <c r="D12" s="68"/>
      <c r="E12" s="75"/>
      <c r="F12" s="69"/>
    </row>
    <row r="13" spans="2:10" ht="13.9" customHeight="1">
      <c r="B13" s="67"/>
      <c r="C13" s="76"/>
      <c r="D13" s="68"/>
      <c r="E13" s="75"/>
      <c r="F13" s="69"/>
    </row>
    <row r="14" spans="2:10" ht="13.9" customHeight="1">
      <c r="B14" s="67"/>
      <c r="C14" s="76"/>
      <c r="D14" s="68"/>
      <c r="E14" s="75"/>
      <c r="F14" s="69"/>
    </row>
    <row r="15" spans="2:10" ht="13.9" customHeight="1">
      <c r="B15" s="67"/>
      <c r="C15" s="76"/>
      <c r="D15" s="68"/>
      <c r="E15" s="75"/>
      <c r="F15" s="69"/>
    </row>
    <row r="16" spans="2:10" ht="13.9" customHeight="1">
      <c r="B16" s="67"/>
      <c r="C16" s="76"/>
      <c r="D16" s="68"/>
      <c r="E16" s="75"/>
      <c r="F16" s="69"/>
    </row>
    <row r="17" spans="2:9" ht="13.9" customHeight="1">
      <c r="B17" s="67"/>
      <c r="C17" s="76"/>
      <c r="D17" s="68"/>
      <c r="E17" s="75"/>
      <c r="F17" s="69"/>
    </row>
    <row r="18" spans="2:9" ht="13.9" customHeight="1">
      <c r="B18" s="67"/>
      <c r="C18" s="76"/>
      <c r="D18" s="68"/>
      <c r="E18" s="75"/>
      <c r="F18" s="69"/>
    </row>
    <row r="19" spans="2:9" ht="13.9" customHeight="1">
      <c r="B19" s="67"/>
      <c r="C19" s="76"/>
      <c r="D19" s="68"/>
      <c r="E19" s="75"/>
      <c r="F19" s="69"/>
    </row>
    <row r="20" spans="2:9" ht="13.9" customHeight="1">
      <c r="B20" s="67"/>
      <c r="C20" s="76"/>
      <c r="D20" s="68"/>
      <c r="E20" s="75"/>
      <c r="F20" s="69"/>
    </row>
    <row r="21" spans="2:9" ht="13.9" customHeight="1">
      <c r="B21" s="67"/>
      <c r="C21" s="76"/>
      <c r="D21" s="68"/>
      <c r="E21" s="75"/>
      <c r="F21" s="69"/>
    </row>
    <row r="22" spans="2:9" ht="13.9" customHeight="1">
      <c r="B22" s="67"/>
      <c r="C22" s="76"/>
      <c r="D22" s="68"/>
      <c r="E22" s="75"/>
      <c r="F22" s="69"/>
    </row>
    <row r="23" spans="2:9" ht="13.9" customHeight="1">
      <c r="B23" s="67"/>
      <c r="C23" s="76"/>
      <c r="D23" s="68"/>
      <c r="E23" s="75"/>
      <c r="F23" s="69"/>
    </row>
    <row r="24" spans="2:9" ht="13.9" customHeight="1">
      <c r="B24" s="67"/>
      <c r="C24" s="76"/>
      <c r="D24" s="68"/>
      <c r="E24" s="75"/>
      <c r="F24" s="69"/>
    </row>
    <row r="27" spans="2:9" ht="15.75">
      <c r="B27" s="214" t="s">
        <v>315</v>
      </c>
    </row>
    <row r="28" spans="2:9">
      <c r="B28" s="215"/>
      <c r="C28" s="216"/>
      <c r="D28" s="216"/>
      <c r="E28" s="216"/>
    </row>
    <row r="29" spans="2:9" ht="37.15" customHeight="1">
      <c r="B29" s="30" t="s">
        <v>310</v>
      </c>
      <c r="C29" s="51" t="s">
        <v>311</v>
      </c>
      <c r="D29" s="30" t="s">
        <v>316</v>
      </c>
      <c r="E29" s="30" t="s">
        <v>313</v>
      </c>
      <c r="F29" s="30" t="s">
        <v>314</v>
      </c>
      <c r="G29" s="30" t="s">
        <v>317</v>
      </c>
      <c r="H29" s="30" t="s">
        <v>318</v>
      </c>
      <c r="I29" s="30" t="s">
        <v>319</v>
      </c>
    </row>
    <row r="30" spans="2:9">
      <c r="B30" s="67"/>
      <c r="C30" s="76"/>
      <c r="D30" s="68"/>
      <c r="E30" s="75"/>
      <c r="F30" s="69"/>
      <c r="G30" s="68"/>
      <c r="H30" s="75"/>
      <c r="I30" s="69"/>
    </row>
    <row r="31" spans="2:9">
      <c r="B31" s="67"/>
      <c r="C31" s="76"/>
      <c r="D31" s="68"/>
      <c r="E31" s="75"/>
      <c r="F31" s="69"/>
      <c r="G31" s="68"/>
      <c r="H31" s="75"/>
      <c r="I31" s="69"/>
    </row>
    <row r="32" spans="2:9">
      <c r="B32" s="67"/>
      <c r="C32" s="76"/>
      <c r="D32" s="68"/>
      <c r="E32" s="75"/>
      <c r="F32" s="69"/>
      <c r="G32" s="68"/>
      <c r="H32" s="75"/>
      <c r="I32" s="69"/>
    </row>
    <row r="33" spans="2:9">
      <c r="B33" s="67"/>
      <c r="C33" s="76"/>
      <c r="D33" s="68"/>
      <c r="E33" s="75"/>
      <c r="F33" s="69"/>
      <c r="G33" s="68"/>
      <c r="H33" s="75"/>
      <c r="I33" s="69"/>
    </row>
    <row r="34" spans="2:9">
      <c r="B34" s="67"/>
      <c r="C34" s="76"/>
      <c r="D34" s="68"/>
      <c r="E34" s="75"/>
      <c r="F34" s="69"/>
      <c r="G34" s="68"/>
      <c r="H34" s="75"/>
      <c r="I34" s="69"/>
    </row>
    <row r="35" spans="2:9">
      <c r="B35" s="67"/>
      <c r="C35" s="76"/>
      <c r="D35" s="68"/>
      <c r="E35" s="75"/>
      <c r="F35" s="69"/>
      <c r="G35" s="68"/>
      <c r="H35" s="75"/>
      <c r="I35" s="69"/>
    </row>
    <row r="36" spans="2:9">
      <c r="B36" s="67"/>
      <c r="C36" s="76"/>
      <c r="D36" s="68"/>
      <c r="E36" s="75"/>
      <c r="F36" s="69"/>
      <c r="G36" s="68"/>
      <c r="H36" s="75"/>
      <c r="I36" s="69"/>
    </row>
    <row r="37" spans="2:9">
      <c r="B37" s="67"/>
      <c r="C37" s="76"/>
      <c r="D37" s="68"/>
      <c r="E37" s="75"/>
      <c r="F37" s="69"/>
      <c r="G37" s="68"/>
      <c r="H37" s="75"/>
      <c r="I37" s="69"/>
    </row>
    <row r="38" spans="2:9">
      <c r="B38" s="67"/>
      <c r="C38" s="76"/>
      <c r="D38" s="68"/>
      <c r="E38" s="75"/>
      <c r="F38" s="69"/>
      <c r="G38" s="68"/>
      <c r="H38" s="75"/>
      <c r="I38" s="69"/>
    </row>
    <row r="39" spans="2:9">
      <c r="B39" s="67"/>
      <c r="C39" s="76"/>
      <c r="D39" s="68"/>
      <c r="E39" s="75"/>
      <c r="F39" s="69"/>
      <c r="G39" s="68"/>
      <c r="H39" s="75"/>
      <c r="I39" s="69"/>
    </row>
    <row r="40" spans="2:9">
      <c r="B40" s="67"/>
      <c r="C40" s="76"/>
      <c r="D40" s="68"/>
      <c r="E40" s="75"/>
      <c r="F40" s="69"/>
      <c r="G40" s="68"/>
      <c r="H40" s="75"/>
      <c r="I40" s="69"/>
    </row>
    <row r="41" spans="2:9">
      <c r="B41" s="67"/>
      <c r="C41" s="76"/>
      <c r="D41" s="68"/>
      <c r="E41" s="75"/>
      <c r="F41" s="69"/>
      <c r="G41" s="68"/>
      <c r="H41" s="75"/>
      <c r="I41" s="69"/>
    </row>
    <row r="42" spans="2:9">
      <c r="B42" s="67"/>
      <c r="C42" s="76"/>
      <c r="D42" s="68"/>
      <c r="E42" s="75"/>
      <c r="F42" s="69"/>
      <c r="G42" s="68"/>
      <c r="H42" s="75"/>
      <c r="I42" s="69"/>
    </row>
    <row r="43" spans="2:9">
      <c r="B43" s="67"/>
      <c r="C43" s="76"/>
      <c r="D43" s="68"/>
      <c r="E43" s="75"/>
      <c r="F43" s="69"/>
      <c r="G43" s="68"/>
      <c r="H43" s="75"/>
      <c r="I43" s="69"/>
    </row>
    <row r="44" spans="2:9">
      <c r="B44" s="67"/>
      <c r="C44" s="76"/>
      <c r="D44" s="68"/>
      <c r="E44" s="75"/>
      <c r="F44" s="69"/>
      <c r="G44" s="68"/>
      <c r="H44" s="75"/>
      <c r="I44" s="69"/>
    </row>
    <row r="45" spans="2:9">
      <c r="B45" s="67"/>
      <c r="C45" s="76"/>
      <c r="D45" s="68"/>
      <c r="E45" s="75"/>
      <c r="F45" s="69"/>
      <c r="G45" s="68"/>
      <c r="H45" s="75"/>
      <c r="I45" s="69"/>
    </row>
    <row r="46" spans="2:9">
      <c r="B46" s="67"/>
      <c r="C46" s="76"/>
      <c r="D46" s="68"/>
      <c r="E46" s="75"/>
      <c r="F46" s="69"/>
      <c r="G46" s="68"/>
      <c r="H46" s="75"/>
      <c r="I46" s="69"/>
    </row>
    <row r="47" spans="2:9">
      <c r="B47" s="67"/>
      <c r="C47" s="76"/>
      <c r="D47" s="68"/>
      <c r="E47" s="75"/>
      <c r="F47" s="69"/>
      <c r="G47" s="68"/>
      <c r="H47" s="75"/>
      <c r="I47" s="69"/>
    </row>
    <row r="48" spans="2:9">
      <c r="B48" s="67"/>
      <c r="C48" s="76"/>
      <c r="D48" s="68"/>
      <c r="E48" s="75"/>
      <c r="F48" s="69"/>
      <c r="G48" s="68"/>
      <c r="H48" s="75"/>
      <c r="I48" s="69"/>
    </row>
    <row r="49" spans="2:9">
      <c r="B49" s="67"/>
      <c r="C49" s="76"/>
      <c r="D49" s="68"/>
      <c r="E49" s="75"/>
      <c r="F49" s="69"/>
      <c r="G49" s="68"/>
      <c r="H49" s="75"/>
      <c r="I49" s="69"/>
    </row>
    <row r="50" spans="2:9">
      <c r="B50" s="67"/>
      <c r="C50" s="76"/>
      <c r="D50" s="68"/>
      <c r="E50" s="75"/>
      <c r="F50" s="69"/>
      <c r="G50" s="68"/>
      <c r="H50" s="75"/>
      <c r="I50" s="69"/>
    </row>
    <row r="51" spans="2:9">
      <c r="B51" s="67"/>
      <c r="C51" s="76"/>
      <c r="D51" s="68"/>
      <c r="E51" s="75"/>
      <c r="F51" s="69"/>
      <c r="G51" s="68"/>
      <c r="H51" s="75"/>
      <c r="I51" s="69"/>
    </row>
    <row r="52" spans="2:9">
      <c r="B52" s="67"/>
      <c r="C52" s="76"/>
      <c r="D52" s="68"/>
      <c r="E52" s="75"/>
      <c r="F52" s="69"/>
      <c r="G52" s="68"/>
      <c r="H52" s="75"/>
      <c r="I52" s="69"/>
    </row>
    <row r="53" spans="2:9">
      <c r="B53" s="67"/>
      <c r="C53" s="76"/>
      <c r="D53" s="68"/>
      <c r="E53" s="75"/>
      <c r="F53" s="69"/>
      <c r="G53" s="68"/>
      <c r="H53" s="75"/>
      <c r="I53" s="69"/>
    </row>
    <row r="54" spans="2:9">
      <c r="B54" s="67"/>
      <c r="C54" s="76"/>
      <c r="D54" s="68"/>
      <c r="E54" s="75"/>
      <c r="F54" s="69"/>
      <c r="G54" s="68"/>
      <c r="H54" s="75"/>
      <c r="I54" s="69"/>
    </row>
    <row r="55" spans="2:9">
      <c r="B55" s="67"/>
      <c r="C55" s="76"/>
      <c r="D55" s="68"/>
      <c r="E55" s="75"/>
      <c r="F55" s="69"/>
      <c r="G55" s="68"/>
      <c r="H55" s="75"/>
      <c r="I55" s="69"/>
    </row>
    <row r="56" spans="2:9">
      <c r="B56" s="67"/>
      <c r="C56" s="76"/>
      <c r="D56" s="68"/>
      <c r="E56" s="75"/>
      <c r="F56" s="69"/>
      <c r="G56" s="68"/>
      <c r="H56" s="75"/>
      <c r="I56" s="69"/>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80" workbookViewId="0">
      <pane xSplit="1" ySplit="8" topLeftCell="B9" activePane="bottomRight" state="frozen"/>
      <selection pane="topRight" activeCell="B1" sqref="B1"/>
      <selection pane="bottomLeft" activeCell="A9" sqref="A9"/>
      <selection pane="bottomRight"/>
    </sheetView>
  </sheetViews>
  <sheetFormatPr defaultColWidth="8.7109375" defaultRowHeight="12.75"/>
  <cols>
    <col min="1" max="1" width="11.42578125" customWidth="1"/>
    <col min="2" max="2" width="32.42578125" customWidth="1"/>
    <col min="3" max="3" width="40.7109375" customWidth="1"/>
    <col min="4" max="4" width="44.28515625" bestFit="1" customWidth="1"/>
    <col min="5" max="5" width="36.71093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c r="B1" s="135" t="s">
        <v>53</v>
      </c>
      <c r="C1" s="135"/>
    </row>
    <row r="2" spans="2:17" ht="20.25">
      <c r="B2" s="135" t="str">
        <f>IF(Tradingname=0," ",Tradingname)</f>
        <v>APA (SWQP) PTY LIMITED</v>
      </c>
      <c r="C2" s="135"/>
    </row>
    <row r="3" spans="2:17" ht="20.25" customHeight="1">
      <c r="B3" s="135" t="s">
        <v>30</v>
      </c>
      <c r="C3" s="99">
        <f>IF(Yearending=0, "01/01/2000", Yearending)</f>
        <v>45838</v>
      </c>
    </row>
    <row r="4" spans="2:17" ht="20.25">
      <c r="B4" s="91" t="s">
        <v>320</v>
      </c>
      <c r="C4" s="91"/>
    </row>
    <row r="5" spans="2:17" ht="12.75" customHeight="1"/>
    <row r="6" spans="2:17">
      <c r="B6" s="415" t="s">
        <v>321</v>
      </c>
      <c r="C6" s="415"/>
      <c r="D6" s="415"/>
      <c r="E6" s="415"/>
    </row>
    <row r="7" spans="2:17" ht="15.75" customHeight="1">
      <c r="B7" s="415"/>
      <c r="C7" s="415"/>
      <c r="D7" s="415"/>
      <c r="E7" s="415"/>
      <c r="G7" s="160"/>
    </row>
    <row r="8" spans="2:17" ht="15.75" customHeight="1">
      <c r="B8" s="415"/>
      <c r="C8" s="415"/>
      <c r="D8" s="415"/>
      <c r="E8" s="415"/>
      <c r="G8" s="160"/>
    </row>
    <row r="9" spans="2:17">
      <c r="G9" s="160"/>
    </row>
    <row r="11" spans="2:17" ht="15.75">
      <c r="B11" s="197" t="s">
        <v>322</v>
      </c>
    </row>
    <row r="13" spans="2:17" ht="45" customHeight="1">
      <c r="B13" s="50" t="s">
        <v>113</v>
      </c>
      <c r="C13" s="51" t="s">
        <v>114</v>
      </c>
      <c r="D13" s="51" t="s">
        <v>311</v>
      </c>
      <c r="E13" s="51" t="s">
        <v>323</v>
      </c>
      <c r="F13" s="51" t="s">
        <v>324</v>
      </c>
      <c r="G13" s="51" t="s">
        <v>325</v>
      </c>
      <c r="H13" s="52" t="s">
        <v>204</v>
      </c>
      <c r="I13" s="52" t="s">
        <v>326</v>
      </c>
      <c r="J13" s="52" t="s">
        <v>327</v>
      </c>
      <c r="K13" s="52" t="s">
        <v>328</v>
      </c>
      <c r="L13" s="51" t="s">
        <v>329</v>
      </c>
      <c r="M13" s="51" t="s">
        <v>330</v>
      </c>
      <c r="N13" s="51" t="s">
        <v>331</v>
      </c>
      <c r="O13" s="51" t="s">
        <v>332</v>
      </c>
      <c r="P13" s="51" t="s">
        <v>333</v>
      </c>
      <c r="Q13" s="30" t="s">
        <v>334</v>
      </c>
    </row>
    <row r="14" spans="2:17">
      <c r="B14" s="287"/>
      <c r="C14" s="53"/>
      <c r="D14" s="53"/>
      <c r="E14" s="53"/>
      <c r="F14" s="53" t="s">
        <v>335</v>
      </c>
      <c r="G14" s="53" t="s">
        <v>116</v>
      </c>
      <c r="H14" s="54" t="s">
        <v>116</v>
      </c>
      <c r="I14" s="54" t="s">
        <v>116</v>
      </c>
      <c r="J14" s="54" t="s">
        <v>116</v>
      </c>
      <c r="K14" s="54" t="s">
        <v>116</v>
      </c>
      <c r="L14" s="53" t="s">
        <v>116</v>
      </c>
      <c r="M14" s="53"/>
      <c r="N14" s="53" t="s">
        <v>116</v>
      </c>
      <c r="O14" s="53" t="s">
        <v>116</v>
      </c>
      <c r="P14" s="53" t="s">
        <v>116</v>
      </c>
      <c r="Q14" s="53" t="s">
        <v>116</v>
      </c>
    </row>
    <row r="15" spans="2:17">
      <c r="B15" s="328" t="s">
        <v>515</v>
      </c>
      <c r="C15" s="76"/>
      <c r="D15" s="270" t="s">
        <v>203</v>
      </c>
      <c r="E15" s="311" t="str">
        <f>'3.3 Asset useful life'!D11</f>
        <v>9/10/2012 to 30/6/2025</v>
      </c>
      <c r="F15" s="312">
        <f>'3.3 Asset useful life'!E11</f>
        <v>46.007490347732151</v>
      </c>
      <c r="G15" s="79"/>
      <c r="H15" s="79">
        <v>1321750507.04</v>
      </c>
      <c r="I15" s="79">
        <v>963368.58999999962</v>
      </c>
      <c r="J15" s="79">
        <v>0</v>
      </c>
      <c r="K15" s="79">
        <v>0</v>
      </c>
      <c r="L15" s="14">
        <f>SUM(H15:K15)</f>
        <v>1322713875.6299999</v>
      </c>
      <c r="M15" s="72">
        <v>1</v>
      </c>
      <c r="N15" s="90">
        <f>L15*M15</f>
        <v>1322713875.6299999</v>
      </c>
      <c r="O15" s="79">
        <v>-218255570.63999897</v>
      </c>
      <c r="P15" s="79">
        <v>-31461033.149999999</v>
      </c>
      <c r="Q15" s="10">
        <f>SUM(N15:P15)</f>
        <v>1072997271.840001</v>
      </c>
    </row>
    <row r="16" spans="2:17">
      <c r="B16" s="328" t="s">
        <v>515</v>
      </c>
      <c r="C16" s="76"/>
      <c r="D16" s="270" t="s">
        <v>212</v>
      </c>
      <c r="E16" s="311" t="str">
        <f>'3.3 Asset useful life'!D12</f>
        <v>9/10/2012 to 30/6/2025</v>
      </c>
      <c r="F16" s="312">
        <f>'3.3 Asset useful life'!E12</f>
        <v>25.560203006677646</v>
      </c>
      <c r="G16" s="79"/>
      <c r="H16" s="79">
        <v>632924944.54999912</v>
      </c>
      <c r="I16" s="79">
        <v>-439406.12999991048</v>
      </c>
      <c r="J16" s="79">
        <v>0</v>
      </c>
      <c r="K16" s="79">
        <v>0</v>
      </c>
      <c r="L16" s="14">
        <f>SUM(H16:K16)</f>
        <v>632485538.41999924</v>
      </c>
      <c r="M16" s="72">
        <v>1</v>
      </c>
      <c r="N16" s="90">
        <f t="shared" ref="N16:N58" si="0">L16*M16</f>
        <v>632485538.41999924</v>
      </c>
      <c r="O16" s="79">
        <v>-205222653.97</v>
      </c>
      <c r="P16" s="79">
        <v>-26573349</v>
      </c>
      <c r="Q16" s="10">
        <f t="shared" ref="Q16:Q58" si="1">SUM(N16:P16)</f>
        <v>400689535.44999921</v>
      </c>
    </row>
    <row r="17" spans="2:17">
      <c r="B17" s="328" t="s">
        <v>515</v>
      </c>
      <c r="C17" s="76"/>
      <c r="D17" s="270" t="s">
        <v>214</v>
      </c>
      <c r="E17" s="311" t="str">
        <f>'3.3 Asset useful life'!D13</f>
        <v>9/10/2012 to 30/6/2025</v>
      </c>
      <c r="F17" s="312">
        <f>'3.3 Asset useful life'!E13</f>
        <v>31.763779408168269</v>
      </c>
      <c r="G17" s="79"/>
      <c r="H17" s="79">
        <v>7666930.8199999891</v>
      </c>
      <c r="I17" s="79">
        <v>-2251843.15</v>
      </c>
      <c r="J17" s="79">
        <v>0</v>
      </c>
      <c r="K17" s="79">
        <v>0</v>
      </c>
      <c r="L17" s="14">
        <f t="shared" ref="L17:L58" si="2">SUM(H17:K17)</f>
        <v>5415087.6699999887</v>
      </c>
      <c r="M17" s="72">
        <v>1</v>
      </c>
      <c r="N17" s="90">
        <f t="shared" si="0"/>
        <v>5415087.6699999887</v>
      </c>
      <c r="O17" s="79">
        <v>-2077778.0299999998</v>
      </c>
      <c r="P17" s="79">
        <v>-89515</v>
      </c>
      <c r="Q17" s="10">
        <f t="shared" si="1"/>
        <v>3247794.639999989</v>
      </c>
    </row>
    <row r="18" spans="2:17">
      <c r="B18" s="328" t="s">
        <v>515</v>
      </c>
      <c r="C18" s="76"/>
      <c r="D18" s="270" t="s">
        <v>216</v>
      </c>
      <c r="E18" s="311" t="str">
        <f>'3.3 Asset useful life'!D14</f>
        <v>9/10/2012 to 30/6/2025</v>
      </c>
      <c r="F18" s="312">
        <f>'3.3 Asset useful life'!E14</f>
        <v>17.575206989122329</v>
      </c>
      <c r="G18" s="79"/>
      <c r="H18" s="79">
        <v>5468251.1199999899</v>
      </c>
      <c r="I18" s="79">
        <v>1.1641532182693481E-10</v>
      </c>
      <c r="J18" s="79">
        <v>0</v>
      </c>
      <c r="K18" s="79">
        <v>0</v>
      </c>
      <c r="L18" s="14">
        <f t="shared" si="2"/>
        <v>5468251.1199999899</v>
      </c>
      <c r="M18" s="72">
        <v>1</v>
      </c>
      <c r="N18" s="90">
        <f t="shared" si="0"/>
        <v>5468251.1199999899</v>
      </c>
      <c r="O18" s="79">
        <v>-3000993.66</v>
      </c>
      <c r="P18" s="79">
        <v>-344288</v>
      </c>
      <c r="Q18" s="10">
        <f t="shared" si="1"/>
        <v>2122969.4599999897</v>
      </c>
    </row>
    <row r="19" spans="2:17">
      <c r="B19" s="328" t="s">
        <v>515</v>
      </c>
      <c r="C19" s="76"/>
      <c r="D19" s="270" t="s">
        <v>219</v>
      </c>
      <c r="E19" s="311" t="str">
        <f>'3.3 Asset useful life'!D15</f>
        <v>N/A</v>
      </c>
      <c r="F19" s="312" t="str">
        <f>'3.3 Asset useful life'!E15</f>
        <v>N/A</v>
      </c>
      <c r="G19" s="79"/>
      <c r="H19" s="79">
        <v>0</v>
      </c>
      <c r="I19" s="79">
        <v>0</v>
      </c>
      <c r="J19" s="79">
        <v>0</v>
      </c>
      <c r="K19" s="79">
        <v>0</v>
      </c>
      <c r="L19" s="14">
        <f t="shared" si="2"/>
        <v>0</v>
      </c>
      <c r="M19" s="72">
        <v>1</v>
      </c>
      <c r="N19" s="90">
        <f t="shared" si="0"/>
        <v>0</v>
      </c>
      <c r="O19" s="79">
        <v>0</v>
      </c>
      <c r="P19" s="79">
        <v>0</v>
      </c>
      <c r="Q19" s="10">
        <f t="shared" si="1"/>
        <v>0</v>
      </c>
    </row>
    <row r="20" spans="2:17">
      <c r="B20" s="328" t="s">
        <v>515</v>
      </c>
      <c r="C20" s="76"/>
      <c r="D20" s="270" t="s">
        <v>221</v>
      </c>
      <c r="E20" s="311" t="str">
        <f>'3.3 Asset useful life'!D16</f>
        <v>9/10/2012 to 30/6/2025</v>
      </c>
      <c r="F20" s="312">
        <f>'3.3 Asset useful life'!E16</f>
        <v>8.0885368619150437</v>
      </c>
      <c r="G20" s="79"/>
      <c r="H20" s="79">
        <v>7002156.0899999999</v>
      </c>
      <c r="I20" s="79">
        <v>576539.04</v>
      </c>
      <c r="J20" s="79">
        <v>0</v>
      </c>
      <c r="K20" s="79">
        <v>0</v>
      </c>
      <c r="L20" s="14">
        <f t="shared" si="2"/>
        <v>7578695.1299999999</v>
      </c>
      <c r="M20" s="72">
        <v>1</v>
      </c>
      <c r="N20" s="90">
        <f t="shared" si="0"/>
        <v>7578695.1299999999</v>
      </c>
      <c r="O20" s="79">
        <v>-4469253.73999999</v>
      </c>
      <c r="P20" s="79">
        <v>-604394</v>
      </c>
      <c r="Q20" s="10">
        <f t="shared" si="1"/>
        <v>2505047.3900000099</v>
      </c>
    </row>
    <row r="21" spans="2:17">
      <c r="B21" s="328" t="s">
        <v>515</v>
      </c>
      <c r="C21" s="76"/>
      <c r="D21" s="270" t="s">
        <v>223</v>
      </c>
      <c r="E21" s="311" t="str">
        <f>'3.3 Asset useful life'!D17</f>
        <v>9/10/2012 to 30/6/2025</v>
      </c>
      <c r="F21" s="312">
        <f>'3.3 Asset useful life'!E17</f>
        <v>15.251891095292017</v>
      </c>
      <c r="G21" s="79"/>
      <c r="H21" s="79">
        <v>2084651.3599999901</v>
      </c>
      <c r="I21" s="79">
        <v>517218</v>
      </c>
      <c r="J21" s="79">
        <v>0</v>
      </c>
      <c r="K21" s="79">
        <v>0</v>
      </c>
      <c r="L21" s="14">
        <f t="shared" si="2"/>
        <v>2601869.3599999901</v>
      </c>
      <c r="M21" s="72">
        <v>1</v>
      </c>
      <c r="N21" s="90">
        <f t="shared" si="0"/>
        <v>2601869.3599999901</v>
      </c>
      <c r="O21" s="79">
        <v>-1122159.03</v>
      </c>
      <c r="P21" s="79">
        <v>-78568</v>
      </c>
      <c r="Q21" s="10">
        <f t="shared" si="1"/>
        <v>1401142.3299999901</v>
      </c>
    </row>
    <row r="22" spans="2:17">
      <c r="B22" s="328" t="s">
        <v>515</v>
      </c>
      <c r="C22" s="76"/>
      <c r="D22" s="270" t="s">
        <v>225</v>
      </c>
      <c r="E22" s="316" t="s">
        <v>495</v>
      </c>
      <c r="F22" s="313" t="s">
        <v>495</v>
      </c>
      <c r="G22" s="79"/>
      <c r="H22" s="79">
        <v>3875629.49</v>
      </c>
      <c r="I22" s="79">
        <v>0</v>
      </c>
      <c r="J22" s="79">
        <v>0</v>
      </c>
      <c r="K22" s="79">
        <v>0</v>
      </c>
      <c r="L22" s="14">
        <f t="shared" si="2"/>
        <v>3875629.49</v>
      </c>
      <c r="M22" s="72">
        <v>1</v>
      </c>
      <c r="N22" s="90">
        <f t="shared" si="0"/>
        <v>3875629.49</v>
      </c>
      <c r="O22" s="79">
        <v>0</v>
      </c>
      <c r="P22" s="79">
        <v>0</v>
      </c>
      <c r="Q22" s="10">
        <f t="shared" si="1"/>
        <v>3875629.49</v>
      </c>
    </row>
    <row r="23" spans="2:17">
      <c r="B23" s="328" t="s">
        <v>515</v>
      </c>
      <c r="C23" s="76"/>
      <c r="D23" s="270" t="s">
        <v>227</v>
      </c>
      <c r="E23" s="311" t="str">
        <f>'3.3 Asset useful life'!D18</f>
        <v>9/10/2012 to 30/6/2025</v>
      </c>
      <c r="F23" s="312">
        <f>'3.3 Asset useful life'!E18</f>
        <v>15.414239116917607</v>
      </c>
      <c r="G23" s="79"/>
      <c r="H23" s="79">
        <v>9351161.2199998908</v>
      </c>
      <c r="I23" s="79">
        <v>11021314.68</v>
      </c>
      <c r="J23" s="79">
        <v>0</v>
      </c>
      <c r="K23" s="79">
        <v>-228209</v>
      </c>
      <c r="L23" s="14">
        <f t="shared" si="2"/>
        <v>20144266.89999989</v>
      </c>
      <c r="M23" s="72">
        <v>1</v>
      </c>
      <c r="N23" s="90">
        <f t="shared" si="0"/>
        <v>20144266.89999989</v>
      </c>
      <c r="O23" s="79">
        <v>-4981131.4499999899</v>
      </c>
      <c r="P23" s="79">
        <v>-1657495.02</v>
      </c>
      <c r="Q23" s="10">
        <f t="shared" si="1"/>
        <v>13505640.429999901</v>
      </c>
    </row>
    <row r="24" spans="2:17">
      <c r="B24" s="328" t="s">
        <v>515</v>
      </c>
      <c r="C24" s="76"/>
      <c r="D24" s="270" t="s">
        <v>229</v>
      </c>
      <c r="E24" s="311" t="str">
        <f>'3.3 Asset useful life'!E23</f>
        <v xml:space="preserve">Various </v>
      </c>
      <c r="F24" s="313" t="s">
        <v>495</v>
      </c>
      <c r="G24" s="79"/>
      <c r="H24" s="79">
        <v>778272.74999999988</v>
      </c>
      <c r="I24" s="79">
        <v>72998.490000000005</v>
      </c>
      <c r="J24" s="79">
        <v>0</v>
      </c>
      <c r="K24" s="79">
        <v>0</v>
      </c>
      <c r="L24" s="14">
        <f t="shared" si="2"/>
        <v>851271.23999999987</v>
      </c>
      <c r="M24" s="72">
        <v>1</v>
      </c>
      <c r="N24" s="90">
        <f t="shared" si="0"/>
        <v>851271.23999999987</v>
      </c>
      <c r="O24" s="79">
        <v>-509536.36999999994</v>
      </c>
      <c r="P24" s="79">
        <v>-115241.89</v>
      </c>
      <c r="Q24" s="10">
        <f t="shared" si="1"/>
        <v>226492.97999999992</v>
      </c>
    </row>
    <row r="25" spans="2:17">
      <c r="B25" s="288"/>
      <c r="C25" s="76"/>
      <c r="D25" s="270"/>
      <c r="E25" s="77"/>
      <c r="F25" s="78"/>
      <c r="G25" s="79"/>
      <c r="H25" s="79"/>
      <c r="I25" s="79"/>
      <c r="J25" s="79"/>
      <c r="K25" s="79"/>
      <c r="L25" s="14">
        <f t="shared" si="2"/>
        <v>0</v>
      </c>
      <c r="M25" s="72">
        <v>1</v>
      </c>
      <c r="N25" s="90">
        <f t="shared" si="0"/>
        <v>0</v>
      </c>
      <c r="O25" s="79"/>
      <c r="P25" s="79"/>
      <c r="Q25" s="10">
        <f t="shared" si="1"/>
        <v>0</v>
      </c>
    </row>
    <row r="26" spans="2:17">
      <c r="B26" s="288"/>
      <c r="C26" s="76"/>
      <c r="D26" s="270"/>
      <c r="E26" s="77"/>
      <c r="F26" s="78"/>
      <c r="G26" s="79"/>
      <c r="H26" s="79"/>
      <c r="I26" s="79"/>
      <c r="J26" s="79"/>
      <c r="K26" s="79"/>
      <c r="L26" s="14">
        <f t="shared" si="2"/>
        <v>0</v>
      </c>
      <c r="M26" s="72">
        <v>1</v>
      </c>
      <c r="N26" s="90">
        <f t="shared" si="0"/>
        <v>0</v>
      </c>
      <c r="O26" s="79"/>
      <c r="P26" s="79"/>
      <c r="Q26" s="10">
        <f t="shared" si="1"/>
        <v>0</v>
      </c>
    </row>
    <row r="27" spans="2:17">
      <c r="B27" s="288"/>
      <c r="C27" s="76"/>
      <c r="D27" s="270"/>
      <c r="E27" s="77"/>
      <c r="F27" s="78"/>
      <c r="G27" s="79"/>
      <c r="H27" s="79"/>
      <c r="I27" s="79"/>
      <c r="J27" s="79"/>
      <c r="K27" s="79"/>
      <c r="L27" s="14">
        <f t="shared" si="2"/>
        <v>0</v>
      </c>
      <c r="M27" s="72">
        <v>1</v>
      </c>
      <c r="N27" s="90">
        <f t="shared" si="0"/>
        <v>0</v>
      </c>
      <c r="O27" s="79"/>
      <c r="P27" s="79"/>
      <c r="Q27" s="10">
        <f t="shared" si="1"/>
        <v>0</v>
      </c>
    </row>
    <row r="28" spans="2:17">
      <c r="B28" s="288"/>
      <c r="C28" s="76"/>
      <c r="D28" s="270"/>
      <c r="E28" s="77"/>
      <c r="F28" s="78"/>
      <c r="G28" s="79"/>
      <c r="H28" s="79"/>
      <c r="I28" s="79"/>
      <c r="J28" s="79"/>
      <c r="K28" s="79"/>
      <c r="L28" s="14">
        <f t="shared" si="2"/>
        <v>0</v>
      </c>
      <c r="M28" s="72">
        <v>1</v>
      </c>
      <c r="N28" s="90">
        <f t="shared" si="0"/>
        <v>0</v>
      </c>
      <c r="O28" s="79"/>
      <c r="P28" s="79"/>
      <c r="Q28" s="10">
        <f t="shared" si="1"/>
        <v>0</v>
      </c>
    </row>
    <row r="29" spans="2:17">
      <c r="B29" s="288"/>
      <c r="C29" s="76"/>
      <c r="D29" s="270"/>
      <c r="E29" s="77"/>
      <c r="F29" s="78"/>
      <c r="G29" s="79"/>
      <c r="H29" s="79"/>
      <c r="I29" s="79"/>
      <c r="J29" s="79"/>
      <c r="K29" s="79"/>
      <c r="L29" s="14">
        <f t="shared" si="2"/>
        <v>0</v>
      </c>
      <c r="M29" s="72">
        <v>1</v>
      </c>
      <c r="N29" s="90">
        <f t="shared" si="0"/>
        <v>0</v>
      </c>
      <c r="O29" s="79"/>
      <c r="P29" s="79"/>
      <c r="Q29" s="10">
        <f t="shared" si="1"/>
        <v>0</v>
      </c>
    </row>
    <row r="30" spans="2:17">
      <c r="B30" s="288"/>
      <c r="C30" s="76"/>
      <c r="D30" s="270"/>
      <c r="E30" s="77"/>
      <c r="F30" s="78"/>
      <c r="G30" s="79"/>
      <c r="H30" s="79"/>
      <c r="I30" s="79"/>
      <c r="J30" s="79"/>
      <c r="K30" s="79"/>
      <c r="L30" s="14">
        <f t="shared" si="2"/>
        <v>0</v>
      </c>
      <c r="M30" s="72">
        <v>1</v>
      </c>
      <c r="N30" s="90">
        <f t="shared" si="0"/>
        <v>0</v>
      </c>
      <c r="O30" s="79"/>
      <c r="P30" s="79"/>
      <c r="Q30" s="10">
        <f t="shared" si="1"/>
        <v>0</v>
      </c>
    </row>
    <row r="31" spans="2:17">
      <c r="B31" s="288"/>
      <c r="C31" s="76"/>
      <c r="D31" s="270"/>
      <c r="E31" s="77"/>
      <c r="F31" s="78"/>
      <c r="G31" s="79"/>
      <c r="H31" s="79"/>
      <c r="I31" s="79"/>
      <c r="J31" s="79"/>
      <c r="K31" s="79"/>
      <c r="L31" s="14">
        <f t="shared" si="2"/>
        <v>0</v>
      </c>
      <c r="M31" s="72">
        <v>1</v>
      </c>
      <c r="N31" s="90">
        <f t="shared" si="0"/>
        <v>0</v>
      </c>
      <c r="O31" s="79"/>
      <c r="P31" s="79"/>
      <c r="Q31" s="10">
        <f t="shared" si="1"/>
        <v>0</v>
      </c>
    </row>
    <row r="32" spans="2:17">
      <c r="B32" s="288"/>
      <c r="C32" s="76"/>
      <c r="D32" s="270"/>
      <c r="E32" s="77"/>
      <c r="F32" s="78"/>
      <c r="G32" s="79"/>
      <c r="H32" s="79"/>
      <c r="I32" s="79"/>
      <c r="J32" s="79"/>
      <c r="K32" s="79"/>
      <c r="L32" s="14">
        <f t="shared" si="2"/>
        <v>0</v>
      </c>
      <c r="M32" s="72">
        <v>1</v>
      </c>
      <c r="N32" s="90">
        <f t="shared" si="0"/>
        <v>0</v>
      </c>
      <c r="O32" s="79"/>
      <c r="P32" s="79"/>
      <c r="Q32" s="10">
        <f t="shared" si="1"/>
        <v>0</v>
      </c>
    </row>
    <row r="33" spans="2:17">
      <c r="B33" s="288"/>
      <c r="C33" s="76"/>
      <c r="D33" s="270"/>
      <c r="E33" s="77"/>
      <c r="F33" s="78"/>
      <c r="G33" s="79"/>
      <c r="H33" s="79"/>
      <c r="I33" s="79"/>
      <c r="J33" s="79"/>
      <c r="K33" s="79"/>
      <c r="L33" s="14">
        <f t="shared" si="2"/>
        <v>0</v>
      </c>
      <c r="M33" s="72">
        <v>1</v>
      </c>
      <c r="N33" s="90">
        <f t="shared" si="0"/>
        <v>0</v>
      </c>
      <c r="O33" s="79"/>
      <c r="P33" s="79"/>
      <c r="Q33" s="10">
        <f t="shared" si="1"/>
        <v>0</v>
      </c>
    </row>
    <row r="34" spans="2:17">
      <c r="B34" s="288"/>
      <c r="C34" s="76"/>
      <c r="D34" s="270"/>
      <c r="E34" s="77"/>
      <c r="F34" s="78"/>
      <c r="G34" s="79"/>
      <c r="H34" s="79"/>
      <c r="I34" s="79"/>
      <c r="J34" s="79"/>
      <c r="K34" s="79"/>
      <c r="L34" s="14">
        <f t="shared" si="2"/>
        <v>0</v>
      </c>
      <c r="M34" s="72">
        <v>1</v>
      </c>
      <c r="N34" s="90">
        <f t="shared" si="0"/>
        <v>0</v>
      </c>
      <c r="O34" s="79"/>
      <c r="P34" s="79"/>
      <c r="Q34" s="10">
        <f t="shared" si="1"/>
        <v>0</v>
      </c>
    </row>
    <row r="35" spans="2:17">
      <c r="B35" s="288"/>
      <c r="C35" s="76"/>
      <c r="D35" s="270"/>
      <c r="E35" s="77"/>
      <c r="F35" s="78"/>
      <c r="G35" s="79"/>
      <c r="H35" s="79"/>
      <c r="I35" s="79"/>
      <c r="J35" s="79"/>
      <c r="K35" s="79"/>
      <c r="L35" s="14">
        <f t="shared" si="2"/>
        <v>0</v>
      </c>
      <c r="M35" s="72">
        <v>1</v>
      </c>
      <c r="N35" s="90">
        <f t="shared" si="0"/>
        <v>0</v>
      </c>
      <c r="O35" s="79"/>
      <c r="P35" s="79"/>
      <c r="Q35" s="10">
        <f t="shared" si="1"/>
        <v>0</v>
      </c>
    </row>
    <row r="36" spans="2:17">
      <c r="B36" s="288"/>
      <c r="C36" s="76"/>
      <c r="D36" s="270"/>
      <c r="E36" s="77"/>
      <c r="F36" s="78"/>
      <c r="G36" s="79"/>
      <c r="H36" s="79"/>
      <c r="I36" s="79"/>
      <c r="J36" s="79"/>
      <c r="K36" s="79"/>
      <c r="L36" s="14">
        <f t="shared" si="2"/>
        <v>0</v>
      </c>
      <c r="M36" s="72">
        <v>1</v>
      </c>
      <c r="N36" s="90">
        <f t="shared" si="0"/>
        <v>0</v>
      </c>
      <c r="O36" s="79"/>
      <c r="P36" s="79"/>
      <c r="Q36" s="10">
        <f t="shared" si="1"/>
        <v>0</v>
      </c>
    </row>
    <row r="37" spans="2:17">
      <c r="B37" s="288"/>
      <c r="C37" s="76"/>
      <c r="D37" s="270"/>
      <c r="E37" s="77"/>
      <c r="F37" s="78"/>
      <c r="G37" s="79"/>
      <c r="H37" s="79"/>
      <c r="I37" s="79"/>
      <c r="J37" s="79"/>
      <c r="K37" s="79"/>
      <c r="L37" s="14">
        <f t="shared" si="2"/>
        <v>0</v>
      </c>
      <c r="M37" s="72">
        <v>1</v>
      </c>
      <c r="N37" s="90">
        <f t="shared" si="0"/>
        <v>0</v>
      </c>
      <c r="O37" s="79"/>
      <c r="P37" s="79"/>
      <c r="Q37" s="10">
        <f t="shared" si="1"/>
        <v>0</v>
      </c>
    </row>
    <row r="38" spans="2:17">
      <c r="B38" s="288"/>
      <c r="C38" s="76"/>
      <c r="D38" s="270"/>
      <c r="E38" s="77"/>
      <c r="F38" s="78"/>
      <c r="G38" s="79"/>
      <c r="H38" s="79"/>
      <c r="I38" s="79"/>
      <c r="J38" s="79"/>
      <c r="K38" s="79"/>
      <c r="L38" s="14">
        <f t="shared" si="2"/>
        <v>0</v>
      </c>
      <c r="M38" s="72">
        <v>1</v>
      </c>
      <c r="N38" s="90">
        <f t="shared" si="0"/>
        <v>0</v>
      </c>
      <c r="O38" s="79"/>
      <c r="P38" s="79"/>
      <c r="Q38" s="10">
        <f t="shared" si="1"/>
        <v>0</v>
      </c>
    </row>
    <row r="39" spans="2:17">
      <c r="B39" s="288"/>
      <c r="C39" s="76"/>
      <c r="D39" s="270"/>
      <c r="E39" s="77"/>
      <c r="F39" s="78"/>
      <c r="G39" s="79"/>
      <c r="H39" s="79"/>
      <c r="I39" s="79"/>
      <c r="J39" s="79"/>
      <c r="K39" s="79"/>
      <c r="L39" s="14">
        <f t="shared" si="2"/>
        <v>0</v>
      </c>
      <c r="M39" s="72">
        <v>1</v>
      </c>
      <c r="N39" s="90">
        <f t="shared" si="0"/>
        <v>0</v>
      </c>
      <c r="O39" s="79"/>
      <c r="P39" s="79"/>
      <c r="Q39" s="10">
        <f t="shared" si="1"/>
        <v>0</v>
      </c>
    </row>
    <row r="40" spans="2:17">
      <c r="B40" s="288"/>
      <c r="C40" s="76"/>
      <c r="D40" s="270"/>
      <c r="E40" s="77"/>
      <c r="F40" s="78"/>
      <c r="G40" s="79"/>
      <c r="H40" s="79"/>
      <c r="I40" s="79"/>
      <c r="J40" s="79"/>
      <c r="K40" s="79"/>
      <c r="L40" s="14">
        <f t="shared" si="2"/>
        <v>0</v>
      </c>
      <c r="M40" s="72">
        <v>1</v>
      </c>
      <c r="N40" s="90">
        <f t="shared" si="0"/>
        <v>0</v>
      </c>
      <c r="O40" s="79"/>
      <c r="P40" s="79"/>
      <c r="Q40" s="10">
        <f t="shared" si="1"/>
        <v>0</v>
      </c>
    </row>
    <row r="41" spans="2:17">
      <c r="B41" s="288"/>
      <c r="C41" s="76"/>
      <c r="D41" s="270"/>
      <c r="E41" s="77"/>
      <c r="F41" s="78"/>
      <c r="G41" s="79"/>
      <c r="H41" s="79"/>
      <c r="I41" s="79"/>
      <c r="J41" s="79"/>
      <c r="K41" s="79"/>
      <c r="L41" s="14">
        <f t="shared" si="2"/>
        <v>0</v>
      </c>
      <c r="M41" s="72">
        <v>1</v>
      </c>
      <c r="N41" s="90">
        <f t="shared" si="0"/>
        <v>0</v>
      </c>
      <c r="O41" s="79"/>
      <c r="P41" s="79"/>
      <c r="Q41" s="10">
        <f t="shared" si="1"/>
        <v>0</v>
      </c>
    </row>
    <row r="42" spans="2:17">
      <c r="B42" s="288"/>
      <c r="C42" s="76"/>
      <c r="D42" s="270"/>
      <c r="E42" s="77"/>
      <c r="F42" s="78"/>
      <c r="G42" s="79"/>
      <c r="H42" s="79"/>
      <c r="I42" s="79"/>
      <c r="J42" s="79"/>
      <c r="K42" s="79"/>
      <c r="L42" s="14">
        <f t="shared" si="2"/>
        <v>0</v>
      </c>
      <c r="M42" s="72">
        <v>1</v>
      </c>
      <c r="N42" s="90">
        <f t="shared" si="0"/>
        <v>0</v>
      </c>
      <c r="O42" s="79"/>
      <c r="P42" s="79"/>
      <c r="Q42" s="10">
        <f t="shared" si="1"/>
        <v>0</v>
      </c>
    </row>
    <row r="43" spans="2:17">
      <c r="B43" s="288"/>
      <c r="C43" s="76"/>
      <c r="D43" s="270"/>
      <c r="E43" s="77"/>
      <c r="F43" s="78"/>
      <c r="G43" s="79"/>
      <c r="H43" s="79"/>
      <c r="I43" s="79"/>
      <c r="J43" s="79"/>
      <c r="K43" s="79"/>
      <c r="L43" s="14">
        <f t="shared" si="2"/>
        <v>0</v>
      </c>
      <c r="M43" s="72">
        <v>1</v>
      </c>
      <c r="N43" s="90">
        <f t="shared" si="0"/>
        <v>0</v>
      </c>
      <c r="O43" s="79"/>
      <c r="P43" s="79"/>
      <c r="Q43" s="10">
        <f t="shared" si="1"/>
        <v>0</v>
      </c>
    </row>
    <row r="44" spans="2:17">
      <c r="B44" s="288"/>
      <c r="C44" s="76"/>
      <c r="D44" s="270"/>
      <c r="E44" s="77"/>
      <c r="F44" s="78"/>
      <c r="G44" s="79"/>
      <c r="H44" s="79"/>
      <c r="I44" s="79"/>
      <c r="J44" s="79"/>
      <c r="K44" s="79"/>
      <c r="L44" s="14">
        <f t="shared" si="2"/>
        <v>0</v>
      </c>
      <c r="M44" s="72">
        <v>1</v>
      </c>
      <c r="N44" s="90">
        <f t="shared" si="0"/>
        <v>0</v>
      </c>
      <c r="O44" s="79"/>
      <c r="P44" s="79"/>
      <c r="Q44" s="10">
        <f t="shared" si="1"/>
        <v>0</v>
      </c>
    </row>
    <row r="45" spans="2:17">
      <c r="B45" s="288"/>
      <c r="C45" s="76"/>
      <c r="D45" s="270"/>
      <c r="E45" s="77"/>
      <c r="F45" s="78"/>
      <c r="G45" s="79"/>
      <c r="H45" s="79"/>
      <c r="I45" s="79"/>
      <c r="J45" s="79"/>
      <c r="K45" s="79"/>
      <c r="L45" s="14">
        <f t="shared" si="2"/>
        <v>0</v>
      </c>
      <c r="M45" s="72">
        <v>1</v>
      </c>
      <c r="N45" s="90">
        <f t="shared" si="0"/>
        <v>0</v>
      </c>
      <c r="O45" s="79"/>
      <c r="P45" s="79"/>
      <c r="Q45" s="10">
        <f t="shared" si="1"/>
        <v>0</v>
      </c>
    </row>
    <row r="46" spans="2:17">
      <c r="B46" s="288"/>
      <c r="C46" s="76"/>
      <c r="D46" s="270"/>
      <c r="E46" s="77"/>
      <c r="F46" s="78"/>
      <c r="G46" s="79"/>
      <c r="H46" s="79"/>
      <c r="I46" s="79"/>
      <c r="J46" s="79"/>
      <c r="K46" s="79"/>
      <c r="L46" s="14">
        <f t="shared" si="2"/>
        <v>0</v>
      </c>
      <c r="M46" s="72">
        <v>1</v>
      </c>
      <c r="N46" s="90">
        <f t="shared" si="0"/>
        <v>0</v>
      </c>
      <c r="O46" s="79"/>
      <c r="P46" s="79"/>
      <c r="Q46" s="10">
        <f t="shared" si="1"/>
        <v>0</v>
      </c>
    </row>
    <row r="47" spans="2:17">
      <c r="B47" s="288"/>
      <c r="C47" s="76"/>
      <c r="D47" s="270"/>
      <c r="E47" s="77"/>
      <c r="F47" s="78"/>
      <c r="G47" s="79"/>
      <c r="H47" s="79"/>
      <c r="I47" s="79"/>
      <c r="J47" s="79"/>
      <c r="K47" s="79"/>
      <c r="L47" s="14">
        <f t="shared" si="2"/>
        <v>0</v>
      </c>
      <c r="M47" s="72">
        <v>1</v>
      </c>
      <c r="N47" s="90">
        <f t="shared" si="0"/>
        <v>0</v>
      </c>
      <c r="O47" s="79"/>
      <c r="P47" s="79"/>
      <c r="Q47" s="10">
        <f t="shared" si="1"/>
        <v>0</v>
      </c>
    </row>
    <row r="48" spans="2:17">
      <c r="B48" s="288"/>
      <c r="C48" s="76"/>
      <c r="D48" s="270"/>
      <c r="E48" s="77"/>
      <c r="F48" s="78"/>
      <c r="G48" s="79"/>
      <c r="H48" s="79"/>
      <c r="I48" s="79"/>
      <c r="J48" s="79"/>
      <c r="K48" s="79"/>
      <c r="L48" s="14">
        <f t="shared" si="2"/>
        <v>0</v>
      </c>
      <c r="M48" s="72">
        <v>1</v>
      </c>
      <c r="N48" s="90">
        <f t="shared" si="0"/>
        <v>0</v>
      </c>
      <c r="O48" s="79"/>
      <c r="P48" s="79"/>
      <c r="Q48" s="10">
        <f t="shared" si="1"/>
        <v>0</v>
      </c>
    </row>
    <row r="49" spans="2:17">
      <c r="B49" s="288"/>
      <c r="C49" s="76"/>
      <c r="D49" s="270"/>
      <c r="E49" s="77"/>
      <c r="F49" s="78"/>
      <c r="G49" s="79"/>
      <c r="H49" s="79"/>
      <c r="I49" s="79"/>
      <c r="J49" s="79"/>
      <c r="K49" s="79"/>
      <c r="L49" s="14">
        <f t="shared" si="2"/>
        <v>0</v>
      </c>
      <c r="M49" s="72">
        <v>1</v>
      </c>
      <c r="N49" s="90">
        <f t="shared" si="0"/>
        <v>0</v>
      </c>
      <c r="O49" s="79"/>
      <c r="P49" s="79"/>
      <c r="Q49" s="10">
        <f t="shared" si="1"/>
        <v>0</v>
      </c>
    </row>
    <row r="50" spans="2:17">
      <c r="B50" s="288"/>
      <c r="C50" s="76"/>
      <c r="D50" s="270"/>
      <c r="E50" s="77"/>
      <c r="F50" s="78"/>
      <c r="G50" s="79"/>
      <c r="H50" s="79"/>
      <c r="I50" s="79"/>
      <c r="J50" s="79"/>
      <c r="K50" s="79"/>
      <c r="L50" s="14">
        <f t="shared" si="2"/>
        <v>0</v>
      </c>
      <c r="M50" s="72">
        <v>1</v>
      </c>
      <c r="N50" s="90">
        <f t="shared" si="0"/>
        <v>0</v>
      </c>
      <c r="O50" s="79"/>
      <c r="P50" s="79"/>
      <c r="Q50" s="10">
        <f t="shared" si="1"/>
        <v>0</v>
      </c>
    </row>
    <row r="51" spans="2:17">
      <c r="B51" s="288"/>
      <c r="C51" s="76"/>
      <c r="D51" s="270"/>
      <c r="E51" s="77"/>
      <c r="F51" s="78"/>
      <c r="G51" s="79"/>
      <c r="H51" s="79"/>
      <c r="I51" s="79"/>
      <c r="J51" s="79"/>
      <c r="K51" s="79"/>
      <c r="L51" s="14">
        <f t="shared" si="2"/>
        <v>0</v>
      </c>
      <c r="M51" s="72">
        <v>1</v>
      </c>
      <c r="N51" s="90">
        <f t="shared" si="0"/>
        <v>0</v>
      </c>
      <c r="O51" s="79"/>
      <c r="P51" s="79"/>
      <c r="Q51" s="10">
        <f t="shared" si="1"/>
        <v>0</v>
      </c>
    </row>
    <row r="52" spans="2:17">
      <c r="B52" s="288"/>
      <c r="C52" s="76"/>
      <c r="D52" s="270"/>
      <c r="E52" s="77"/>
      <c r="F52" s="78"/>
      <c r="G52" s="79"/>
      <c r="H52" s="79"/>
      <c r="I52" s="79"/>
      <c r="J52" s="79"/>
      <c r="K52" s="79"/>
      <c r="L52" s="14">
        <f t="shared" si="2"/>
        <v>0</v>
      </c>
      <c r="M52" s="72">
        <v>1</v>
      </c>
      <c r="N52" s="90">
        <f t="shared" si="0"/>
        <v>0</v>
      </c>
      <c r="O52" s="79"/>
      <c r="P52" s="79"/>
      <c r="Q52" s="10">
        <f t="shared" si="1"/>
        <v>0</v>
      </c>
    </row>
    <row r="53" spans="2:17">
      <c r="B53" s="288"/>
      <c r="C53" s="76"/>
      <c r="D53" s="270"/>
      <c r="E53" s="77"/>
      <c r="F53" s="78"/>
      <c r="G53" s="79"/>
      <c r="H53" s="79"/>
      <c r="I53" s="79"/>
      <c r="J53" s="79"/>
      <c r="K53" s="79"/>
      <c r="L53" s="14">
        <f t="shared" si="2"/>
        <v>0</v>
      </c>
      <c r="M53" s="72">
        <v>1</v>
      </c>
      <c r="N53" s="90">
        <f t="shared" si="0"/>
        <v>0</v>
      </c>
      <c r="O53" s="79"/>
      <c r="P53" s="79"/>
      <c r="Q53" s="10">
        <f t="shared" si="1"/>
        <v>0</v>
      </c>
    </row>
    <row r="54" spans="2:17">
      <c r="B54" s="288"/>
      <c r="C54" s="76"/>
      <c r="D54" s="270"/>
      <c r="E54" s="77"/>
      <c r="F54" s="78"/>
      <c r="G54" s="79"/>
      <c r="H54" s="79"/>
      <c r="I54" s="79"/>
      <c r="J54" s="79"/>
      <c r="K54" s="79"/>
      <c r="L54" s="14">
        <f t="shared" si="2"/>
        <v>0</v>
      </c>
      <c r="M54" s="72">
        <v>1</v>
      </c>
      <c r="N54" s="90">
        <f t="shared" si="0"/>
        <v>0</v>
      </c>
      <c r="O54" s="79"/>
      <c r="P54" s="79"/>
      <c r="Q54" s="10">
        <f>SUM(N54:P54)</f>
        <v>0</v>
      </c>
    </row>
    <row r="55" spans="2:17">
      <c r="B55" s="288"/>
      <c r="C55" s="76"/>
      <c r="D55" s="270"/>
      <c r="E55" s="77"/>
      <c r="F55" s="78"/>
      <c r="G55" s="79"/>
      <c r="H55" s="79"/>
      <c r="I55" s="79"/>
      <c r="J55" s="79"/>
      <c r="K55" s="79"/>
      <c r="L55" s="14">
        <f t="shared" si="2"/>
        <v>0</v>
      </c>
      <c r="M55" s="72">
        <v>1</v>
      </c>
      <c r="N55" s="90">
        <f t="shared" si="0"/>
        <v>0</v>
      </c>
      <c r="O55" s="79"/>
      <c r="P55" s="79"/>
      <c r="Q55" s="10">
        <f t="shared" si="1"/>
        <v>0</v>
      </c>
    </row>
    <row r="56" spans="2:17">
      <c r="B56" s="288"/>
      <c r="C56" s="76"/>
      <c r="D56" s="270"/>
      <c r="E56" s="77"/>
      <c r="F56" s="78"/>
      <c r="G56" s="79"/>
      <c r="H56" s="79"/>
      <c r="I56" s="79"/>
      <c r="J56" s="79"/>
      <c r="K56" s="79"/>
      <c r="L56" s="14">
        <f t="shared" si="2"/>
        <v>0</v>
      </c>
      <c r="M56" s="72">
        <v>1</v>
      </c>
      <c r="N56" s="90">
        <f t="shared" si="0"/>
        <v>0</v>
      </c>
      <c r="O56" s="79"/>
      <c r="P56" s="79"/>
      <c r="Q56" s="10">
        <f t="shared" si="1"/>
        <v>0</v>
      </c>
    </row>
    <row r="57" spans="2:17">
      <c r="B57" s="288"/>
      <c r="C57" s="76"/>
      <c r="D57" s="270"/>
      <c r="E57" s="77"/>
      <c r="F57" s="78"/>
      <c r="G57" s="79"/>
      <c r="H57" s="79"/>
      <c r="I57" s="79"/>
      <c r="J57" s="79"/>
      <c r="K57" s="79"/>
      <c r="L57" s="14">
        <f t="shared" si="2"/>
        <v>0</v>
      </c>
      <c r="M57" s="72">
        <v>1</v>
      </c>
      <c r="N57" s="90">
        <f t="shared" si="0"/>
        <v>0</v>
      </c>
      <c r="O57" s="79"/>
      <c r="P57" s="79"/>
      <c r="Q57" s="10">
        <f>SUM(N57:P57)</f>
        <v>0</v>
      </c>
    </row>
    <row r="58" spans="2:17">
      <c r="B58" s="288"/>
      <c r="C58" s="76"/>
      <c r="D58" s="270"/>
      <c r="E58" s="77"/>
      <c r="F58" s="78"/>
      <c r="G58" s="79"/>
      <c r="H58" s="79"/>
      <c r="I58" s="79"/>
      <c r="J58" s="79"/>
      <c r="K58" s="79"/>
      <c r="L58" s="14">
        <f t="shared" si="2"/>
        <v>0</v>
      </c>
      <c r="M58" s="72">
        <v>1</v>
      </c>
      <c r="N58" s="90">
        <f t="shared" si="0"/>
        <v>0</v>
      </c>
      <c r="O58" s="79"/>
      <c r="P58" s="79"/>
      <c r="Q58" s="10">
        <f t="shared" si="1"/>
        <v>0</v>
      </c>
    </row>
    <row r="59" spans="2:17">
      <c r="B59" s="289"/>
      <c r="C59" s="15" t="s">
        <v>234</v>
      </c>
      <c r="D59" s="15"/>
      <c r="E59" s="16"/>
      <c r="F59" s="17"/>
      <c r="G59" s="11">
        <f t="shared" ref="G59:L59" si="3">SUM(G15:G58)</f>
        <v>0</v>
      </c>
      <c r="H59" s="11">
        <f t="shared" si="3"/>
        <v>1990902504.4399986</v>
      </c>
      <c r="I59" s="11">
        <f t="shared" si="3"/>
        <v>10460189.520000089</v>
      </c>
      <c r="J59" s="11">
        <f t="shared" si="3"/>
        <v>0</v>
      </c>
      <c r="K59" s="11">
        <f t="shared" si="3"/>
        <v>-228209</v>
      </c>
      <c r="L59" s="11">
        <f t="shared" si="3"/>
        <v>2001134484.9599991</v>
      </c>
      <c r="M59" s="142"/>
      <c r="N59" s="142">
        <f>SUM(N15:N58)</f>
        <v>2001134484.9599991</v>
      </c>
      <c r="O59" s="11">
        <f>SUM(O15:O58)</f>
        <v>-439639076.88999891</v>
      </c>
      <c r="P59" s="11">
        <f>SUM(P15:P58)</f>
        <v>-60923884.060000002</v>
      </c>
      <c r="Q59" s="11">
        <f>SUM(Q15:Q58)</f>
        <v>1500571524.0100002</v>
      </c>
    </row>
    <row r="62" spans="2:17" ht="15.75">
      <c r="B62" s="197" t="s">
        <v>336</v>
      </c>
    </row>
    <row r="64" spans="2:17" ht="46.5" customHeight="1">
      <c r="B64" s="50" t="s">
        <v>113</v>
      </c>
      <c r="C64" s="51" t="s">
        <v>114</v>
      </c>
      <c r="D64" s="51" t="s">
        <v>311</v>
      </c>
      <c r="E64" s="51" t="s">
        <v>337</v>
      </c>
      <c r="F64" s="51" t="s">
        <v>324</v>
      </c>
      <c r="G64" s="52" t="s">
        <v>204</v>
      </c>
      <c r="H64" s="52" t="s">
        <v>326</v>
      </c>
      <c r="I64" s="52" t="s">
        <v>327</v>
      </c>
      <c r="J64" s="52" t="s">
        <v>328</v>
      </c>
      <c r="K64" s="52" t="s">
        <v>329</v>
      </c>
      <c r="L64" s="51" t="s">
        <v>330</v>
      </c>
      <c r="M64" s="51" t="s">
        <v>331</v>
      </c>
      <c r="N64" s="52" t="s">
        <v>332</v>
      </c>
      <c r="O64" s="52" t="s">
        <v>338</v>
      </c>
      <c r="P64" s="30" t="s">
        <v>334</v>
      </c>
    </row>
    <row r="65" spans="2:16">
      <c r="B65" s="61"/>
      <c r="C65" s="53"/>
      <c r="D65" s="53"/>
      <c r="E65" s="53"/>
      <c r="F65" s="53" t="s">
        <v>335</v>
      </c>
      <c r="G65" s="53" t="s">
        <v>116</v>
      </c>
      <c r="H65" s="53" t="s">
        <v>116</v>
      </c>
      <c r="I65" s="53" t="s">
        <v>116</v>
      </c>
      <c r="J65" s="53" t="s">
        <v>116</v>
      </c>
      <c r="K65" s="53" t="s">
        <v>116</v>
      </c>
      <c r="L65" s="53"/>
      <c r="M65" s="53" t="s">
        <v>116</v>
      </c>
      <c r="N65" s="53" t="s">
        <v>116</v>
      </c>
      <c r="O65" s="53" t="s">
        <v>116</v>
      </c>
      <c r="P65" s="53" t="s">
        <v>116</v>
      </c>
    </row>
    <row r="66" spans="2:16">
      <c r="B66" s="336" t="s">
        <v>527</v>
      </c>
      <c r="C66" s="76" t="s">
        <v>528</v>
      </c>
      <c r="D66" s="76" t="s">
        <v>236</v>
      </c>
      <c r="E66" s="311" t="str">
        <f>'3.3 Asset useful life'!D28</f>
        <v>2013 to 2025</v>
      </c>
      <c r="F66" s="312">
        <f>'3.3 Asset useful life'!E28</f>
        <v>3.4323791017076388</v>
      </c>
      <c r="G66" s="79">
        <v>71322881.028243974</v>
      </c>
      <c r="H66" s="79">
        <v>17034633.14523156</v>
      </c>
      <c r="I66" s="79">
        <v>0</v>
      </c>
      <c r="J66" s="79">
        <v>-187152.89919111726</v>
      </c>
      <c r="K66" s="14">
        <f>SUM(G66:J66)</f>
        <v>88170361.274284422</v>
      </c>
      <c r="L66" s="72">
        <v>1</v>
      </c>
      <c r="M66" s="90">
        <f>K66*L66</f>
        <v>88170361.274284422</v>
      </c>
      <c r="N66" s="79">
        <v>-53187108.844663568</v>
      </c>
      <c r="O66" s="79">
        <v>-9720926.4407812487</v>
      </c>
      <c r="P66" s="10">
        <f>SUM(M66:O66)</f>
        <v>25262325.988839604</v>
      </c>
    </row>
    <row r="67" spans="2:16">
      <c r="B67" s="336" t="s">
        <v>527</v>
      </c>
      <c r="C67" s="76" t="s">
        <v>238</v>
      </c>
      <c r="D67" s="76" t="s">
        <v>238</v>
      </c>
      <c r="E67" s="311" t="str">
        <f>'3.3 Asset useful life'!D34</f>
        <v>2019 to 2025</v>
      </c>
      <c r="F67" s="312" t="str">
        <f>'3.3 Asset useful life'!E34</f>
        <v xml:space="preserve">Various </v>
      </c>
      <c r="G67" s="79">
        <v>13428964.035152109</v>
      </c>
      <c r="H67" s="79">
        <v>2286560.9567800905</v>
      </c>
      <c r="I67" s="79">
        <v>0</v>
      </c>
      <c r="J67" s="79">
        <v>-51664.366735790863</v>
      </c>
      <c r="K67" s="14">
        <f t="shared" ref="K67:K83" si="4">SUM(G67:J67)</f>
        <v>15663860.625196408</v>
      </c>
      <c r="L67" s="72">
        <v>1</v>
      </c>
      <c r="M67" s="90">
        <f t="shared" ref="M67:M83" si="5">K67*L67</f>
        <v>15663860.625196408</v>
      </c>
      <c r="N67" s="79">
        <v>-6708974.8056716137</v>
      </c>
      <c r="O67" s="79">
        <v>-2180550.8012757287</v>
      </c>
      <c r="P67" s="10">
        <f t="shared" ref="P67:P82" si="6">SUM(M67:O67)</f>
        <v>6774335.0182490665</v>
      </c>
    </row>
    <row r="68" spans="2:16">
      <c r="B68" s="161"/>
      <c r="C68" s="76"/>
      <c r="D68" s="76"/>
      <c r="E68" s="77"/>
      <c r="F68" s="78"/>
      <c r="G68" s="79"/>
      <c r="H68" s="79"/>
      <c r="I68" s="79"/>
      <c r="J68" s="79"/>
      <c r="K68" s="14">
        <f t="shared" si="4"/>
        <v>0</v>
      </c>
      <c r="L68" s="72">
        <v>1</v>
      </c>
      <c r="M68" s="90">
        <f t="shared" si="5"/>
        <v>0</v>
      </c>
      <c r="N68" s="79"/>
      <c r="O68" s="79"/>
      <c r="P68" s="10">
        <f t="shared" si="6"/>
        <v>0</v>
      </c>
    </row>
    <row r="69" spans="2:16">
      <c r="B69" s="161"/>
      <c r="C69" s="76"/>
      <c r="D69" s="76"/>
      <c r="E69" s="77"/>
      <c r="F69" s="78"/>
      <c r="G69" s="79"/>
      <c r="H69" s="79"/>
      <c r="I69" s="79"/>
      <c r="J69" s="79"/>
      <c r="K69" s="14">
        <f t="shared" si="4"/>
        <v>0</v>
      </c>
      <c r="L69" s="72">
        <v>1</v>
      </c>
      <c r="M69" s="90">
        <f t="shared" si="5"/>
        <v>0</v>
      </c>
      <c r="N69" s="79"/>
      <c r="O69" s="79"/>
      <c r="P69" s="10">
        <f t="shared" si="6"/>
        <v>0</v>
      </c>
    </row>
    <row r="70" spans="2:16">
      <c r="B70" s="161"/>
      <c r="C70" s="76"/>
      <c r="D70" s="76"/>
      <c r="E70" s="77"/>
      <c r="F70" s="78"/>
      <c r="G70" s="79"/>
      <c r="H70" s="79"/>
      <c r="I70" s="79"/>
      <c r="J70" s="79"/>
      <c r="K70" s="14">
        <f t="shared" si="4"/>
        <v>0</v>
      </c>
      <c r="L70" s="72">
        <v>1</v>
      </c>
      <c r="M70" s="90">
        <f t="shared" si="5"/>
        <v>0</v>
      </c>
      <c r="N70" s="79"/>
      <c r="O70" s="79"/>
      <c r="P70" s="10">
        <f t="shared" si="6"/>
        <v>0</v>
      </c>
    </row>
    <row r="71" spans="2:16">
      <c r="B71" s="161"/>
      <c r="C71" s="76"/>
      <c r="D71" s="76"/>
      <c r="E71" s="77"/>
      <c r="F71" s="78"/>
      <c r="G71" s="79"/>
      <c r="H71" s="79"/>
      <c r="I71" s="79"/>
      <c r="J71" s="79"/>
      <c r="K71" s="14">
        <f t="shared" si="4"/>
        <v>0</v>
      </c>
      <c r="L71" s="72">
        <v>1</v>
      </c>
      <c r="M71" s="90">
        <f t="shared" si="5"/>
        <v>0</v>
      </c>
      <c r="N71" s="79"/>
      <c r="O71" s="79"/>
      <c r="P71" s="10">
        <f t="shared" si="6"/>
        <v>0</v>
      </c>
    </row>
    <row r="72" spans="2:16">
      <c r="B72" s="161"/>
      <c r="C72" s="76"/>
      <c r="D72" s="76"/>
      <c r="E72" s="77"/>
      <c r="F72" s="78"/>
      <c r="G72" s="79"/>
      <c r="H72" s="79"/>
      <c r="I72" s="79"/>
      <c r="J72" s="79"/>
      <c r="K72" s="14">
        <f t="shared" si="4"/>
        <v>0</v>
      </c>
      <c r="L72" s="72">
        <v>1</v>
      </c>
      <c r="M72" s="90">
        <f t="shared" si="5"/>
        <v>0</v>
      </c>
      <c r="N72" s="79"/>
      <c r="O72" s="79"/>
      <c r="P72" s="10">
        <f t="shared" si="6"/>
        <v>0</v>
      </c>
    </row>
    <row r="73" spans="2:16">
      <c r="B73" s="161"/>
      <c r="C73" s="76"/>
      <c r="D73" s="76"/>
      <c r="E73" s="77"/>
      <c r="F73" s="78"/>
      <c r="G73" s="79"/>
      <c r="H73" s="79"/>
      <c r="I73" s="79"/>
      <c r="J73" s="79"/>
      <c r="K73" s="14">
        <f t="shared" si="4"/>
        <v>0</v>
      </c>
      <c r="L73" s="72">
        <v>1</v>
      </c>
      <c r="M73" s="90">
        <f t="shared" si="5"/>
        <v>0</v>
      </c>
      <c r="N73" s="79"/>
      <c r="O73" s="79"/>
      <c r="P73" s="10">
        <f t="shared" si="6"/>
        <v>0</v>
      </c>
    </row>
    <row r="74" spans="2:16">
      <c r="B74" s="161"/>
      <c r="C74" s="76"/>
      <c r="D74" s="76"/>
      <c r="E74" s="77"/>
      <c r="F74" s="78"/>
      <c r="G74" s="79"/>
      <c r="H74" s="79"/>
      <c r="I74" s="79"/>
      <c r="J74" s="79"/>
      <c r="K74" s="14">
        <f t="shared" si="4"/>
        <v>0</v>
      </c>
      <c r="L74" s="72">
        <v>1</v>
      </c>
      <c r="M74" s="90">
        <f t="shared" si="5"/>
        <v>0</v>
      </c>
      <c r="N74" s="79"/>
      <c r="O74" s="79"/>
      <c r="P74" s="10">
        <f t="shared" si="6"/>
        <v>0</v>
      </c>
    </row>
    <row r="75" spans="2:16">
      <c r="B75" s="161"/>
      <c r="C75" s="76"/>
      <c r="D75" s="76"/>
      <c r="E75" s="77"/>
      <c r="F75" s="78"/>
      <c r="G75" s="79"/>
      <c r="H75" s="79"/>
      <c r="I75" s="79"/>
      <c r="J75" s="79"/>
      <c r="K75" s="14">
        <f t="shared" si="4"/>
        <v>0</v>
      </c>
      <c r="L75" s="72">
        <v>1</v>
      </c>
      <c r="M75" s="90">
        <f t="shared" si="5"/>
        <v>0</v>
      </c>
      <c r="N75" s="79"/>
      <c r="O75" s="79"/>
      <c r="P75" s="10">
        <f t="shared" si="6"/>
        <v>0</v>
      </c>
    </row>
    <row r="76" spans="2:16">
      <c r="B76" s="161"/>
      <c r="C76" s="76"/>
      <c r="D76" s="76"/>
      <c r="E76" s="77"/>
      <c r="F76" s="78"/>
      <c r="G76" s="79"/>
      <c r="H76" s="79"/>
      <c r="I76" s="79"/>
      <c r="J76" s="79"/>
      <c r="K76" s="14">
        <f t="shared" si="4"/>
        <v>0</v>
      </c>
      <c r="L76" s="72">
        <v>1</v>
      </c>
      <c r="M76" s="90">
        <f t="shared" si="5"/>
        <v>0</v>
      </c>
      <c r="N76" s="79"/>
      <c r="O76" s="79"/>
      <c r="P76" s="10">
        <f t="shared" si="6"/>
        <v>0</v>
      </c>
    </row>
    <row r="77" spans="2:16">
      <c r="B77" s="161"/>
      <c r="C77" s="76"/>
      <c r="D77" s="76"/>
      <c r="E77" s="77"/>
      <c r="F77" s="78"/>
      <c r="G77" s="79"/>
      <c r="H77" s="79"/>
      <c r="I77" s="79"/>
      <c r="J77" s="79"/>
      <c r="K77" s="14">
        <f t="shared" si="4"/>
        <v>0</v>
      </c>
      <c r="L77" s="72">
        <v>1</v>
      </c>
      <c r="M77" s="90">
        <f t="shared" si="5"/>
        <v>0</v>
      </c>
      <c r="N77" s="79"/>
      <c r="O77" s="79"/>
      <c r="P77" s="10">
        <f t="shared" si="6"/>
        <v>0</v>
      </c>
    </row>
    <row r="78" spans="2:16">
      <c r="B78" s="161"/>
      <c r="C78" s="76"/>
      <c r="D78" s="76"/>
      <c r="E78" s="77"/>
      <c r="F78" s="78"/>
      <c r="G78" s="79"/>
      <c r="H78" s="79"/>
      <c r="I78" s="79"/>
      <c r="J78" s="79"/>
      <c r="K78" s="14">
        <f t="shared" si="4"/>
        <v>0</v>
      </c>
      <c r="L78" s="72">
        <v>1</v>
      </c>
      <c r="M78" s="90">
        <f t="shared" si="5"/>
        <v>0</v>
      </c>
      <c r="N78" s="79"/>
      <c r="O78" s="79"/>
      <c r="P78" s="10">
        <f t="shared" si="6"/>
        <v>0</v>
      </c>
    </row>
    <row r="79" spans="2:16">
      <c r="B79" s="161"/>
      <c r="C79" s="76"/>
      <c r="D79" s="76"/>
      <c r="E79" s="77"/>
      <c r="F79" s="78"/>
      <c r="G79" s="79"/>
      <c r="H79" s="79"/>
      <c r="I79" s="79"/>
      <c r="J79" s="79"/>
      <c r="K79" s="14">
        <f t="shared" si="4"/>
        <v>0</v>
      </c>
      <c r="L79" s="72">
        <v>1</v>
      </c>
      <c r="M79" s="90">
        <f t="shared" si="5"/>
        <v>0</v>
      </c>
      <c r="N79" s="79"/>
      <c r="O79" s="79"/>
      <c r="P79" s="10">
        <f t="shared" si="6"/>
        <v>0</v>
      </c>
    </row>
    <row r="80" spans="2:16">
      <c r="B80" s="161"/>
      <c r="C80" s="76"/>
      <c r="D80" s="76"/>
      <c r="E80" s="77"/>
      <c r="F80" s="78"/>
      <c r="G80" s="79"/>
      <c r="H80" s="79"/>
      <c r="I80" s="79"/>
      <c r="J80" s="79"/>
      <c r="K80" s="14">
        <f t="shared" si="4"/>
        <v>0</v>
      </c>
      <c r="L80" s="72">
        <v>1</v>
      </c>
      <c r="M80" s="90">
        <f t="shared" si="5"/>
        <v>0</v>
      </c>
      <c r="N80" s="79"/>
      <c r="O80" s="79"/>
      <c r="P80" s="10">
        <f t="shared" si="6"/>
        <v>0</v>
      </c>
    </row>
    <row r="81" spans="2:16">
      <c r="B81" s="161"/>
      <c r="C81" s="76"/>
      <c r="D81" s="76"/>
      <c r="E81" s="77"/>
      <c r="F81" s="78"/>
      <c r="G81" s="79"/>
      <c r="H81" s="79"/>
      <c r="I81" s="79"/>
      <c r="J81" s="79"/>
      <c r="K81" s="14">
        <f t="shared" si="4"/>
        <v>0</v>
      </c>
      <c r="L81" s="72">
        <v>1</v>
      </c>
      <c r="M81" s="90">
        <f t="shared" si="5"/>
        <v>0</v>
      </c>
      <c r="N81" s="79"/>
      <c r="O81" s="79"/>
      <c r="P81" s="10">
        <f t="shared" si="6"/>
        <v>0</v>
      </c>
    </row>
    <row r="82" spans="2:16">
      <c r="B82" s="161"/>
      <c r="C82" s="76"/>
      <c r="D82" s="76"/>
      <c r="E82" s="77"/>
      <c r="F82" s="78"/>
      <c r="G82" s="79"/>
      <c r="H82" s="79"/>
      <c r="I82" s="79"/>
      <c r="J82" s="79"/>
      <c r="K82" s="14">
        <f t="shared" si="4"/>
        <v>0</v>
      </c>
      <c r="L82" s="72">
        <v>1</v>
      </c>
      <c r="M82" s="90">
        <f t="shared" si="5"/>
        <v>0</v>
      </c>
      <c r="N82" s="79"/>
      <c r="O82" s="79"/>
      <c r="P82" s="10">
        <f t="shared" si="6"/>
        <v>0</v>
      </c>
    </row>
    <row r="83" spans="2:16">
      <c r="B83" s="161"/>
      <c r="C83" s="76"/>
      <c r="D83" s="76"/>
      <c r="E83" s="77"/>
      <c r="F83" s="78"/>
      <c r="G83" s="79"/>
      <c r="H83" s="79"/>
      <c r="I83" s="79"/>
      <c r="J83" s="79"/>
      <c r="K83" s="14">
        <f t="shared" si="4"/>
        <v>0</v>
      </c>
      <c r="L83" s="72">
        <v>1</v>
      </c>
      <c r="M83" s="90">
        <f t="shared" si="5"/>
        <v>0</v>
      </c>
      <c r="N83" s="79"/>
      <c r="O83" s="79"/>
      <c r="P83" s="10">
        <f>SUM(M83:O83)</f>
        <v>0</v>
      </c>
    </row>
    <row r="84" spans="2:16">
      <c r="B84" s="269"/>
      <c r="C84" s="15" t="s">
        <v>339</v>
      </c>
      <c r="D84" s="15"/>
      <c r="E84" s="18"/>
      <c r="F84" s="18"/>
      <c r="G84" s="11">
        <f>SUM(G66:G83)</f>
        <v>84751845.063396081</v>
      </c>
      <c r="H84" s="11">
        <f>SUM(H66:H83)</f>
        <v>19321194.102011651</v>
      </c>
      <c r="I84" s="11">
        <f>SUM(I66:I83)</f>
        <v>0</v>
      </c>
      <c r="J84" s="11">
        <f>SUM(J66:J83)</f>
        <v>-238817.26592690812</v>
      </c>
      <c r="K84" s="11">
        <f>SUM(K66:K83)</f>
        <v>103834221.89948083</v>
      </c>
      <c r="L84" s="142"/>
      <c r="M84" s="142">
        <f>SUM(M66:M83)</f>
        <v>103834221.89948083</v>
      </c>
      <c r="N84" s="11">
        <f>SUM(N66:N83)</f>
        <v>-59896083.650335178</v>
      </c>
      <c r="O84" s="11">
        <f>SUM(O66:O83)</f>
        <v>-11901477.242056977</v>
      </c>
      <c r="P84" s="11">
        <f>SUM(P66:P83)</f>
        <v>32036661.007088669</v>
      </c>
    </row>
  </sheetData>
  <sheetProtection insertRows="0" deleteRows="0"/>
  <mergeCells count="1">
    <mergeCell ref="B6:E8"/>
  </mergeCells>
  <phoneticPr fontId="32" type="noConversion"/>
  <dataValidations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2.28515625" style="205" customWidth="1"/>
    <col min="2" max="2" width="22.42578125" style="205" customWidth="1"/>
    <col min="3" max="3" width="42.28515625" style="205" customWidth="1"/>
    <col min="4" max="4" width="28.7109375" style="205" customWidth="1"/>
    <col min="5" max="5" width="22.5703125" style="205" customWidth="1"/>
    <col min="6" max="6" width="20.5703125" style="205" customWidth="1"/>
    <col min="7" max="7" width="22.5703125" style="205" customWidth="1"/>
    <col min="8" max="8" width="37.42578125" style="205" customWidth="1"/>
    <col min="9" max="9" width="25.28515625" style="205" customWidth="1"/>
    <col min="10" max="16384" width="9.28515625" style="205"/>
  </cols>
  <sheetData>
    <row r="1" spans="2:9" ht="20.25" customHeight="1">
      <c r="B1" s="135" t="s">
        <v>53</v>
      </c>
      <c r="C1" s="135"/>
      <c r="D1" s="204"/>
      <c r="E1" s="204"/>
      <c r="F1" s="204"/>
      <c r="G1" s="204"/>
    </row>
    <row r="2" spans="2:9" ht="20.25" customHeight="1">
      <c r="B2" s="135" t="str">
        <f>IF(Tradingname=0," ",Tradingname)</f>
        <v>APA (SWQP) PTY LIMITED</v>
      </c>
      <c r="C2" s="135"/>
      <c r="D2" s="206"/>
    </row>
    <row r="3" spans="2:9" ht="20.25" customHeight="1">
      <c r="B3" s="135" t="s">
        <v>30</v>
      </c>
      <c r="C3" s="99">
        <f>IF(Yearending=0, "01/01/2000", Yearending)</f>
        <v>45838</v>
      </c>
    </row>
    <row r="4" spans="2:9" ht="20.25">
      <c r="B4" s="91" t="s">
        <v>340</v>
      </c>
      <c r="C4" s="91"/>
    </row>
    <row r="6" spans="2:9">
      <c r="B6" s="409" t="s">
        <v>341</v>
      </c>
      <c r="C6" s="409"/>
      <c r="D6" s="409"/>
    </row>
    <row r="7" spans="2:9" ht="15.75" customHeight="1">
      <c r="B7" s="409"/>
      <c r="C7" s="409"/>
      <c r="D7" s="409"/>
    </row>
    <row r="8" spans="2:9" ht="15.75" customHeight="1">
      <c r="B8" s="409"/>
      <c r="C8" s="409"/>
      <c r="D8" s="409"/>
    </row>
    <row r="11" spans="2:9" ht="15.75">
      <c r="B11" s="207" t="s">
        <v>342</v>
      </c>
      <c r="C11" s="208"/>
      <c r="D11" s="208"/>
      <c r="E11" s="208"/>
      <c r="F11" s="211"/>
      <c r="G11" s="208"/>
    </row>
    <row r="12" spans="2:9" ht="15.75">
      <c r="B12" s="207"/>
      <c r="C12" s="208"/>
      <c r="D12" s="208"/>
      <c r="E12" s="208"/>
      <c r="F12" s="211"/>
      <c r="G12" s="208"/>
    </row>
    <row r="13" spans="2:9" ht="25.5">
      <c r="B13" s="37" t="s">
        <v>113</v>
      </c>
      <c r="C13" s="37" t="s">
        <v>343</v>
      </c>
      <c r="D13" s="37" t="s">
        <v>344</v>
      </c>
      <c r="E13" s="49" t="s">
        <v>345</v>
      </c>
      <c r="F13" s="49" t="s">
        <v>188</v>
      </c>
      <c r="G13" s="49" t="s">
        <v>346</v>
      </c>
    </row>
    <row r="14" spans="2:9">
      <c r="B14" s="39"/>
      <c r="C14" s="39"/>
      <c r="D14" s="42"/>
      <c r="E14" s="53" t="s">
        <v>116</v>
      </c>
      <c r="F14" s="53"/>
      <c r="G14" s="53" t="s">
        <v>116</v>
      </c>
    </row>
    <row r="15" spans="2:9">
      <c r="B15" s="325" t="s">
        <v>516</v>
      </c>
      <c r="C15" s="314" t="s">
        <v>507</v>
      </c>
      <c r="D15" s="70" t="s">
        <v>236</v>
      </c>
      <c r="E15" s="71">
        <v>501746970.59000003</v>
      </c>
      <c r="F15" s="72">
        <v>0.17572674364252891</v>
      </c>
      <c r="G15" s="10">
        <f>E15*F15</f>
        <v>88170361.274284422</v>
      </c>
      <c r="H15" s="268"/>
    </row>
    <row r="16" spans="2:9">
      <c r="B16" s="334" t="s">
        <v>516</v>
      </c>
      <c r="C16" s="314" t="s">
        <v>238</v>
      </c>
      <c r="D16" s="70" t="s">
        <v>238</v>
      </c>
      <c r="E16" s="71">
        <v>86146034.725643426</v>
      </c>
      <c r="F16" s="72">
        <v>0.18182915412279199</v>
      </c>
      <c r="G16" s="10">
        <f t="shared" ref="G16:G45" si="0">E16*F16</f>
        <v>15663860.62519641</v>
      </c>
      <c r="H16" s="271"/>
      <c r="I16" s="271"/>
    </row>
    <row r="17" spans="2:9">
      <c r="B17" s="283"/>
      <c r="C17" s="70"/>
      <c r="D17" s="70"/>
      <c r="E17" s="71"/>
      <c r="F17" s="72"/>
      <c r="G17" s="10">
        <f t="shared" si="0"/>
        <v>0</v>
      </c>
      <c r="H17" s="272"/>
      <c r="I17" s="272"/>
    </row>
    <row r="18" spans="2:9">
      <c r="B18" s="283"/>
      <c r="C18" s="70"/>
      <c r="D18" s="70"/>
      <c r="E18" s="71"/>
      <c r="F18" s="72"/>
      <c r="G18" s="10">
        <f t="shared" si="0"/>
        <v>0</v>
      </c>
      <c r="H18" s="272"/>
      <c r="I18" s="272"/>
    </row>
    <row r="19" spans="2:9">
      <c r="B19" s="283"/>
      <c r="C19" s="70"/>
      <c r="D19" s="70"/>
      <c r="E19" s="71"/>
      <c r="F19" s="72"/>
      <c r="G19" s="10">
        <f t="shared" si="0"/>
        <v>0</v>
      </c>
      <c r="H19" s="271"/>
      <c r="I19" s="271"/>
    </row>
    <row r="20" spans="2:9">
      <c r="B20" s="283"/>
      <c r="C20" s="70"/>
      <c r="D20" s="70"/>
      <c r="E20" s="71"/>
      <c r="F20" s="72"/>
      <c r="G20" s="10">
        <f t="shared" si="0"/>
        <v>0</v>
      </c>
      <c r="H20" s="272"/>
      <c r="I20" s="272"/>
    </row>
    <row r="21" spans="2:9">
      <c r="B21" s="283"/>
      <c r="C21" s="70"/>
      <c r="D21" s="70"/>
      <c r="E21" s="71"/>
      <c r="F21" s="72"/>
      <c r="G21" s="10">
        <f t="shared" si="0"/>
        <v>0</v>
      </c>
    </row>
    <row r="22" spans="2:9">
      <c r="B22" s="283"/>
      <c r="C22" s="70"/>
      <c r="D22" s="70"/>
      <c r="E22" s="71"/>
      <c r="F22" s="72"/>
      <c r="G22" s="10">
        <f t="shared" si="0"/>
        <v>0</v>
      </c>
    </row>
    <row r="23" spans="2:9">
      <c r="B23" s="283"/>
      <c r="C23" s="70"/>
      <c r="D23" s="70"/>
      <c r="E23" s="71"/>
      <c r="F23" s="72"/>
      <c r="G23" s="10">
        <f t="shared" si="0"/>
        <v>0</v>
      </c>
    </row>
    <row r="24" spans="2:9">
      <c r="B24" s="283"/>
      <c r="C24" s="70"/>
      <c r="D24" s="70"/>
      <c r="E24" s="71"/>
      <c r="F24" s="72"/>
      <c r="G24" s="10">
        <f t="shared" si="0"/>
        <v>0</v>
      </c>
    </row>
    <row r="25" spans="2:9">
      <c r="B25" s="283"/>
      <c r="C25" s="70"/>
      <c r="D25" s="70"/>
      <c r="E25" s="71"/>
      <c r="F25" s="72"/>
      <c r="G25" s="10">
        <f t="shared" si="0"/>
        <v>0</v>
      </c>
    </row>
    <row r="26" spans="2:9">
      <c r="B26" s="283"/>
      <c r="C26" s="70"/>
      <c r="D26" s="70"/>
      <c r="E26" s="71"/>
      <c r="F26" s="72"/>
      <c r="G26" s="10">
        <f t="shared" si="0"/>
        <v>0</v>
      </c>
    </row>
    <row r="27" spans="2:9">
      <c r="B27" s="283"/>
      <c r="C27" s="70"/>
      <c r="D27" s="70"/>
      <c r="E27" s="71"/>
      <c r="F27" s="72"/>
      <c r="G27" s="10">
        <f t="shared" si="0"/>
        <v>0</v>
      </c>
    </row>
    <row r="28" spans="2:9">
      <c r="B28" s="283"/>
      <c r="C28" s="70"/>
      <c r="D28" s="70"/>
      <c r="E28" s="71"/>
      <c r="F28" s="72"/>
      <c r="G28" s="10">
        <f t="shared" si="0"/>
        <v>0</v>
      </c>
    </row>
    <row r="29" spans="2:9">
      <c r="B29" s="283"/>
      <c r="C29" s="70"/>
      <c r="D29" s="70"/>
      <c r="E29" s="71"/>
      <c r="F29" s="72"/>
      <c r="G29" s="10">
        <f t="shared" si="0"/>
        <v>0</v>
      </c>
    </row>
    <row r="30" spans="2:9">
      <c r="B30" s="283"/>
      <c r="C30" s="70"/>
      <c r="D30" s="70"/>
      <c r="E30" s="71"/>
      <c r="F30" s="72"/>
      <c r="G30" s="10">
        <f t="shared" si="0"/>
        <v>0</v>
      </c>
    </row>
    <row r="31" spans="2:9">
      <c r="B31" s="283"/>
      <c r="C31" s="70"/>
      <c r="D31" s="70"/>
      <c r="E31" s="71"/>
      <c r="F31" s="72"/>
      <c r="G31" s="10">
        <f t="shared" si="0"/>
        <v>0</v>
      </c>
    </row>
    <row r="32" spans="2:9">
      <c r="B32" s="283"/>
      <c r="C32" s="70"/>
      <c r="D32" s="70"/>
      <c r="E32" s="71"/>
      <c r="F32" s="72"/>
      <c r="G32" s="10">
        <f t="shared" si="0"/>
        <v>0</v>
      </c>
    </row>
    <row r="33" spans="2:9">
      <c r="B33" s="283"/>
      <c r="C33" s="70"/>
      <c r="D33" s="70"/>
      <c r="E33" s="71"/>
      <c r="F33" s="72"/>
      <c r="G33" s="10">
        <f t="shared" si="0"/>
        <v>0</v>
      </c>
    </row>
    <row r="34" spans="2:9">
      <c r="B34" s="283"/>
      <c r="C34" s="70"/>
      <c r="D34" s="70"/>
      <c r="E34" s="71"/>
      <c r="F34" s="72"/>
      <c r="G34" s="10">
        <f t="shared" si="0"/>
        <v>0</v>
      </c>
    </row>
    <row r="35" spans="2:9">
      <c r="B35" s="283"/>
      <c r="C35" s="70"/>
      <c r="D35" s="70"/>
      <c r="E35" s="71"/>
      <c r="F35" s="72"/>
      <c r="G35" s="10">
        <f t="shared" si="0"/>
        <v>0</v>
      </c>
      <c r="I35" s="273"/>
    </row>
    <row r="36" spans="2:9">
      <c r="B36" s="283"/>
      <c r="C36" s="70"/>
      <c r="D36" s="70"/>
      <c r="E36" s="71"/>
      <c r="F36" s="72"/>
      <c r="G36" s="10">
        <f t="shared" si="0"/>
        <v>0</v>
      </c>
      <c r="I36" s="273"/>
    </row>
    <row r="37" spans="2:9">
      <c r="B37" s="283"/>
      <c r="C37" s="70"/>
      <c r="D37" s="70"/>
      <c r="E37" s="71"/>
      <c r="F37" s="72"/>
      <c r="G37" s="10">
        <f t="shared" si="0"/>
        <v>0</v>
      </c>
      <c r="H37" s="273"/>
      <c r="I37" s="273"/>
    </row>
    <row r="38" spans="2:9">
      <c r="B38" s="283"/>
      <c r="C38" s="70"/>
      <c r="D38" s="70"/>
      <c r="E38" s="71"/>
      <c r="F38" s="72"/>
      <c r="G38" s="10">
        <f t="shared" si="0"/>
        <v>0</v>
      </c>
      <c r="H38" s="273"/>
      <c r="I38" s="273"/>
    </row>
    <row r="39" spans="2:9">
      <c r="B39" s="283"/>
      <c r="C39" s="70"/>
      <c r="D39" s="70"/>
      <c r="E39" s="71"/>
      <c r="F39" s="72"/>
      <c r="G39" s="10">
        <f t="shared" si="0"/>
        <v>0</v>
      </c>
      <c r="H39" s="273"/>
      <c r="I39" s="273"/>
    </row>
    <row r="40" spans="2:9">
      <c r="B40" s="283"/>
      <c r="C40" s="70"/>
      <c r="D40" s="70"/>
      <c r="E40" s="71"/>
      <c r="F40" s="72"/>
      <c r="G40" s="10">
        <f t="shared" si="0"/>
        <v>0</v>
      </c>
      <c r="H40" s="273"/>
      <c r="I40" s="273"/>
    </row>
    <row r="41" spans="2:9">
      <c r="B41" s="283"/>
      <c r="C41" s="70"/>
      <c r="D41" s="70"/>
      <c r="E41" s="71"/>
      <c r="F41" s="72"/>
      <c r="G41" s="10">
        <f t="shared" si="0"/>
        <v>0</v>
      </c>
      <c r="H41" s="273"/>
    </row>
    <row r="42" spans="2:9">
      <c r="B42" s="283"/>
      <c r="C42" s="70"/>
      <c r="D42" s="70"/>
      <c r="E42" s="71"/>
      <c r="F42" s="72"/>
      <c r="G42" s="10">
        <f t="shared" si="0"/>
        <v>0</v>
      </c>
      <c r="H42" s="273"/>
    </row>
    <row r="43" spans="2:9">
      <c r="B43" s="283"/>
      <c r="C43" s="70"/>
      <c r="D43" s="70"/>
      <c r="E43" s="71"/>
      <c r="F43" s="72"/>
      <c r="G43" s="10">
        <f t="shared" si="0"/>
        <v>0</v>
      </c>
    </row>
    <row r="44" spans="2:9">
      <c r="B44" s="283"/>
      <c r="C44" s="70"/>
      <c r="D44" s="70"/>
      <c r="E44" s="71"/>
      <c r="F44" s="72"/>
      <c r="G44" s="10">
        <f t="shared" si="0"/>
        <v>0</v>
      </c>
    </row>
    <row r="45" spans="2:9">
      <c r="B45" s="283"/>
      <c r="C45" s="70"/>
      <c r="D45" s="70"/>
      <c r="E45" s="71"/>
      <c r="F45" s="72"/>
      <c r="G45" s="10">
        <f t="shared" si="0"/>
        <v>0</v>
      </c>
    </row>
    <row r="46" spans="2:9">
      <c r="B46" s="283"/>
      <c r="C46" s="70"/>
      <c r="D46" s="70"/>
      <c r="E46" s="71"/>
      <c r="F46" s="72"/>
      <c r="G46" s="10">
        <f>E46*F46</f>
        <v>0</v>
      </c>
    </row>
    <row r="47" spans="2:9">
      <c r="B47" s="274" t="s">
        <v>56</v>
      </c>
      <c r="C47" s="416"/>
      <c r="D47" s="417"/>
      <c r="E47" s="10">
        <f>SUM(E15:E46)</f>
        <v>587893005.31564343</v>
      </c>
      <c r="F47" s="12"/>
      <c r="G47" s="10">
        <f>SUM(G15:G46)</f>
        <v>103834221.89948083</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0DAD-6BFB-4697-80F1-967926B6F73B}">
  <sheetPr>
    <tabColor theme="9" tint="0.79998168889431442"/>
  </sheetPr>
  <dimension ref="A1"/>
  <sheetViews>
    <sheetView showGridLines="0" workbookViewId="0"/>
  </sheetViews>
  <sheetFormatPr defaultRowHeight="12.7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2.75"/>
  <cols>
    <col min="1" max="1" width="11.42578125" customWidth="1"/>
    <col min="2" max="2" width="22.28515625" customWidth="1"/>
    <col min="3" max="3" width="47.7109375" customWidth="1"/>
    <col min="4" max="4" width="50.5703125" customWidth="1"/>
    <col min="5" max="5" width="23.7109375" customWidth="1"/>
    <col min="6" max="6" width="9.7109375" customWidth="1"/>
    <col min="7" max="23" width="12.28515625" bestFit="1" customWidth="1"/>
    <col min="24" max="24" width="14" bestFit="1" customWidth="1"/>
    <col min="25" max="35" width="13.7109375" bestFit="1" customWidth="1"/>
    <col min="36" max="37" width="13.7109375" hidden="1" customWidth="1"/>
    <col min="38" max="45" width="0" hidden="1" customWidth="1"/>
    <col min="46" max="46" width="9.28515625" hidden="1" customWidth="1"/>
    <col min="47" max="60" width="0" hidden="1" customWidth="1"/>
    <col min="61" max="61" width="13.5703125" customWidth="1"/>
  </cols>
  <sheetData>
    <row r="1" spans="2:61" ht="20.25" customHeight="1">
      <c r="B1" s="135" t="s">
        <v>53</v>
      </c>
      <c r="C1" s="135"/>
    </row>
    <row r="2" spans="2:61" ht="20.25">
      <c r="B2" s="135" t="str">
        <f>IF(Tradingname=0," ",Tradingname)</f>
        <v>APA (SWQP) PTY LIMITED</v>
      </c>
      <c r="C2" s="135"/>
    </row>
    <row r="3" spans="2:61" ht="19.5" customHeight="1">
      <c r="B3" s="135" t="s">
        <v>30</v>
      </c>
      <c r="C3" s="99">
        <f>IF(Yearending=0, "01/01/2000", Yearending)</f>
        <v>45838</v>
      </c>
    </row>
    <row r="4" spans="2:61" ht="20.25">
      <c r="B4" s="91" t="s">
        <v>347</v>
      </c>
      <c r="C4" s="91"/>
    </row>
    <row r="6" spans="2:61" ht="15.75" customHeight="1">
      <c r="B6" s="409" t="s">
        <v>348</v>
      </c>
      <c r="C6" s="409"/>
      <c r="D6" s="409"/>
    </row>
    <row r="7" spans="2:61" ht="15.75" customHeight="1">
      <c r="B7" s="409"/>
      <c r="C7" s="409"/>
      <c r="D7" s="409"/>
    </row>
    <row r="9" spans="2:61" ht="15.75">
      <c r="B9" s="197" t="s">
        <v>349</v>
      </c>
    </row>
    <row r="11" spans="2:61" ht="45" customHeight="1">
      <c r="B11" s="50" t="s">
        <v>113</v>
      </c>
      <c r="C11" s="420" t="s">
        <v>310</v>
      </c>
      <c r="D11" s="421"/>
      <c r="E11" s="303" t="s">
        <v>56</v>
      </c>
      <c r="F11" s="418" t="s">
        <v>250</v>
      </c>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304" t="s">
        <v>350</v>
      </c>
    </row>
    <row r="12" spans="2:61">
      <c r="B12" s="290"/>
      <c r="C12" s="53"/>
      <c r="D12" s="53"/>
      <c r="E12" s="53"/>
      <c r="F12" s="55" t="str">
        <f>RIGHT(TEXT(C43,"dd/mm/yyyy"),4)</f>
        <v>1996</v>
      </c>
      <c r="G12" s="56">
        <f>F12+1</f>
        <v>1997</v>
      </c>
      <c r="H12" s="56">
        <f t="shared" ref="H12:BG12" si="0">G12+1</f>
        <v>1998</v>
      </c>
      <c r="I12" s="56">
        <f t="shared" si="0"/>
        <v>1999</v>
      </c>
      <c r="J12" s="56">
        <f t="shared" si="0"/>
        <v>2000</v>
      </c>
      <c r="K12" s="56">
        <f t="shared" si="0"/>
        <v>2001</v>
      </c>
      <c r="L12" s="56">
        <f t="shared" si="0"/>
        <v>2002</v>
      </c>
      <c r="M12" s="56">
        <f t="shared" si="0"/>
        <v>2003</v>
      </c>
      <c r="N12" s="56">
        <f t="shared" si="0"/>
        <v>2004</v>
      </c>
      <c r="O12" s="56">
        <f t="shared" si="0"/>
        <v>2005</v>
      </c>
      <c r="P12" s="56">
        <f t="shared" si="0"/>
        <v>2006</v>
      </c>
      <c r="Q12" s="56">
        <f t="shared" si="0"/>
        <v>2007</v>
      </c>
      <c r="R12" s="56">
        <f t="shared" si="0"/>
        <v>2008</v>
      </c>
      <c r="S12" s="56">
        <f t="shared" si="0"/>
        <v>2009</v>
      </c>
      <c r="T12" s="56">
        <f t="shared" si="0"/>
        <v>2010</v>
      </c>
      <c r="U12" s="56">
        <f t="shared" si="0"/>
        <v>2011</v>
      </c>
      <c r="V12" s="56">
        <f t="shared" si="0"/>
        <v>2012</v>
      </c>
      <c r="W12" s="56">
        <f t="shared" si="0"/>
        <v>2013</v>
      </c>
      <c r="X12" s="56">
        <f t="shared" si="0"/>
        <v>2014</v>
      </c>
      <c r="Y12" s="56">
        <f t="shared" si="0"/>
        <v>2015</v>
      </c>
      <c r="Z12" s="56">
        <f t="shared" si="0"/>
        <v>2016</v>
      </c>
      <c r="AA12" s="56">
        <f t="shared" si="0"/>
        <v>2017</v>
      </c>
      <c r="AB12" s="56">
        <f t="shared" si="0"/>
        <v>2018</v>
      </c>
      <c r="AC12" s="56">
        <f t="shared" si="0"/>
        <v>2019</v>
      </c>
      <c r="AD12" s="56">
        <f t="shared" si="0"/>
        <v>2020</v>
      </c>
      <c r="AE12" s="56">
        <f t="shared" si="0"/>
        <v>2021</v>
      </c>
      <c r="AF12" s="56">
        <f t="shared" si="0"/>
        <v>2022</v>
      </c>
      <c r="AG12" s="56">
        <f t="shared" si="0"/>
        <v>2023</v>
      </c>
      <c r="AH12" s="56">
        <f t="shared" si="0"/>
        <v>2024</v>
      </c>
      <c r="AI12" s="56">
        <f t="shared" si="0"/>
        <v>2025</v>
      </c>
      <c r="AJ12" s="56">
        <f t="shared" si="0"/>
        <v>2026</v>
      </c>
      <c r="AK12" s="56">
        <f t="shared" si="0"/>
        <v>2027</v>
      </c>
      <c r="AL12" s="56">
        <f t="shared" si="0"/>
        <v>2028</v>
      </c>
      <c r="AM12" s="56">
        <f t="shared" si="0"/>
        <v>2029</v>
      </c>
      <c r="AN12" s="56">
        <f t="shared" si="0"/>
        <v>2030</v>
      </c>
      <c r="AO12" s="56">
        <f t="shared" si="0"/>
        <v>2031</v>
      </c>
      <c r="AP12" s="56">
        <f t="shared" si="0"/>
        <v>2032</v>
      </c>
      <c r="AQ12" s="56">
        <f t="shared" si="0"/>
        <v>2033</v>
      </c>
      <c r="AR12" s="56">
        <f t="shared" si="0"/>
        <v>2034</v>
      </c>
      <c r="AS12" s="56">
        <f t="shared" si="0"/>
        <v>2035</v>
      </c>
      <c r="AT12" s="56">
        <f t="shared" si="0"/>
        <v>2036</v>
      </c>
      <c r="AU12" s="56">
        <f t="shared" si="0"/>
        <v>2037</v>
      </c>
      <c r="AV12" s="56">
        <f t="shared" si="0"/>
        <v>2038</v>
      </c>
      <c r="AW12" s="56">
        <f t="shared" si="0"/>
        <v>2039</v>
      </c>
      <c r="AX12" s="56">
        <f t="shared" si="0"/>
        <v>2040</v>
      </c>
      <c r="AY12" s="56">
        <f t="shared" si="0"/>
        <v>2041</v>
      </c>
      <c r="AZ12" s="56">
        <f t="shared" si="0"/>
        <v>2042</v>
      </c>
      <c r="BA12" s="56">
        <f t="shared" si="0"/>
        <v>2043</v>
      </c>
      <c r="BB12" s="56">
        <f t="shared" si="0"/>
        <v>2044</v>
      </c>
      <c r="BC12" s="56">
        <f t="shared" si="0"/>
        <v>2045</v>
      </c>
      <c r="BD12" s="56">
        <f t="shared" si="0"/>
        <v>2046</v>
      </c>
      <c r="BE12" s="56">
        <f t="shared" si="0"/>
        <v>2047</v>
      </c>
      <c r="BF12" s="56">
        <f t="shared" si="0"/>
        <v>2048</v>
      </c>
      <c r="BG12" s="56">
        <f t="shared" si="0"/>
        <v>2049</v>
      </c>
      <c r="BH12" s="56">
        <f>BG12+1</f>
        <v>2050</v>
      </c>
    </row>
    <row r="13" spans="2:61">
      <c r="B13" s="329" t="s">
        <v>517</v>
      </c>
      <c r="C13" s="57" t="s">
        <v>202</v>
      </c>
      <c r="D13" s="58"/>
      <c r="E13" s="10"/>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row>
    <row r="14" spans="2:61">
      <c r="B14" s="291"/>
      <c r="C14" s="57"/>
      <c r="D14" s="58" t="s">
        <v>351</v>
      </c>
      <c r="E14" s="10">
        <f t="shared" ref="E14:E20" si="1">SUM(F14:BH14)</f>
        <v>418261406.09571135</v>
      </c>
      <c r="F14" s="66">
        <v>0</v>
      </c>
      <c r="G14" s="66">
        <v>239239996.83884788</v>
      </c>
      <c r="H14" s="66">
        <v>0</v>
      </c>
      <c r="I14" s="66">
        <v>0</v>
      </c>
      <c r="J14" s="66">
        <v>0</v>
      </c>
      <c r="K14" s="66">
        <v>0</v>
      </c>
      <c r="L14" s="66">
        <v>0</v>
      </c>
      <c r="M14" s="66">
        <v>0</v>
      </c>
      <c r="N14" s="66">
        <v>0</v>
      </c>
      <c r="O14" s="66">
        <v>0</v>
      </c>
      <c r="P14" s="66">
        <v>0</v>
      </c>
      <c r="Q14" s="66">
        <v>0</v>
      </c>
      <c r="R14" s="66">
        <v>0</v>
      </c>
      <c r="S14" s="66">
        <v>137990288.01770547</v>
      </c>
      <c r="T14" s="66">
        <v>0</v>
      </c>
      <c r="U14" s="66">
        <v>0</v>
      </c>
      <c r="V14" s="66">
        <v>41031121.239158019</v>
      </c>
      <c r="W14" s="66">
        <v>0</v>
      </c>
      <c r="X14" s="66">
        <v>0</v>
      </c>
      <c r="Y14" s="66">
        <v>0</v>
      </c>
      <c r="Z14" s="66">
        <v>0</v>
      </c>
      <c r="AA14" s="66">
        <v>0</v>
      </c>
      <c r="AB14" s="66">
        <v>0</v>
      </c>
      <c r="AC14" s="66">
        <v>0</v>
      </c>
      <c r="AD14" s="66">
        <v>0</v>
      </c>
      <c r="AE14" s="66">
        <v>0</v>
      </c>
      <c r="AF14" s="66">
        <v>0</v>
      </c>
      <c r="AG14" s="66">
        <v>0</v>
      </c>
      <c r="AH14" s="66">
        <v>0</v>
      </c>
      <c r="AI14" s="66">
        <v>0</v>
      </c>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row>
    <row r="15" spans="2:61">
      <c r="B15" s="291"/>
      <c r="C15" s="57"/>
      <c r="D15" s="58" t="s">
        <v>352</v>
      </c>
      <c r="E15" s="10">
        <f t="shared" si="1"/>
        <v>24410768.674870711</v>
      </c>
      <c r="F15" s="66">
        <v>0</v>
      </c>
      <c r="G15" s="66">
        <v>11129089.296555296</v>
      </c>
      <c r="H15" s="66">
        <v>-33221.162079269066</v>
      </c>
      <c r="I15" s="66">
        <v>166105.81039634719</v>
      </c>
      <c r="J15" s="66">
        <v>215937.55351525173</v>
      </c>
      <c r="K15" s="66">
        <v>664423.24158539064</v>
      </c>
      <c r="L15" s="66">
        <v>382043.36391160265</v>
      </c>
      <c r="M15" s="66">
        <v>365432.78287196346</v>
      </c>
      <c r="N15" s="66">
        <v>315601.03975306265</v>
      </c>
      <c r="O15" s="66">
        <v>332211.62079269439</v>
      </c>
      <c r="P15" s="66">
        <v>382043.36391159892</v>
      </c>
      <c r="Q15" s="66">
        <v>465096.26910977252</v>
      </c>
      <c r="R15" s="66">
        <v>415264.52599086985</v>
      </c>
      <c r="S15" s="66">
        <v>548149.17430794798</v>
      </c>
      <c r="T15" s="66">
        <v>315601.03975305893</v>
      </c>
      <c r="U15" s="66">
        <v>431875.10703050531</v>
      </c>
      <c r="V15" s="66">
        <v>481706.85014940612</v>
      </c>
      <c r="W15" s="66">
        <v>130018.50884357281</v>
      </c>
      <c r="X15" s="66">
        <v>503821.72176884487</v>
      </c>
      <c r="Y15" s="66">
        <v>260037.01768714562</v>
      </c>
      <c r="Z15" s="66">
        <v>178775.44965991005</v>
      </c>
      <c r="AA15" s="66">
        <v>341298.58571438119</v>
      </c>
      <c r="AB15" s="66">
        <v>373803.2129252702</v>
      </c>
      <c r="AC15" s="66">
        <v>292541.64489803836</v>
      </c>
      <c r="AD15" s="66">
        <v>-65009.254421781749</v>
      </c>
      <c r="AE15" s="66">
        <v>715101.79863964766</v>
      </c>
      <c r="AF15" s="66">
        <v>1186418.8931975998</v>
      </c>
      <c r="AG15" s="66">
        <v>1235175.8340139389</v>
      </c>
      <c r="AH15" s="66">
        <v>2181840.1398076676</v>
      </c>
      <c r="AI15" s="66">
        <v>499585.24458097667</v>
      </c>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row>
    <row r="16" spans="2:61">
      <c r="B16" s="291"/>
      <c r="C16" s="57"/>
      <c r="D16" s="58" t="s">
        <v>205</v>
      </c>
      <c r="E16" s="10">
        <f t="shared" si="1"/>
        <v>1555122786.214468</v>
      </c>
      <c r="F16" s="66">
        <v>0</v>
      </c>
      <c r="G16" s="66">
        <v>0</v>
      </c>
      <c r="H16" s="66">
        <v>946371.88458244374</v>
      </c>
      <c r="I16" s="66">
        <v>561615.28486916702</v>
      </c>
      <c r="J16" s="66">
        <v>32580.35678335559</v>
      </c>
      <c r="K16" s="66">
        <v>1510294.9415369036</v>
      </c>
      <c r="L16" s="66">
        <v>66069.381875448889</v>
      </c>
      <c r="M16" s="66">
        <v>304425.56189193262</v>
      </c>
      <c r="N16" s="66">
        <v>112297.44589549363</v>
      </c>
      <c r="O16" s="66">
        <v>843670.05931597459</v>
      </c>
      <c r="P16" s="66">
        <v>130207.87439341213</v>
      </c>
      <c r="Q16" s="66">
        <v>123919.03586470537</v>
      </c>
      <c r="R16" s="66">
        <v>2462423.2478497112</v>
      </c>
      <c r="S16" s="66">
        <v>36986636.167349868</v>
      </c>
      <c r="T16" s="66">
        <v>640253.44113849464</v>
      </c>
      <c r="U16" s="66">
        <v>379823.08721231658</v>
      </c>
      <c r="V16" s="66">
        <v>864325665.63900721</v>
      </c>
      <c r="W16" s="66">
        <v>3216519.5642355792</v>
      </c>
      <c r="X16" s="66">
        <v>1084626.1847187101</v>
      </c>
      <c r="Y16" s="66">
        <v>382788351.11672133</v>
      </c>
      <c r="Z16" s="66">
        <v>12481925.928381907</v>
      </c>
      <c r="AA16" s="66">
        <v>12226935.580823993</v>
      </c>
      <c r="AB16" s="66">
        <v>8084029.0998765351</v>
      </c>
      <c r="AC16" s="66">
        <v>28119624.158033621</v>
      </c>
      <c r="AD16" s="66">
        <v>10125234.103159662</v>
      </c>
      <c r="AE16" s="66">
        <v>435113.28430975223</v>
      </c>
      <c r="AF16" s="66">
        <v>7313442.7492671655</v>
      </c>
      <c r="AG16" s="66">
        <v>73381280.939040348</v>
      </c>
      <c r="AH16" s="66">
        <v>95701033.679422095</v>
      </c>
      <c r="AI16" s="66">
        <v>10738416.416910598</v>
      </c>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row>
    <row r="17" spans="2:62">
      <c r="B17" s="291"/>
      <c r="C17" s="57"/>
      <c r="D17" s="58" t="s">
        <v>353</v>
      </c>
      <c r="E17" s="10">
        <f t="shared" si="1"/>
        <v>5262638.7840839373</v>
      </c>
      <c r="F17" s="66">
        <v>0</v>
      </c>
      <c r="G17" s="66">
        <v>0</v>
      </c>
      <c r="H17" s="66">
        <v>0</v>
      </c>
      <c r="I17" s="66">
        <v>0</v>
      </c>
      <c r="J17" s="66">
        <v>0</v>
      </c>
      <c r="K17" s="66">
        <v>0</v>
      </c>
      <c r="L17" s="66">
        <v>0</v>
      </c>
      <c r="M17" s="66">
        <v>0</v>
      </c>
      <c r="N17" s="66">
        <v>0</v>
      </c>
      <c r="O17" s="66">
        <v>0</v>
      </c>
      <c r="P17" s="66">
        <v>0</v>
      </c>
      <c r="Q17" s="66">
        <v>0</v>
      </c>
      <c r="R17" s="66">
        <v>0</v>
      </c>
      <c r="S17" s="66">
        <v>0</v>
      </c>
      <c r="T17" s="66">
        <v>0</v>
      </c>
      <c r="U17" s="66">
        <v>0</v>
      </c>
      <c r="V17" s="66">
        <v>0</v>
      </c>
      <c r="W17" s="66">
        <v>0</v>
      </c>
      <c r="X17" s="66">
        <v>0</v>
      </c>
      <c r="Y17" s="66">
        <v>0</v>
      </c>
      <c r="Z17" s="66">
        <v>0</v>
      </c>
      <c r="AA17" s="66">
        <v>0</v>
      </c>
      <c r="AB17" s="66">
        <v>0</v>
      </c>
      <c r="AC17" s="66">
        <v>454999.45393117098</v>
      </c>
      <c r="AD17" s="66">
        <v>2749601.0175316087</v>
      </c>
      <c r="AE17" s="66">
        <v>1883756.5505704838</v>
      </c>
      <c r="AF17" s="66">
        <v>0</v>
      </c>
      <c r="AG17" s="66">
        <v>174281.76205067406</v>
      </c>
      <c r="AH17" s="66">
        <v>0</v>
      </c>
      <c r="AI17" s="66">
        <v>0</v>
      </c>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row>
    <row r="18" spans="2:62">
      <c r="B18" s="291"/>
      <c r="C18" s="57"/>
      <c r="D18" s="58" t="s">
        <v>354</v>
      </c>
      <c r="E18" s="10">
        <f t="shared" si="1"/>
        <v>-4298674.0767381815</v>
      </c>
      <c r="F18" s="66">
        <v>0</v>
      </c>
      <c r="G18" s="66">
        <v>0</v>
      </c>
      <c r="H18" s="66">
        <v>0</v>
      </c>
      <c r="I18" s="66">
        <v>-246617.1754052375</v>
      </c>
      <c r="J18" s="66">
        <v>0</v>
      </c>
      <c r="K18" s="66">
        <v>0</v>
      </c>
      <c r="L18" s="66">
        <v>0</v>
      </c>
      <c r="M18" s="66">
        <v>0</v>
      </c>
      <c r="N18" s="66">
        <v>0</v>
      </c>
      <c r="O18" s="66">
        <v>0</v>
      </c>
      <c r="P18" s="66">
        <v>-496737.77519616246</v>
      </c>
      <c r="Q18" s="66">
        <v>0</v>
      </c>
      <c r="R18" s="66">
        <v>0</v>
      </c>
      <c r="S18" s="66">
        <v>0</v>
      </c>
      <c r="T18" s="66">
        <v>0</v>
      </c>
      <c r="U18" s="66">
        <v>0</v>
      </c>
      <c r="V18" s="66">
        <v>-596833.08425151382</v>
      </c>
      <c r="W18" s="66">
        <v>0</v>
      </c>
      <c r="X18" s="66">
        <v>-407368.94675277628</v>
      </c>
      <c r="Y18" s="66">
        <v>-277558.53615570831</v>
      </c>
      <c r="Z18" s="66">
        <v>-641999.32600288978</v>
      </c>
      <c r="AA18" s="66">
        <v>-221012.94930422975</v>
      </c>
      <c r="AB18" s="66">
        <v>-94770.766170196148</v>
      </c>
      <c r="AC18" s="66">
        <v>0</v>
      </c>
      <c r="AD18" s="66">
        <v>0</v>
      </c>
      <c r="AE18" s="66">
        <v>-643820.39130294719</v>
      </c>
      <c r="AF18" s="66">
        <v>0</v>
      </c>
      <c r="AG18" s="66">
        <v>-115146.07333114797</v>
      </c>
      <c r="AH18" s="66">
        <v>-12247.112579200606</v>
      </c>
      <c r="AI18" s="66">
        <v>-544561.94028617209</v>
      </c>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row>
    <row r="19" spans="2:62">
      <c r="B19" s="291"/>
      <c r="C19" s="57"/>
      <c r="D19" s="58" t="s">
        <v>355</v>
      </c>
      <c r="E19" s="10">
        <f t="shared" si="1"/>
        <v>898509.92522178788</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66">
        <v>0</v>
      </c>
      <c r="W19" s="66">
        <v>0</v>
      </c>
      <c r="X19" s="66">
        <v>0</v>
      </c>
      <c r="Y19" s="66">
        <v>0</v>
      </c>
      <c r="Z19" s="66">
        <v>0</v>
      </c>
      <c r="AA19" s="66">
        <v>0</v>
      </c>
      <c r="AB19" s="66">
        <v>0</v>
      </c>
      <c r="AC19" s="66">
        <v>0</v>
      </c>
      <c r="AD19" s="66">
        <v>565867.60249269009</v>
      </c>
      <c r="AE19" s="66">
        <v>0</v>
      </c>
      <c r="AF19" s="66">
        <v>43009.706677596863</v>
      </c>
      <c r="AG19" s="66">
        <v>0</v>
      </c>
      <c r="AH19" s="66">
        <v>214165.80494138712</v>
      </c>
      <c r="AI19" s="66">
        <v>75466.811110113718</v>
      </c>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row>
    <row r="20" spans="2:62">
      <c r="B20" s="291"/>
      <c r="C20" s="57"/>
      <c r="D20" s="212" t="s">
        <v>356</v>
      </c>
      <c r="E20" s="10">
        <f t="shared" si="1"/>
        <v>1999657435.6176169</v>
      </c>
      <c r="F20" s="11">
        <f t="shared" ref="F20:AK20" si="2">SUM(F13:F19)</f>
        <v>0</v>
      </c>
      <c r="G20" s="11">
        <f t="shared" si="2"/>
        <v>250369086.13540316</v>
      </c>
      <c r="H20" s="11">
        <f t="shared" si="2"/>
        <v>913150.72250317468</v>
      </c>
      <c r="I20" s="11">
        <f t="shared" si="2"/>
        <v>481103.91986027674</v>
      </c>
      <c r="J20" s="11">
        <f t="shared" si="2"/>
        <v>248517.91029860731</v>
      </c>
      <c r="K20" s="11">
        <f t="shared" si="2"/>
        <v>2174718.183122294</v>
      </c>
      <c r="L20" s="11">
        <f t="shared" si="2"/>
        <v>448112.74578705151</v>
      </c>
      <c r="M20" s="11">
        <f t="shared" si="2"/>
        <v>669858.34476389608</v>
      </c>
      <c r="N20" s="11">
        <f t="shared" si="2"/>
        <v>427898.48564855626</v>
      </c>
      <c r="O20" s="11">
        <f t="shared" si="2"/>
        <v>1175881.680108669</v>
      </c>
      <c r="P20" s="11">
        <f t="shared" si="2"/>
        <v>15513.463108848606</v>
      </c>
      <c r="Q20" s="11">
        <f t="shared" si="2"/>
        <v>589015.30497447785</v>
      </c>
      <c r="R20" s="11">
        <f t="shared" si="2"/>
        <v>2877687.7738405811</v>
      </c>
      <c r="S20" s="11">
        <f t="shared" si="2"/>
        <v>175525073.35936329</v>
      </c>
      <c r="T20" s="11">
        <f t="shared" si="2"/>
        <v>955854.48089155357</v>
      </c>
      <c r="U20" s="11">
        <f t="shared" si="2"/>
        <v>811698.19424282189</v>
      </c>
      <c r="V20" s="11">
        <f t="shared" si="2"/>
        <v>905241660.64406312</v>
      </c>
      <c r="W20" s="11">
        <f t="shared" si="2"/>
        <v>3346538.073079152</v>
      </c>
      <c r="X20" s="11">
        <f t="shared" si="2"/>
        <v>1181078.9597347789</v>
      </c>
      <c r="Y20" s="11">
        <f t="shared" si="2"/>
        <v>382770829.59825277</v>
      </c>
      <c r="Z20" s="11">
        <f t="shared" si="2"/>
        <v>12018702.052038927</v>
      </c>
      <c r="AA20" s="11">
        <f t="shared" si="2"/>
        <v>12347221.217234144</v>
      </c>
      <c r="AB20" s="11">
        <f t="shared" si="2"/>
        <v>8363061.5466316082</v>
      </c>
      <c r="AC20" s="11">
        <f t="shared" si="2"/>
        <v>28867165.25686283</v>
      </c>
      <c r="AD20" s="11">
        <f t="shared" si="2"/>
        <v>13375693.46876218</v>
      </c>
      <c r="AE20" s="11">
        <f t="shared" si="2"/>
        <v>2390151.2422169363</v>
      </c>
      <c r="AF20" s="11">
        <f t="shared" si="2"/>
        <v>8542871.3491423614</v>
      </c>
      <c r="AG20" s="11">
        <f t="shared" si="2"/>
        <v>74675592.461773813</v>
      </c>
      <c r="AH20" s="11">
        <f t="shared" si="2"/>
        <v>98084792.511591956</v>
      </c>
      <c r="AI20" s="11">
        <f t="shared" si="2"/>
        <v>10768906.532315515</v>
      </c>
      <c r="AJ20" s="11">
        <f t="shared" si="2"/>
        <v>0</v>
      </c>
      <c r="AK20" s="11">
        <f t="shared" si="2"/>
        <v>0</v>
      </c>
      <c r="AL20" s="11">
        <f t="shared" ref="AL20:BH20" si="3">SUM(AL13:AL19)</f>
        <v>0</v>
      </c>
      <c r="AM20" s="11">
        <f t="shared" si="3"/>
        <v>0</v>
      </c>
      <c r="AN20" s="11">
        <f t="shared" si="3"/>
        <v>0</v>
      </c>
      <c r="AO20" s="11">
        <f t="shared" si="3"/>
        <v>0</v>
      </c>
      <c r="AP20" s="11">
        <f t="shared" si="3"/>
        <v>0</v>
      </c>
      <c r="AQ20" s="11">
        <f t="shared" si="3"/>
        <v>0</v>
      </c>
      <c r="AR20" s="11">
        <f t="shared" si="3"/>
        <v>0</v>
      </c>
      <c r="AS20" s="11">
        <f t="shared" si="3"/>
        <v>0</v>
      </c>
      <c r="AT20" s="11">
        <f t="shared" si="3"/>
        <v>0</v>
      </c>
      <c r="AU20" s="11">
        <f t="shared" si="3"/>
        <v>0</v>
      </c>
      <c r="AV20" s="11">
        <f t="shared" si="3"/>
        <v>0</v>
      </c>
      <c r="AW20" s="11">
        <f t="shared" si="3"/>
        <v>0</v>
      </c>
      <c r="AX20" s="11">
        <f t="shared" si="3"/>
        <v>0</v>
      </c>
      <c r="AY20" s="11">
        <f t="shared" si="3"/>
        <v>0</v>
      </c>
      <c r="AZ20" s="11">
        <f t="shared" si="3"/>
        <v>0</v>
      </c>
      <c r="BA20" s="11">
        <f t="shared" si="3"/>
        <v>0</v>
      </c>
      <c r="BB20" s="11">
        <f t="shared" si="3"/>
        <v>0</v>
      </c>
      <c r="BC20" s="11">
        <f t="shared" si="3"/>
        <v>0</v>
      </c>
      <c r="BD20" s="11">
        <f t="shared" si="3"/>
        <v>0</v>
      </c>
      <c r="BE20" s="11">
        <f t="shared" si="3"/>
        <v>0</v>
      </c>
      <c r="BF20" s="11">
        <f t="shared" si="3"/>
        <v>0</v>
      </c>
      <c r="BG20" s="11">
        <f t="shared" si="3"/>
        <v>0</v>
      </c>
      <c r="BH20" s="11">
        <f t="shared" si="3"/>
        <v>0</v>
      </c>
    </row>
    <row r="21" spans="2:62">
      <c r="B21" s="291"/>
      <c r="C21" s="57" t="s">
        <v>357</v>
      </c>
      <c r="D21" s="57"/>
      <c r="E21" s="10"/>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row>
    <row r="22" spans="2:62" ht="25.5">
      <c r="B22" s="291"/>
      <c r="C22" s="57"/>
      <c r="D22" s="58" t="s">
        <v>358</v>
      </c>
      <c r="E22" s="10">
        <f t="shared" ref="E22:E27" si="4">SUM(F22:BH22)</f>
        <v>0</v>
      </c>
      <c r="F22" s="66">
        <v>0</v>
      </c>
      <c r="G22" s="66">
        <v>0</v>
      </c>
      <c r="H22" s="66">
        <v>0</v>
      </c>
      <c r="I22" s="66">
        <v>0</v>
      </c>
      <c r="J22" s="66">
        <v>0</v>
      </c>
      <c r="K22" s="66">
        <v>0</v>
      </c>
      <c r="L22" s="66">
        <v>0</v>
      </c>
      <c r="M22" s="66">
        <v>0</v>
      </c>
      <c r="N22" s="66">
        <v>0</v>
      </c>
      <c r="O22" s="66">
        <v>0</v>
      </c>
      <c r="P22" s="66">
        <v>0</v>
      </c>
      <c r="Q22" s="66">
        <v>0</v>
      </c>
      <c r="R22" s="66">
        <v>0</v>
      </c>
      <c r="S22" s="66">
        <v>0</v>
      </c>
      <c r="T22" s="66">
        <v>0</v>
      </c>
      <c r="U22" s="66">
        <v>0</v>
      </c>
      <c r="V22" s="66">
        <v>0</v>
      </c>
      <c r="W22" s="66">
        <v>0</v>
      </c>
      <c r="X22" s="66">
        <v>0</v>
      </c>
      <c r="Y22" s="66">
        <v>0</v>
      </c>
      <c r="Z22" s="66">
        <v>0</v>
      </c>
      <c r="AA22" s="66">
        <v>0</v>
      </c>
      <c r="AB22" s="66">
        <v>0</v>
      </c>
      <c r="AC22" s="66">
        <v>0</v>
      </c>
      <c r="AD22" s="66">
        <v>0</v>
      </c>
      <c r="AE22" s="66">
        <v>0</v>
      </c>
      <c r="AF22" s="66">
        <v>0</v>
      </c>
      <c r="AG22" s="66">
        <v>0</v>
      </c>
      <c r="AH22" s="66">
        <v>0</v>
      </c>
      <c r="AI22" s="66">
        <v>0</v>
      </c>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row>
    <row r="23" spans="2:62">
      <c r="B23" s="291"/>
      <c r="C23" s="57"/>
      <c r="D23" s="58" t="s">
        <v>352</v>
      </c>
      <c r="E23" s="10">
        <f t="shared" si="4"/>
        <v>0</v>
      </c>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row>
    <row r="24" spans="2:62">
      <c r="B24" s="291"/>
      <c r="C24" s="57"/>
      <c r="D24" s="58" t="s">
        <v>205</v>
      </c>
      <c r="E24" s="10">
        <f t="shared" si="4"/>
        <v>93338924.712326795</v>
      </c>
      <c r="F24" s="66">
        <v>0</v>
      </c>
      <c r="G24" s="66">
        <v>0</v>
      </c>
      <c r="H24" s="66">
        <v>0</v>
      </c>
      <c r="I24" s="66">
        <v>0</v>
      </c>
      <c r="J24" s="66">
        <v>0</v>
      </c>
      <c r="K24" s="66">
        <v>0</v>
      </c>
      <c r="L24" s="66">
        <v>0</v>
      </c>
      <c r="M24" s="66">
        <v>0</v>
      </c>
      <c r="N24" s="66">
        <v>0</v>
      </c>
      <c r="O24" s="66">
        <v>0</v>
      </c>
      <c r="P24" s="66">
        <v>0</v>
      </c>
      <c r="Q24" s="66">
        <v>0</v>
      </c>
      <c r="R24" s="66">
        <v>0</v>
      </c>
      <c r="S24" s="66">
        <v>0</v>
      </c>
      <c r="T24" s="66">
        <v>0</v>
      </c>
      <c r="U24" s="66">
        <v>0</v>
      </c>
      <c r="V24" s="66">
        <v>0</v>
      </c>
      <c r="W24" s="66">
        <v>414836.54425864451</v>
      </c>
      <c r="X24" s="66">
        <v>668141.94418275391</v>
      </c>
      <c r="Y24" s="66">
        <v>5430603.8898005411</v>
      </c>
      <c r="Z24" s="66">
        <v>7796250.433891817</v>
      </c>
      <c r="AA24" s="66">
        <v>3246850.7497899025</v>
      </c>
      <c r="AB24" s="66">
        <v>5465217.4890095228</v>
      </c>
      <c r="AC24" s="66">
        <v>8167436.6594689284</v>
      </c>
      <c r="AD24" s="66">
        <v>6974540.5501231896</v>
      </c>
      <c r="AE24" s="66">
        <v>4035521.7881992441</v>
      </c>
      <c r="AF24" s="66">
        <v>18343966.242962878</v>
      </c>
      <c r="AG24" s="66">
        <v>11414550.046743238</v>
      </c>
      <c r="AH24" s="66">
        <v>3770377.7717936337</v>
      </c>
      <c r="AI24" s="66">
        <v>17610630.602102488</v>
      </c>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row>
    <row r="25" spans="2:62">
      <c r="B25" s="291"/>
      <c r="C25" s="57"/>
      <c r="D25" s="58" t="s">
        <v>353</v>
      </c>
      <c r="E25" s="10">
        <f t="shared" si="4"/>
        <v>0</v>
      </c>
      <c r="F25" s="66">
        <v>0</v>
      </c>
      <c r="G25" s="66">
        <v>0</v>
      </c>
      <c r="H25" s="66">
        <v>0</v>
      </c>
      <c r="I25" s="66">
        <v>0</v>
      </c>
      <c r="J25" s="66">
        <v>0</v>
      </c>
      <c r="K25" s="66">
        <v>0</v>
      </c>
      <c r="L25" s="66">
        <v>0</v>
      </c>
      <c r="M25" s="66">
        <v>0</v>
      </c>
      <c r="N25" s="66">
        <v>0</v>
      </c>
      <c r="O25" s="66">
        <v>0</v>
      </c>
      <c r="P25" s="66">
        <v>0</v>
      </c>
      <c r="Q25" s="66">
        <v>0</v>
      </c>
      <c r="R25" s="66">
        <v>0</v>
      </c>
      <c r="S25" s="66">
        <v>0</v>
      </c>
      <c r="T25" s="66">
        <v>0</v>
      </c>
      <c r="U25" s="66">
        <v>0</v>
      </c>
      <c r="V25" s="66">
        <v>0</v>
      </c>
      <c r="W25" s="66">
        <v>0</v>
      </c>
      <c r="X25" s="66">
        <v>0</v>
      </c>
      <c r="Y25" s="66">
        <v>0</v>
      </c>
      <c r="Z25" s="66">
        <v>0</v>
      </c>
      <c r="AA25" s="66">
        <v>0</v>
      </c>
      <c r="AB25" s="66">
        <v>0</v>
      </c>
      <c r="AC25" s="66">
        <v>0</v>
      </c>
      <c r="AD25" s="66">
        <v>0</v>
      </c>
      <c r="AE25" s="66">
        <v>0</v>
      </c>
      <c r="AF25" s="66">
        <v>0</v>
      </c>
      <c r="AG25" s="66">
        <v>0</v>
      </c>
      <c r="AH25" s="66">
        <v>0</v>
      </c>
      <c r="AI25" s="66">
        <v>0</v>
      </c>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row>
    <row r="26" spans="2:62">
      <c r="B26" s="291"/>
      <c r="C26" s="57"/>
      <c r="D26" s="58" t="s">
        <v>354</v>
      </c>
      <c r="E26" s="10">
        <f t="shared" si="4"/>
        <v>-5065123.9589147754</v>
      </c>
      <c r="F26" s="66">
        <v>0</v>
      </c>
      <c r="G26" s="66">
        <v>0</v>
      </c>
      <c r="H26" s="66">
        <v>0</v>
      </c>
      <c r="I26" s="66">
        <v>0</v>
      </c>
      <c r="J26" s="66">
        <v>0</v>
      </c>
      <c r="K26" s="66">
        <v>0</v>
      </c>
      <c r="L26" s="66">
        <v>0</v>
      </c>
      <c r="M26" s="66">
        <v>0</v>
      </c>
      <c r="N26" s="66">
        <v>0</v>
      </c>
      <c r="O26" s="66">
        <v>0</v>
      </c>
      <c r="P26" s="66">
        <v>0</v>
      </c>
      <c r="Q26" s="66">
        <v>0</v>
      </c>
      <c r="R26" s="66">
        <v>0</v>
      </c>
      <c r="S26" s="66">
        <v>0</v>
      </c>
      <c r="T26" s="66">
        <v>0</v>
      </c>
      <c r="U26" s="66">
        <v>0</v>
      </c>
      <c r="V26" s="66">
        <v>0</v>
      </c>
      <c r="W26" s="66">
        <v>0</v>
      </c>
      <c r="X26" s="66">
        <v>0</v>
      </c>
      <c r="Y26" s="66">
        <v>0</v>
      </c>
      <c r="Z26" s="66">
        <v>0</v>
      </c>
      <c r="AA26" s="66">
        <v>0</v>
      </c>
      <c r="AB26" s="66">
        <v>0</v>
      </c>
      <c r="AC26" s="66">
        <v>0</v>
      </c>
      <c r="AD26" s="66">
        <v>-155879.47498976201</v>
      </c>
      <c r="AE26" s="66">
        <v>-438968.71762545098</v>
      </c>
      <c r="AF26" s="66">
        <v>-3560262.0297694309</v>
      </c>
      <c r="AG26" s="66">
        <v>-43378.648458963224</v>
      </c>
      <c r="AH26" s="66">
        <v>-619742.61813734123</v>
      </c>
      <c r="AI26" s="66">
        <v>-246892.46993382703</v>
      </c>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row>
    <row r="27" spans="2:62">
      <c r="B27" s="291"/>
      <c r="C27" s="57"/>
      <c r="D27" s="58" t="s">
        <v>355</v>
      </c>
      <c r="E27" s="10">
        <f t="shared" si="4"/>
        <v>16572662.330225378</v>
      </c>
      <c r="F27" s="66">
        <v>0</v>
      </c>
      <c r="G27" s="66">
        <v>0</v>
      </c>
      <c r="H27" s="66">
        <v>0</v>
      </c>
      <c r="I27" s="66">
        <v>0</v>
      </c>
      <c r="J27" s="66">
        <v>0</v>
      </c>
      <c r="K27" s="66">
        <v>0</v>
      </c>
      <c r="L27" s="66">
        <v>0</v>
      </c>
      <c r="M27" s="66">
        <v>0</v>
      </c>
      <c r="N27" s="66">
        <v>0</v>
      </c>
      <c r="O27" s="66">
        <v>0</v>
      </c>
      <c r="P27" s="66">
        <v>0</v>
      </c>
      <c r="Q27" s="66">
        <v>0</v>
      </c>
      <c r="R27" s="66">
        <v>0</v>
      </c>
      <c r="S27" s="66">
        <v>0</v>
      </c>
      <c r="T27" s="66">
        <v>0</v>
      </c>
      <c r="U27" s="66">
        <v>0</v>
      </c>
      <c r="V27" s="66">
        <v>0</v>
      </c>
      <c r="W27" s="66">
        <v>0</v>
      </c>
      <c r="X27" s="66">
        <v>0</v>
      </c>
      <c r="Y27" s="66">
        <v>0</v>
      </c>
      <c r="Z27" s="66">
        <v>0</v>
      </c>
      <c r="AA27" s="66">
        <v>0</v>
      </c>
      <c r="AB27" s="66">
        <v>0</v>
      </c>
      <c r="AC27" s="66">
        <v>0</v>
      </c>
      <c r="AD27" s="66">
        <v>5654780.6689451374</v>
      </c>
      <c r="AE27" s="66">
        <v>1274885.2402789518</v>
      </c>
      <c r="AF27" s="66">
        <v>1387040.6867151537</v>
      </c>
      <c r="AG27" s="66">
        <v>2693650.2508314005</v>
      </c>
      <c r="AH27" s="66">
        <v>3198428.3153505176</v>
      </c>
      <c r="AI27" s="66">
        <v>2363877.1681042169</v>
      </c>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row>
    <row r="28" spans="2:62">
      <c r="B28" s="291"/>
      <c r="C28" s="57"/>
      <c r="D28" s="212" t="s">
        <v>359</v>
      </c>
      <c r="E28" s="10">
        <f>SUM(F28:BH28)</f>
        <v>104846463.08363739</v>
      </c>
      <c r="F28" s="11">
        <f>SUM(F22:F27)</f>
        <v>0</v>
      </c>
      <c r="G28" s="11">
        <f t="shared" ref="G28:BH28" si="5">SUM(G22:G27)</f>
        <v>0</v>
      </c>
      <c r="H28" s="11">
        <f t="shared" si="5"/>
        <v>0</v>
      </c>
      <c r="I28" s="11">
        <f t="shared" si="5"/>
        <v>0</v>
      </c>
      <c r="J28" s="11">
        <f t="shared" si="5"/>
        <v>0</v>
      </c>
      <c r="K28" s="11">
        <f t="shared" si="5"/>
        <v>0</v>
      </c>
      <c r="L28" s="11">
        <f t="shared" si="5"/>
        <v>0</v>
      </c>
      <c r="M28" s="11">
        <f t="shared" si="5"/>
        <v>0</v>
      </c>
      <c r="N28" s="11">
        <f t="shared" si="5"/>
        <v>0</v>
      </c>
      <c r="O28" s="11">
        <f t="shared" si="5"/>
        <v>0</v>
      </c>
      <c r="P28" s="11">
        <f t="shared" si="5"/>
        <v>0</v>
      </c>
      <c r="Q28" s="11">
        <f t="shared" si="5"/>
        <v>0</v>
      </c>
      <c r="R28" s="11">
        <f t="shared" si="5"/>
        <v>0</v>
      </c>
      <c r="S28" s="11">
        <f t="shared" si="5"/>
        <v>0</v>
      </c>
      <c r="T28" s="11">
        <f t="shared" si="5"/>
        <v>0</v>
      </c>
      <c r="U28" s="11">
        <f t="shared" si="5"/>
        <v>0</v>
      </c>
      <c r="V28" s="11">
        <f t="shared" si="5"/>
        <v>0</v>
      </c>
      <c r="W28" s="11">
        <f t="shared" si="5"/>
        <v>414836.54425864451</v>
      </c>
      <c r="X28" s="11">
        <f t="shared" si="5"/>
        <v>668141.94418275391</v>
      </c>
      <c r="Y28" s="11">
        <f t="shared" si="5"/>
        <v>5430603.8898005411</v>
      </c>
      <c r="Z28" s="11">
        <f t="shared" si="5"/>
        <v>7796250.433891817</v>
      </c>
      <c r="AA28" s="11">
        <f t="shared" si="5"/>
        <v>3246850.7497899025</v>
      </c>
      <c r="AB28" s="11">
        <f t="shared" si="5"/>
        <v>5465217.4890095228</v>
      </c>
      <c r="AC28" s="11">
        <f t="shared" si="5"/>
        <v>8167436.6594689284</v>
      </c>
      <c r="AD28" s="11">
        <f t="shared" si="5"/>
        <v>12473441.744078565</v>
      </c>
      <c r="AE28" s="11">
        <f t="shared" si="5"/>
        <v>4871438.3108527455</v>
      </c>
      <c r="AF28" s="11">
        <f t="shared" si="5"/>
        <v>16170744.8999086</v>
      </c>
      <c r="AG28" s="11">
        <f t="shared" si="5"/>
        <v>14064821.649115676</v>
      </c>
      <c r="AH28" s="11">
        <f t="shared" si="5"/>
        <v>6349063.4690068103</v>
      </c>
      <c r="AI28" s="11">
        <f t="shared" si="5"/>
        <v>19727615.300272878</v>
      </c>
      <c r="AJ28" s="11">
        <f t="shared" si="5"/>
        <v>0</v>
      </c>
      <c r="AK28" s="11">
        <f t="shared" si="5"/>
        <v>0</v>
      </c>
      <c r="AL28" s="11">
        <f t="shared" si="5"/>
        <v>0</v>
      </c>
      <c r="AM28" s="11">
        <f t="shared" si="5"/>
        <v>0</v>
      </c>
      <c r="AN28" s="11">
        <f t="shared" si="5"/>
        <v>0</v>
      </c>
      <c r="AO28" s="11">
        <f t="shared" si="5"/>
        <v>0</v>
      </c>
      <c r="AP28" s="11">
        <f t="shared" si="5"/>
        <v>0</v>
      </c>
      <c r="AQ28" s="11">
        <f t="shared" si="5"/>
        <v>0</v>
      </c>
      <c r="AR28" s="11">
        <f t="shared" si="5"/>
        <v>0</v>
      </c>
      <c r="AS28" s="11">
        <f t="shared" si="5"/>
        <v>0</v>
      </c>
      <c r="AT28" s="11">
        <f t="shared" si="5"/>
        <v>0</v>
      </c>
      <c r="AU28" s="11">
        <f t="shared" si="5"/>
        <v>0</v>
      </c>
      <c r="AV28" s="11">
        <f t="shared" si="5"/>
        <v>0</v>
      </c>
      <c r="AW28" s="11">
        <f t="shared" si="5"/>
        <v>0</v>
      </c>
      <c r="AX28" s="11">
        <f t="shared" si="5"/>
        <v>0</v>
      </c>
      <c r="AY28" s="11">
        <f t="shared" si="5"/>
        <v>0</v>
      </c>
      <c r="AZ28" s="11">
        <f t="shared" si="5"/>
        <v>0</v>
      </c>
      <c r="BA28" s="11">
        <f t="shared" si="5"/>
        <v>0</v>
      </c>
      <c r="BB28" s="11">
        <f t="shared" si="5"/>
        <v>0</v>
      </c>
      <c r="BC28" s="11">
        <f t="shared" si="5"/>
        <v>0</v>
      </c>
      <c r="BD28" s="11">
        <f t="shared" si="5"/>
        <v>0</v>
      </c>
      <c r="BE28" s="11">
        <f t="shared" si="5"/>
        <v>0</v>
      </c>
      <c r="BF28" s="11">
        <f t="shared" si="5"/>
        <v>0</v>
      </c>
      <c r="BG28" s="11">
        <f t="shared" si="5"/>
        <v>0</v>
      </c>
      <c r="BH28" s="11">
        <f t="shared" si="5"/>
        <v>0</v>
      </c>
    </row>
    <row r="29" spans="2:62">
      <c r="B29" s="291"/>
      <c r="C29" s="57"/>
      <c r="D29" s="57" t="s">
        <v>70</v>
      </c>
      <c r="E29" s="10">
        <f>E20+E28</f>
        <v>2104503898.7012544</v>
      </c>
      <c r="F29" s="10">
        <f>F20+F28</f>
        <v>0</v>
      </c>
      <c r="G29" s="10">
        <f t="shared" ref="G29:AJ29" si="6">G20+G28</f>
        <v>250369086.13540316</v>
      </c>
      <c r="H29" s="10">
        <f t="shared" si="6"/>
        <v>913150.72250317468</v>
      </c>
      <c r="I29" s="10">
        <f t="shared" si="6"/>
        <v>481103.91986027674</v>
      </c>
      <c r="J29" s="10">
        <f t="shared" si="6"/>
        <v>248517.91029860731</v>
      </c>
      <c r="K29" s="10">
        <f t="shared" si="6"/>
        <v>2174718.183122294</v>
      </c>
      <c r="L29" s="10">
        <f t="shared" si="6"/>
        <v>448112.74578705151</v>
      </c>
      <c r="M29" s="10">
        <f t="shared" si="6"/>
        <v>669858.34476389608</v>
      </c>
      <c r="N29" s="10">
        <f t="shared" si="6"/>
        <v>427898.48564855626</v>
      </c>
      <c r="O29" s="10">
        <f t="shared" si="6"/>
        <v>1175881.680108669</v>
      </c>
      <c r="P29" s="10">
        <f t="shared" si="6"/>
        <v>15513.463108848606</v>
      </c>
      <c r="Q29" s="10">
        <f t="shared" si="6"/>
        <v>589015.30497447785</v>
      </c>
      <c r="R29" s="10">
        <f t="shared" si="6"/>
        <v>2877687.7738405811</v>
      </c>
      <c r="S29" s="10">
        <f t="shared" si="6"/>
        <v>175525073.35936329</v>
      </c>
      <c r="T29" s="10">
        <f t="shared" si="6"/>
        <v>955854.48089155357</v>
      </c>
      <c r="U29" s="10">
        <f t="shared" si="6"/>
        <v>811698.19424282189</v>
      </c>
      <c r="V29" s="10">
        <f t="shared" si="6"/>
        <v>905241660.64406312</v>
      </c>
      <c r="W29" s="10">
        <f t="shared" si="6"/>
        <v>3761374.6173377964</v>
      </c>
      <c r="X29" s="10">
        <f t="shared" si="6"/>
        <v>1849220.9039175329</v>
      </c>
      <c r="Y29" s="10">
        <f t="shared" si="6"/>
        <v>388201433.48805332</v>
      </c>
      <c r="Z29" s="10">
        <f t="shared" si="6"/>
        <v>19814952.485930745</v>
      </c>
      <c r="AA29" s="10">
        <f t="shared" si="6"/>
        <v>15594071.967024047</v>
      </c>
      <c r="AB29" s="10">
        <f t="shared" si="6"/>
        <v>13828279.03564113</v>
      </c>
      <c r="AC29" s="10">
        <f t="shared" si="6"/>
        <v>37034601.916331761</v>
      </c>
      <c r="AD29" s="10">
        <f t="shared" si="6"/>
        <v>25849135.212840743</v>
      </c>
      <c r="AE29" s="10">
        <f t="shared" si="6"/>
        <v>7261589.5530696819</v>
      </c>
      <c r="AF29" s="10">
        <f t="shared" si="6"/>
        <v>24713616.24905096</v>
      </c>
      <c r="AG29" s="10">
        <f t="shared" si="6"/>
        <v>88740414.110889494</v>
      </c>
      <c r="AH29" s="10">
        <f t="shared" si="6"/>
        <v>104433855.98059876</v>
      </c>
      <c r="AI29" s="10">
        <f t="shared" si="6"/>
        <v>30496521.832588393</v>
      </c>
      <c r="AJ29" s="10">
        <f t="shared" si="6"/>
        <v>0</v>
      </c>
      <c r="AK29" s="10">
        <f t="shared" ref="AK29:BH29" si="7">AK20+AK28</f>
        <v>0</v>
      </c>
      <c r="AL29" s="10">
        <f t="shared" si="7"/>
        <v>0</v>
      </c>
      <c r="AM29" s="10">
        <f t="shared" si="7"/>
        <v>0</v>
      </c>
      <c r="AN29" s="10">
        <f t="shared" si="7"/>
        <v>0</v>
      </c>
      <c r="AO29" s="10">
        <f t="shared" si="7"/>
        <v>0</v>
      </c>
      <c r="AP29" s="10">
        <f t="shared" si="7"/>
        <v>0</v>
      </c>
      <c r="AQ29" s="10">
        <f t="shared" si="7"/>
        <v>0</v>
      </c>
      <c r="AR29" s="10">
        <f t="shared" si="7"/>
        <v>0</v>
      </c>
      <c r="AS29" s="10">
        <f t="shared" si="7"/>
        <v>0</v>
      </c>
      <c r="AT29" s="10">
        <f t="shared" si="7"/>
        <v>0</v>
      </c>
      <c r="AU29" s="10">
        <f t="shared" si="7"/>
        <v>0</v>
      </c>
      <c r="AV29" s="10">
        <f t="shared" si="7"/>
        <v>0</v>
      </c>
      <c r="AW29" s="10">
        <f t="shared" si="7"/>
        <v>0</v>
      </c>
      <c r="AX29" s="10">
        <f t="shared" si="7"/>
        <v>0</v>
      </c>
      <c r="AY29" s="10">
        <f t="shared" si="7"/>
        <v>0</v>
      </c>
      <c r="AZ29" s="10">
        <f t="shared" si="7"/>
        <v>0</v>
      </c>
      <c r="BA29" s="10">
        <f t="shared" si="7"/>
        <v>0</v>
      </c>
      <c r="BB29" s="10">
        <f t="shared" si="7"/>
        <v>0</v>
      </c>
      <c r="BC29" s="10">
        <f t="shared" si="7"/>
        <v>0</v>
      </c>
      <c r="BD29" s="10">
        <f t="shared" si="7"/>
        <v>0</v>
      </c>
      <c r="BE29" s="10">
        <f t="shared" si="7"/>
        <v>0</v>
      </c>
      <c r="BF29" s="10">
        <f t="shared" si="7"/>
        <v>0</v>
      </c>
      <c r="BG29" s="10">
        <f t="shared" si="7"/>
        <v>0</v>
      </c>
      <c r="BH29" s="10">
        <f t="shared" si="7"/>
        <v>0</v>
      </c>
    </row>
    <row r="30" spans="2:62">
      <c r="B30" s="291"/>
      <c r="C30" s="57" t="s">
        <v>360</v>
      </c>
      <c r="D30" s="57"/>
      <c r="E30" s="10"/>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row>
    <row r="31" spans="2:62">
      <c r="B31" s="291"/>
      <c r="C31" s="57"/>
      <c r="D31" s="59" t="s">
        <v>117</v>
      </c>
      <c r="E31" s="10">
        <f t="shared" ref="E31:E37" si="8">SUM(F31:BH31)</f>
        <v>3735893930.0695982</v>
      </c>
      <c r="F31" s="66">
        <v>0</v>
      </c>
      <c r="G31" s="66">
        <v>11580000</v>
      </c>
      <c r="H31" s="66">
        <v>17477000</v>
      </c>
      <c r="I31" s="66">
        <v>18655000</v>
      </c>
      <c r="J31" s="66">
        <v>20164164.54067855</v>
      </c>
      <c r="K31" s="66">
        <v>21642137.143418275</v>
      </c>
      <c r="L31" s="66">
        <v>23172000</v>
      </c>
      <c r="M31" s="66">
        <v>23906181.818181816</v>
      </c>
      <c r="N31" s="66">
        <v>23976673.930375621</v>
      </c>
      <c r="O31" s="66">
        <v>24082031.219999999</v>
      </c>
      <c r="P31" s="66">
        <v>28115886.459999997</v>
      </c>
      <c r="Q31" s="66">
        <v>27364457.09</v>
      </c>
      <c r="R31" s="66">
        <v>30368402.500000004</v>
      </c>
      <c r="S31" s="66">
        <v>51591891.829999998</v>
      </c>
      <c r="T31" s="66">
        <v>60328205.799999997</v>
      </c>
      <c r="U31" s="66">
        <v>63215166.950000003</v>
      </c>
      <c r="V31" s="66">
        <v>114683305.56999998</v>
      </c>
      <c r="W31" s="66">
        <v>68250258.430000022</v>
      </c>
      <c r="X31" s="66">
        <v>143118003.18000001</v>
      </c>
      <c r="Y31" s="66">
        <v>203801672.54000002</v>
      </c>
      <c r="Z31" s="66">
        <v>259686788.59999993</v>
      </c>
      <c r="AA31" s="66">
        <v>256968732.47999993</v>
      </c>
      <c r="AB31" s="66">
        <v>259871669.15000001</v>
      </c>
      <c r="AC31" s="66">
        <v>266455300.96919191</v>
      </c>
      <c r="AD31" s="66">
        <v>269831603.25784981</v>
      </c>
      <c r="AE31" s="66">
        <v>249820513.9634414</v>
      </c>
      <c r="AF31" s="66">
        <v>262801847.90626046</v>
      </c>
      <c r="AG31" s="66">
        <v>283804349.50470036</v>
      </c>
      <c r="AH31" s="66">
        <v>317611048.32267082</v>
      </c>
      <c r="AI31" s="66">
        <v>333549636.91282922</v>
      </c>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row>
    <row r="32" spans="2:62">
      <c r="B32" s="291"/>
      <c r="C32" s="57"/>
      <c r="D32" s="59" t="s">
        <v>361</v>
      </c>
      <c r="E32" s="10">
        <f t="shared" si="8"/>
        <v>-614697704.5689224</v>
      </c>
      <c r="F32" s="66">
        <v>0</v>
      </c>
      <c r="G32" s="66">
        <v>-11816520.833333334</v>
      </c>
      <c r="H32" s="66">
        <v>-8606000</v>
      </c>
      <c r="I32" s="66">
        <v>-3059000</v>
      </c>
      <c r="J32" s="66">
        <v>-4425701.8267922709</v>
      </c>
      <c r="K32" s="66">
        <v>-4752107.3238900714</v>
      </c>
      <c r="L32" s="66">
        <v>-2604000</v>
      </c>
      <c r="M32" s="66">
        <v>-4444363.6363636367</v>
      </c>
      <c r="N32" s="66">
        <v>-5261271.5045664851</v>
      </c>
      <c r="O32" s="66">
        <v>-11844696.299999999</v>
      </c>
      <c r="P32" s="66">
        <v>-6585659.9447910525</v>
      </c>
      <c r="Q32" s="66">
        <v>-5837338.8181076664</v>
      </c>
      <c r="R32" s="66">
        <v>-7427364.0983732957</v>
      </c>
      <c r="S32" s="66">
        <v>-11286389.761233918</v>
      </c>
      <c r="T32" s="66">
        <v>-14089833.18160063</v>
      </c>
      <c r="U32" s="66">
        <v>-13167099.828167107</v>
      </c>
      <c r="V32" s="66">
        <v>-21201765.045857284</v>
      </c>
      <c r="W32" s="66">
        <v>-11096399.860429689</v>
      </c>
      <c r="X32" s="66">
        <v>-19764187.119999997</v>
      </c>
      <c r="Y32" s="66">
        <v>-29296087.160000011</v>
      </c>
      <c r="Z32" s="66">
        <v>-37338976.61047256</v>
      </c>
      <c r="AA32" s="66">
        <v>-27227000.350750361</v>
      </c>
      <c r="AB32" s="66">
        <v>-27463374.815062772</v>
      </c>
      <c r="AC32" s="66">
        <v>-32536585.694300063</v>
      </c>
      <c r="AD32" s="66">
        <v>-28947441.270444527</v>
      </c>
      <c r="AE32" s="66">
        <v>-34984324.267474204</v>
      </c>
      <c r="AF32" s="66">
        <v>-41774322.533136114</v>
      </c>
      <c r="AG32" s="66">
        <v>-57492941.049613446</v>
      </c>
      <c r="AH32" s="66">
        <v>-64305431.054107629</v>
      </c>
      <c r="AI32" s="66">
        <v>-66061520.680054232</v>
      </c>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J32" s="6"/>
    </row>
    <row r="33" spans="2:60">
      <c r="B33" s="291"/>
      <c r="C33" s="57"/>
      <c r="D33" s="59" t="s">
        <v>362</v>
      </c>
      <c r="E33" s="10">
        <f t="shared" si="8"/>
        <v>-303169798.27658743</v>
      </c>
      <c r="F33" s="66">
        <v>0</v>
      </c>
      <c r="G33" s="66">
        <v>0</v>
      </c>
      <c r="H33" s="66">
        <v>0</v>
      </c>
      <c r="I33" s="66">
        <v>0</v>
      </c>
      <c r="J33" s="66">
        <v>0</v>
      </c>
      <c r="K33" s="66">
        <v>0</v>
      </c>
      <c r="L33" s="66">
        <v>0</v>
      </c>
      <c r="M33" s="66">
        <v>0</v>
      </c>
      <c r="N33" s="66">
        <v>0</v>
      </c>
      <c r="O33" s="66">
        <v>0</v>
      </c>
      <c r="P33" s="66">
        <v>0</v>
      </c>
      <c r="Q33" s="66">
        <v>0</v>
      </c>
      <c r="R33" s="66">
        <v>0</v>
      </c>
      <c r="S33" s="66">
        <v>0</v>
      </c>
      <c r="T33" s="66">
        <v>0</v>
      </c>
      <c r="U33" s="66">
        <v>0</v>
      </c>
      <c r="V33" s="66">
        <v>0</v>
      </c>
      <c r="W33" s="66">
        <v>0</v>
      </c>
      <c r="X33" s="66">
        <v>0</v>
      </c>
      <c r="Y33" s="66">
        <v>0</v>
      </c>
      <c r="Z33" s="66">
        <v>-13684780.073564883</v>
      </c>
      <c r="AA33" s="66">
        <v>-29575043.989131812</v>
      </c>
      <c r="AB33" s="66">
        <v>-29777986.940826241</v>
      </c>
      <c r="AC33" s="66">
        <v>-31529190.36805369</v>
      </c>
      <c r="AD33" s="66">
        <v>-34225404.670011885</v>
      </c>
      <c r="AE33" s="66">
        <v>-25910297.55496645</v>
      </c>
      <c r="AF33" s="66">
        <v>-29901704.213340525</v>
      </c>
      <c r="AG33" s="66">
        <v>-32128478.117642827</v>
      </c>
      <c r="AH33" s="66">
        <v>-37350955.223169044</v>
      </c>
      <c r="AI33" s="66">
        <v>-39085957.12588007</v>
      </c>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row>
    <row r="34" spans="2:60">
      <c r="B34" s="291"/>
      <c r="C34" s="57"/>
      <c r="D34" s="58" t="s">
        <v>363</v>
      </c>
      <c r="E34" s="10">
        <f t="shared" si="8"/>
        <v>-1399982.1837519167</v>
      </c>
      <c r="F34" s="66">
        <v>0</v>
      </c>
      <c r="G34" s="66">
        <v>0</v>
      </c>
      <c r="H34" s="66">
        <v>0</v>
      </c>
      <c r="I34" s="66">
        <v>0</v>
      </c>
      <c r="J34" s="66">
        <v>0</v>
      </c>
      <c r="K34" s="66">
        <v>0</v>
      </c>
      <c r="L34" s="66">
        <v>0</v>
      </c>
      <c r="M34" s="66">
        <v>0</v>
      </c>
      <c r="N34" s="66">
        <v>0</v>
      </c>
      <c r="O34" s="66">
        <v>0</v>
      </c>
      <c r="P34" s="66">
        <v>0</v>
      </c>
      <c r="Q34" s="66">
        <v>0</v>
      </c>
      <c r="R34" s="66">
        <v>0</v>
      </c>
      <c r="S34" s="66">
        <v>0</v>
      </c>
      <c r="T34" s="66">
        <v>0</v>
      </c>
      <c r="U34" s="66">
        <v>0</v>
      </c>
      <c r="V34" s="66">
        <v>0</v>
      </c>
      <c r="W34" s="66">
        <v>0</v>
      </c>
      <c r="X34" s="66">
        <v>0</v>
      </c>
      <c r="Y34" s="66">
        <v>0</v>
      </c>
      <c r="Z34" s="66">
        <v>0</v>
      </c>
      <c r="AA34" s="66">
        <v>0</v>
      </c>
      <c r="AB34" s="66">
        <v>0</v>
      </c>
      <c r="AC34" s="66">
        <v>0</v>
      </c>
      <c r="AD34" s="66">
        <v>-202449.75348213801</v>
      </c>
      <c r="AE34" s="66">
        <v>-167090.12831120859</v>
      </c>
      <c r="AF34" s="66">
        <v>-140316.47797432877</v>
      </c>
      <c r="AG34" s="66">
        <v>-250701.16626423836</v>
      </c>
      <c r="AH34" s="66">
        <v>-292331.84223028866</v>
      </c>
      <c r="AI34" s="66">
        <v>-347092.81548971421</v>
      </c>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2:60">
      <c r="B35" s="291"/>
      <c r="C35" s="57"/>
      <c r="D35" s="59" t="s">
        <v>364</v>
      </c>
      <c r="E35" s="10">
        <f t="shared" si="8"/>
        <v>-2446376822.80934</v>
      </c>
      <c r="F35" s="66">
        <v>0</v>
      </c>
      <c r="G35" s="66">
        <v>-29503638.27848918</v>
      </c>
      <c r="H35" s="66">
        <v>-30867291.420300938</v>
      </c>
      <c r="I35" s="66">
        <v>-29266629.06851498</v>
      </c>
      <c r="J35" s="66">
        <v>-33114718.279026635</v>
      </c>
      <c r="K35" s="66">
        <v>-41751524.428796522</v>
      </c>
      <c r="L35" s="66">
        <v>-43451094.58958409</v>
      </c>
      <c r="M35" s="66">
        <v>-42933132.199033149</v>
      </c>
      <c r="N35" s="66">
        <v>-37334379.400769323</v>
      </c>
      <c r="O35" s="66">
        <v>-42068360.039698668</v>
      </c>
      <c r="P35" s="66">
        <v>-42908979.913014509</v>
      </c>
      <c r="Q35" s="66">
        <v>-46368154.506591767</v>
      </c>
      <c r="R35" s="66">
        <v>-53897551.027152598</v>
      </c>
      <c r="S35" s="66">
        <v>-59615188.064382344</v>
      </c>
      <c r="T35" s="66">
        <v>-73786411.957837075</v>
      </c>
      <c r="U35" s="66">
        <v>-79298430.335846096</v>
      </c>
      <c r="V35" s="66">
        <v>-78348894.185609818</v>
      </c>
      <c r="W35" s="66">
        <v>-66276497.503571965</v>
      </c>
      <c r="X35" s="66">
        <v>-140541236.64670002</v>
      </c>
      <c r="Y35" s="66">
        <v>-143358205.67762813</v>
      </c>
      <c r="Z35" s="66">
        <v>-157999623.39319593</v>
      </c>
      <c r="AA35" s="66">
        <v>-145305474.71178907</v>
      </c>
      <c r="AB35" s="66">
        <v>-148133026.14550948</v>
      </c>
      <c r="AC35" s="66">
        <v>-143222578.03465933</v>
      </c>
      <c r="AD35" s="66">
        <v>-121292263.23524226</v>
      </c>
      <c r="AE35" s="66">
        <v>-115416067.93415424</v>
      </c>
      <c r="AF35" s="66">
        <v>-110514787.88679165</v>
      </c>
      <c r="AG35" s="66">
        <v>-123433541.291574</v>
      </c>
      <c r="AH35" s="66">
        <v>-129608993.02893755</v>
      </c>
      <c r="AI35" s="66">
        <v>-136760149.62493843</v>
      </c>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row>
    <row r="36" spans="2:60">
      <c r="B36" s="291"/>
      <c r="C36" s="57"/>
      <c r="D36" s="57" t="s">
        <v>365</v>
      </c>
      <c r="E36" s="10">
        <f t="shared" si="8"/>
        <v>370249622.23099667</v>
      </c>
      <c r="F36" s="11">
        <f>SUM(F31:F35)</f>
        <v>0</v>
      </c>
      <c r="G36" s="11">
        <f t="shared" ref="G36:AK36" si="9">SUM(G31:G35)</f>
        <v>-29740159.111822516</v>
      </c>
      <c r="H36" s="11">
        <f t="shared" si="9"/>
        <v>-21996291.420300938</v>
      </c>
      <c r="I36" s="11">
        <f t="shared" si="9"/>
        <v>-13670629.06851498</v>
      </c>
      <c r="J36" s="11">
        <f t="shared" si="9"/>
        <v>-17376255.565140355</v>
      </c>
      <c r="K36" s="11">
        <f t="shared" si="9"/>
        <v>-24861494.609268319</v>
      </c>
      <c r="L36" s="11">
        <f t="shared" si="9"/>
        <v>-22883094.58958409</v>
      </c>
      <c r="M36" s="11">
        <f t="shared" si="9"/>
        <v>-23471314.017214969</v>
      </c>
      <c r="N36" s="11">
        <f t="shared" si="9"/>
        <v>-18618976.974960186</v>
      </c>
      <c r="O36" s="11">
        <f t="shared" si="9"/>
        <v>-29831025.119698666</v>
      </c>
      <c r="P36" s="11">
        <f t="shared" si="9"/>
        <v>-21378753.397805564</v>
      </c>
      <c r="Q36" s="11">
        <f t="shared" si="9"/>
        <v>-24841036.234699436</v>
      </c>
      <c r="R36" s="11">
        <f t="shared" si="9"/>
        <v>-30956512.625525892</v>
      </c>
      <c r="S36" s="11">
        <f t="shared" si="9"/>
        <v>-19309685.995616265</v>
      </c>
      <c r="T36" s="11">
        <f t="shared" si="9"/>
        <v>-27548039.339437708</v>
      </c>
      <c r="U36" s="11">
        <f t="shared" si="9"/>
        <v>-29250363.214013204</v>
      </c>
      <c r="V36" s="11">
        <f t="shared" si="9"/>
        <v>15132646.33853288</v>
      </c>
      <c r="W36" s="11">
        <f t="shared" si="9"/>
        <v>-9122638.934001632</v>
      </c>
      <c r="X36" s="11">
        <f t="shared" si="9"/>
        <v>-17187420.586700022</v>
      </c>
      <c r="Y36" s="11">
        <f t="shared" si="9"/>
        <v>31147379.702371866</v>
      </c>
      <c r="Z36" s="11">
        <f t="shared" si="9"/>
        <v>50663408.52276656</v>
      </c>
      <c r="AA36" s="11">
        <f t="shared" si="9"/>
        <v>54861213.428328693</v>
      </c>
      <c r="AB36" s="11">
        <f t="shared" si="9"/>
        <v>54497281.248601526</v>
      </c>
      <c r="AC36" s="11">
        <f t="shared" si="9"/>
        <v>59166946.872178853</v>
      </c>
      <c r="AD36" s="11">
        <f t="shared" si="9"/>
        <v>85164044.328669026</v>
      </c>
      <c r="AE36" s="11">
        <f t="shared" si="9"/>
        <v>73342734.078535289</v>
      </c>
      <c r="AF36" s="11">
        <f t="shared" si="9"/>
        <v>80470716.795017868</v>
      </c>
      <c r="AG36" s="11">
        <f t="shared" si="9"/>
        <v>70498687.87960586</v>
      </c>
      <c r="AH36" s="11">
        <f t="shared" si="9"/>
        <v>86053337.174226284</v>
      </c>
      <c r="AI36" s="11">
        <f t="shared" si="9"/>
        <v>91294916.666466773</v>
      </c>
      <c r="AJ36" s="11">
        <f t="shared" si="9"/>
        <v>0</v>
      </c>
      <c r="AK36" s="11">
        <f t="shared" si="9"/>
        <v>0</v>
      </c>
      <c r="AL36" s="11">
        <f t="shared" ref="AL36:BH36" si="10">SUM(AL31:AL35)</f>
        <v>0</v>
      </c>
      <c r="AM36" s="11">
        <f t="shared" si="10"/>
        <v>0</v>
      </c>
      <c r="AN36" s="11">
        <f t="shared" si="10"/>
        <v>0</v>
      </c>
      <c r="AO36" s="11">
        <f t="shared" si="10"/>
        <v>0</v>
      </c>
      <c r="AP36" s="11">
        <f t="shared" si="10"/>
        <v>0</v>
      </c>
      <c r="AQ36" s="11">
        <f t="shared" si="10"/>
        <v>0</v>
      </c>
      <c r="AR36" s="11">
        <f t="shared" si="10"/>
        <v>0</v>
      </c>
      <c r="AS36" s="11">
        <f t="shared" si="10"/>
        <v>0</v>
      </c>
      <c r="AT36" s="11">
        <f t="shared" si="10"/>
        <v>0</v>
      </c>
      <c r="AU36" s="11">
        <f t="shared" si="10"/>
        <v>0</v>
      </c>
      <c r="AV36" s="11">
        <f t="shared" si="10"/>
        <v>0</v>
      </c>
      <c r="AW36" s="11">
        <f t="shared" si="10"/>
        <v>0</v>
      </c>
      <c r="AX36" s="11">
        <f t="shared" si="10"/>
        <v>0</v>
      </c>
      <c r="AY36" s="11">
        <f t="shared" si="10"/>
        <v>0</v>
      </c>
      <c r="AZ36" s="11">
        <f t="shared" si="10"/>
        <v>0</v>
      </c>
      <c r="BA36" s="11">
        <f t="shared" si="10"/>
        <v>0</v>
      </c>
      <c r="BB36" s="11">
        <f t="shared" si="10"/>
        <v>0</v>
      </c>
      <c r="BC36" s="11">
        <f t="shared" si="10"/>
        <v>0</v>
      </c>
      <c r="BD36" s="11">
        <f t="shared" si="10"/>
        <v>0</v>
      </c>
      <c r="BE36" s="11">
        <f t="shared" si="10"/>
        <v>0</v>
      </c>
      <c r="BF36" s="11">
        <f t="shared" si="10"/>
        <v>0</v>
      </c>
      <c r="BG36" s="11">
        <f t="shared" si="10"/>
        <v>0</v>
      </c>
      <c r="BH36" s="11">
        <f t="shared" si="10"/>
        <v>0</v>
      </c>
    </row>
    <row r="37" spans="2:60" ht="23.25" customHeight="1">
      <c r="B37" s="291"/>
      <c r="C37" s="88"/>
      <c r="D37" s="82" t="s">
        <v>366</v>
      </c>
      <c r="E37" s="90">
        <f t="shared" si="8"/>
        <v>1734254276.4702575</v>
      </c>
      <c r="F37" s="11">
        <f>F20+F28-F36</f>
        <v>0</v>
      </c>
      <c r="G37" s="11">
        <f t="shared" ref="G37:AK37" si="11">G20+G28-G36</f>
        <v>280109245.24722564</v>
      </c>
      <c r="H37" s="11">
        <f t="shared" si="11"/>
        <v>22909442.142804112</v>
      </c>
      <c r="I37" s="11">
        <f t="shared" si="11"/>
        <v>14151732.988375258</v>
      </c>
      <c r="J37" s="11">
        <f t="shared" si="11"/>
        <v>17624773.475438964</v>
      </c>
      <c r="K37" s="11">
        <f t="shared" si="11"/>
        <v>27036212.792390615</v>
      </c>
      <c r="L37" s="11">
        <f t="shared" si="11"/>
        <v>23331207.33537114</v>
      </c>
      <c r="M37" s="11">
        <f t="shared" si="11"/>
        <v>24141172.361978866</v>
      </c>
      <c r="N37" s="11">
        <f t="shared" si="11"/>
        <v>19046875.460608743</v>
      </c>
      <c r="O37" s="11">
        <f t="shared" si="11"/>
        <v>31006906.799807336</v>
      </c>
      <c r="P37" s="11">
        <f t="shared" si="11"/>
        <v>21394266.860914413</v>
      </c>
      <c r="Q37" s="11">
        <f t="shared" si="11"/>
        <v>25430051.539673913</v>
      </c>
      <c r="R37" s="11">
        <f t="shared" si="11"/>
        <v>33834200.399366476</v>
      </c>
      <c r="S37" s="11">
        <f t="shared" si="11"/>
        <v>194834759.35497954</v>
      </c>
      <c r="T37" s="11">
        <f t="shared" si="11"/>
        <v>28503893.82032926</v>
      </c>
      <c r="U37" s="11">
        <f t="shared" si="11"/>
        <v>30062061.408256024</v>
      </c>
      <c r="V37" s="11">
        <f t="shared" si="11"/>
        <v>890109014.30553019</v>
      </c>
      <c r="W37" s="11">
        <f t="shared" si="11"/>
        <v>12884013.551339429</v>
      </c>
      <c r="X37" s="11">
        <f t="shared" si="11"/>
        <v>19036641.490617555</v>
      </c>
      <c r="Y37" s="11">
        <f t="shared" si="11"/>
        <v>357054053.78568149</v>
      </c>
      <c r="Z37" s="11">
        <f t="shared" si="11"/>
        <v>-30848456.036835816</v>
      </c>
      <c r="AA37" s="11">
        <f t="shared" si="11"/>
        <v>-39267141.46130465</v>
      </c>
      <c r="AB37" s="11">
        <f t="shared" si="11"/>
        <v>-40669002.212960392</v>
      </c>
      <c r="AC37" s="11">
        <f t="shared" si="11"/>
        <v>-22132344.955847092</v>
      </c>
      <c r="AD37" s="11">
        <f t="shared" si="11"/>
        <v>-59314909.115828283</v>
      </c>
      <c r="AE37" s="11">
        <f t="shared" si="11"/>
        <v>-66081144.525465608</v>
      </c>
      <c r="AF37" s="11">
        <f t="shared" si="11"/>
        <v>-55757100.545966908</v>
      </c>
      <c r="AG37" s="11">
        <f t="shared" si="11"/>
        <v>18241726.231283635</v>
      </c>
      <c r="AH37" s="11">
        <f t="shared" si="11"/>
        <v>18380518.806372479</v>
      </c>
      <c r="AI37" s="11">
        <f t="shared" si="11"/>
        <v>-60798394.833878383</v>
      </c>
      <c r="AJ37" s="11">
        <f t="shared" si="11"/>
        <v>0</v>
      </c>
      <c r="AK37" s="11">
        <f t="shared" si="11"/>
        <v>0</v>
      </c>
      <c r="AL37" s="11">
        <f t="shared" ref="AL37:BH37" si="12">AL20+AL28-AL36</f>
        <v>0</v>
      </c>
      <c r="AM37" s="11">
        <f t="shared" si="12"/>
        <v>0</v>
      </c>
      <c r="AN37" s="11">
        <f t="shared" si="12"/>
        <v>0</v>
      </c>
      <c r="AO37" s="11">
        <f t="shared" si="12"/>
        <v>0</v>
      </c>
      <c r="AP37" s="11">
        <f t="shared" si="12"/>
        <v>0</v>
      </c>
      <c r="AQ37" s="11">
        <f t="shared" si="12"/>
        <v>0</v>
      </c>
      <c r="AR37" s="11">
        <f t="shared" si="12"/>
        <v>0</v>
      </c>
      <c r="AS37" s="11">
        <f t="shared" si="12"/>
        <v>0</v>
      </c>
      <c r="AT37" s="11">
        <f t="shared" si="12"/>
        <v>0</v>
      </c>
      <c r="AU37" s="11">
        <f t="shared" si="12"/>
        <v>0</v>
      </c>
      <c r="AV37" s="11">
        <f t="shared" si="12"/>
        <v>0</v>
      </c>
      <c r="AW37" s="11">
        <f t="shared" si="12"/>
        <v>0</v>
      </c>
      <c r="AX37" s="11">
        <f t="shared" si="12"/>
        <v>0</v>
      </c>
      <c r="AY37" s="11">
        <f t="shared" si="12"/>
        <v>0</v>
      </c>
      <c r="AZ37" s="11">
        <f t="shared" si="12"/>
        <v>0</v>
      </c>
      <c r="BA37" s="11">
        <f t="shared" si="12"/>
        <v>0</v>
      </c>
      <c r="BB37" s="11">
        <f t="shared" si="12"/>
        <v>0</v>
      </c>
      <c r="BC37" s="11">
        <f t="shared" si="12"/>
        <v>0</v>
      </c>
      <c r="BD37" s="11">
        <f t="shared" si="12"/>
        <v>0</v>
      </c>
      <c r="BE37" s="11">
        <f t="shared" si="12"/>
        <v>0</v>
      </c>
      <c r="BF37" s="11">
        <f t="shared" si="12"/>
        <v>0</v>
      </c>
      <c r="BG37" s="11">
        <f t="shared" si="12"/>
        <v>0</v>
      </c>
      <c r="BH37" s="11">
        <f t="shared" si="12"/>
        <v>0</v>
      </c>
    </row>
    <row r="38" spans="2:60">
      <c r="B38" s="291"/>
      <c r="C38" s="88" t="s">
        <v>367</v>
      </c>
      <c r="D38" s="60" t="s">
        <v>368</v>
      </c>
      <c r="E38" s="10"/>
      <c r="F38" s="10"/>
      <c r="G38" s="10">
        <f>F29+F38-F36</f>
        <v>0</v>
      </c>
      <c r="H38" s="10">
        <f t="shared" ref="H38:AL38" si="13">G29+G38-G36</f>
        <v>280109245.24722564</v>
      </c>
      <c r="I38" s="10">
        <f t="shared" si="13"/>
        <v>303018687.39002979</v>
      </c>
      <c r="J38" s="10">
        <f t="shared" si="13"/>
        <v>317170420.37840509</v>
      </c>
      <c r="K38" s="10">
        <f t="shared" si="13"/>
        <v>334795193.85384405</v>
      </c>
      <c r="L38" s="10">
        <f t="shared" si="13"/>
        <v>361831406.64623463</v>
      </c>
      <c r="M38" s="10">
        <f t="shared" si="13"/>
        <v>385162613.98160577</v>
      </c>
      <c r="N38" s="10">
        <f t="shared" si="13"/>
        <v>409303786.3435846</v>
      </c>
      <c r="O38" s="10">
        <f t="shared" si="13"/>
        <v>428350661.80419338</v>
      </c>
      <c r="P38" s="10">
        <f t="shared" si="13"/>
        <v>459357568.60400069</v>
      </c>
      <c r="Q38" s="10">
        <f t="shared" si="13"/>
        <v>480751835.4649151</v>
      </c>
      <c r="R38" s="10">
        <f t="shared" si="13"/>
        <v>506181887.00458902</v>
      </c>
      <c r="S38" s="10">
        <f t="shared" si="13"/>
        <v>540016087.40395546</v>
      </c>
      <c r="T38" s="10">
        <f t="shared" si="13"/>
        <v>734850846.75893509</v>
      </c>
      <c r="U38" s="10">
        <f t="shared" si="13"/>
        <v>763354740.5792644</v>
      </c>
      <c r="V38" s="10">
        <f t="shared" si="13"/>
        <v>793416801.98752046</v>
      </c>
      <c r="W38" s="10">
        <f t="shared" si="13"/>
        <v>1683525816.2930508</v>
      </c>
      <c r="X38" s="10">
        <f t="shared" si="13"/>
        <v>1696409829.8443902</v>
      </c>
      <c r="Y38" s="10">
        <f t="shared" si="13"/>
        <v>1715446471.3350077</v>
      </c>
      <c r="Z38" s="10">
        <f t="shared" si="13"/>
        <v>2072500525.1206892</v>
      </c>
      <c r="AA38" s="10">
        <f t="shared" si="13"/>
        <v>2041652069.0838532</v>
      </c>
      <c r="AB38" s="10">
        <f t="shared" si="13"/>
        <v>2002384927.6225486</v>
      </c>
      <c r="AC38" s="10">
        <f t="shared" si="13"/>
        <v>1961715925.4095883</v>
      </c>
      <c r="AD38" s="10">
        <f t="shared" si="13"/>
        <v>1939583580.4537413</v>
      </c>
      <c r="AE38" s="10">
        <f t="shared" si="13"/>
        <v>1880268671.337913</v>
      </c>
      <c r="AF38" s="10">
        <f t="shared" si="13"/>
        <v>1814187526.8124473</v>
      </c>
      <c r="AG38" s="10">
        <f t="shared" si="13"/>
        <v>1758430426.2664802</v>
      </c>
      <c r="AH38" s="10">
        <f t="shared" si="13"/>
        <v>1776672152.4977639</v>
      </c>
      <c r="AI38" s="10">
        <f t="shared" si="13"/>
        <v>1795052671.3041363</v>
      </c>
      <c r="AJ38" s="10">
        <f t="shared" si="13"/>
        <v>1734254276.470258</v>
      </c>
      <c r="AK38" s="10">
        <f t="shared" si="13"/>
        <v>1734254276.470258</v>
      </c>
      <c r="AL38" s="10">
        <f t="shared" si="13"/>
        <v>1734254276.470258</v>
      </c>
      <c r="AM38" s="10">
        <f t="shared" ref="AM38:BG38" si="14">AL29+AL38-AL36</f>
        <v>1734254276.470258</v>
      </c>
      <c r="AN38" s="10">
        <f t="shared" si="14"/>
        <v>1734254276.470258</v>
      </c>
      <c r="AO38" s="10">
        <f t="shared" si="14"/>
        <v>1734254276.470258</v>
      </c>
      <c r="AP38" s="10">
        <f t="shared" si="14"/>
        <v>1734254276.470258</v>
      </c>
      <c r="AQ38" s="10">
        <f t="shared" si="14"/>
        <v>1734254276.470258</v>
      </c>
      <c r="AR38" s="10">
        <f t="shared" si="14"/>
        <v>1734254276.470258</v>
      </c>
      <c r="AS38" s="10">
        <f t="shared" si="14"/>
        <v>1734254276.470258</v>
      </c>
      <c r="AT38" s="10">
        <f t="shared" si="14"/>
        <v>1734254276.470258</v>
      </c>
      <c r="AU38" s="10">
        <f t="shared" si="14"/>
        <v>1734254276.470258</v>
      </c>
      <c r="AV38" s="10">
        <f t="shared" si="14"/>
        <v>1734254276.470258</v>
      </c>
      <c r="AW38" s="10">
        <f t="shared" si="14"/>
        <v>1734254276.470258</v>
      </c>
      <c r="AX38" s="10">
        <f t="shared" si="14"/>
        <v>1734254276.470258</v>
      </c>
      <c r="AY38" s="10">
        <f t="shared" si="14"/>
        <v>1734254276.470258</v>
      </c>
      <c r="AZ38" s="10">
        <f t="shared" si="14"/>
        <v>1734254276.470258</v>
      </c>
      <c r="BA38" s="10">
        <f t="shared" si="14"/>
        <v>1734254276.470258</v>
      </c>
      <c r="BB38" s="10">
        <f t="shared" si="14"/>
        <v>1734254276.470258</v>
      </c>
      <c r="BC38" s="10">
        <f t="shared" si="14"/>
        <v>1734254276.470258</v>
      </c>
      <c r="BD38" s="10">
        <f t="shared" si="14"/>
        <v>1734254276.470258</v>
      </c>
      <c r="BE38" s="10">
        <f t="shared" si="14"/>
        <v>1734254276.470258</v>
      </c>
      <c r="BF38" s="10">
        <f t="shared" si="14"/>
        <v>1734254276.470258</v>
      </c>
      <c r="BG38" s="10">
        <f t="shared" si="14"/>
        <v>1734254276.470258</v>
      </c>
      <c r="BH38" s="10">
        <f>BG29+BG38-BG36</f>
        <v>1734254276.470258</v>
      </c>
    </row>
    <row r="39" spans="2:60">
      <c r="B39" s="291"/>
      <c r="C39" s="88" t="s">
        <v>367</v>
      </c>
      <c r="D39" s="60" t="s">
        <v>369</v>
      </c>
      <c r="E39" s="10"/>
      <c r="F39" s="275" t="s">
        <v>481</v>
      </c>
      <c r="G39" s="275" t="s">
        <v>481</v>
      </c>
      <c r="H39" s="275">
        <v>0.1101973317341144</v>
      </c>
      <c r="I39" s="275">
        <v>9.658357813042899E-2</v>
      </c>
      <c r="J39" s="275">
        <v>0.10440670425545551</v>
      </c>
      <c r="K39" s="275">
        <v>0.12470765768227632</v>
      </c>
      <c r="L39" s="275">
        <v>0.12008657565778021</v>
      </c>
      <c r="M39" s="275">
        <v>0.11146754809666835</v>
      </c>
      <c r="N39" s="275">
        <v>9.1214351409467487E-2</v>
      </c>
      <c r="O39" s="275">
        <v>9.8210096985746828E-2</v>
      </c>
      <c r="P39" s="275">
        <v>9.3410847770324101E-2</v>
      </c>
      <c r="Q39" s="275">
        <v>9.6449251122985441E-2</v>
      </c>
      <c r="R39" s="275">
        <v>0.10647862440534932</v>
      </c>
      <c r="S39" s="275">
        <v>0.11039520757793202</v>
      </c>
      <c r="T39" s="275">
        <v>0.10041005230282116</v>
      </c>
      <c r="U39" s="275">
        <v>0.10388149325655759</v>
      </c>
      <c r="V39" s="275">
        <v>9.8748720709398566E-2</v>
      </c>
      <c r="W39" s="275">
        <v>7.8735350372595964E-2</v>
      </c>
      <c r="X39" s="275">
        <v>8.2846275808005507E-2</v>
      </c>
      <c r="Y39" s="275">
        <v>8.3569034693378022E-2</v>
      </c>
      <c r="Z39" s="275">
        <v>7.6236228400470521E-2</v>
      </c>
      <c r="AA39" s="275">
        <v>7.117053728796785E-2</v>
      </c>
      <c r="AB39" s="275">
        <v>7.3978296631202325E-2</v>
      </c>
      <c r="AC39" s="275">
        <v>7.3008826700917864E-2</v>
      </c>
      <c r="AD39" s="275">
        <v>6.2535208308407877E-2</v>
      </c>
      <c r="AE39" s="275">
        <v>6.1382753270057669E-2</v>
      </c>
      <c r="AF39" s="275">
        <v>6.0916959384550336E-2</v>
      </c>
      <c r="AG39" s="275">
        <v>7.0195294307804676E-2</v>
      </c>
      <c r="AH39" s="275">
        <v>7.2950427486987185E-2</v>
      </c>
      <c r="AI39" s="275">
        <v>7.6187262809163062E-2</v>
      </c>
      <c r="AJ39" s="275"/>
      <c r="AK39" s="275"/>
      <c r="AL39" s="275"/>
      <c r="AM39" s="275"/>
      <c r="AN39" s="275"/>
      <c r="AO39" s="275"/>
      <c r="AP39" s="275"/>
      <c r="AQ39" s="275"/>
      <c r="AR39" s="275"/>
      <c r="AS39" s="275"/>
      <c r="AT39" s="275"/>
      <c r="AU39" s="275"/>
      <c r="AV39" s="275"/>
      <c r="AW39" s="275"/>
      <c r="AX39" s="275"/>
      <c r="AY39" s="275"/>
      <c r="AZ39" s="275"/>
      <c r="BA39" s="275"/>
      <c r="BB39" s="275"/>
      <c r="BC39" s="275"/>
      <c r="BD39" s="275"/>
      <c r="BE39" s="275"/>
      <c r="BF39" s="275"/>
      <c r="BG39" s="275"/>
      <c r="BH39" s="275"/>
    </row>
    <row r="40" spans="2:60" ht="29.25" customHeight="1">
      <c r="D40" s="213"/>
    </row>
    <row r="41" spans="2:60" ht="15.75">
      <c r="B41" s="214" t="s">
        <v>370</v>
      </c>
      <c r="C41" s="4"/>
    </row>
    <row r="42" spans="2:60">
      <c r="B42" s="215"/>
      <c r="C42" s="216"/>
    </row>
    <row r="43" spans="2:60">
      <c r="B43" s="22" t="s">
        <v>98</v>
      </c>
      <c r="C43" s="217">
        <f>IF( '1. Pipeline information'!C14=0, "0/01/1960", '1. Pipeline information'!C14)</f>
        <v>35414</v>
      </c>
    </row>
    <row r="48" spans="2:60">
      <c r="C48" s="218"/>
    </row>
    <row r="49" spans="3:3">
      <c r="C49" s="218"/>
    </row>
    <row r="50" spans="3:3">
      <c r="C50" s="6"/>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5619-8B1D-4A66-AAC5-EA33322C572D}">
  <sheetPr>
    <tabColor theme="9" tint="0.79998168889431442"/>
  </sheetPr>
  <dimension ref="A1"/>
  <sheetViews>
    <sheetView showGridLines="0" workbookViewId="0"/>
  </sheetViews>
  <sheetFormatPr defaultRowHeight="12.75"/>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cols>
    <col min="1" max="1" width="12.28515625" style="205" customWidth="1"/>
    <col min="2" max="2" width="21" style="205" customWidth="1"/>
    <col min="3" max="3" width="64.7109375" style="205" customWidth="1"/>
    <col min="4" max="5" width="42.28515625" style="205" customWidth="1"/>
    <col min="6" max="6" width="34.7109375" style="205" customWidth="1"/>
    <col min="7" max="7" width="44" style="205" customWidth="1"/>
    <col min="8" max="16384" width="9.28515625" style="205"/>
  </cols>
  <sheetData>
    <row r="1" spans="2:5" ht="20.25" customHeight="1">
      <c r="B1" s="135" t="s">
        <v>53</v>
      </c>
      <c r="C1" s="135"/>
      <c r="D1" s="204"/>
      <c r="E1" s="204"/>
    </row>
    <row r="2" spans="2:5" ht="20.25">
      <c r="B2" s="135" t="str">
        <f>IF(Tradingname=0," ",Tradingname)</f>
        <v>APA (SWQP) PTY LIMITED</v>
      </c>
      <c r="C2" s="135"/>
      <c r="D2" s="206"/>
    </row>
    <row r="3" spans="2:5" ht="22.9" customHeight="1">
      <c r="B3" s="135" t="s">
        <v>30</v>
      </c>
      <c r="C3" s="99">
        <f>IF(Yearending=0, "01/01/2000", Yearending)</f>
        <v>45838</v>
      </c>
    </row>
    <row r="4" spans="2:5" ht="20.25">
      <c r="B4" s="91" t="s">
        <v>371</v>
      </c>
      <c r="C4" s="91"/>
    </row>
    <row r="6" spans="2:5">
      <c r="B6" s="409" t="s">
        <v>372</v>
      </c>
      <c r="C6" s="409"/>
      <c r="D6" s="409"/>
      <c r="E6" s="409"/>
    </row>
    <row r="7" spans="2:5" ht="12.75" customHeight="1">
      <c r="B7" s="409"/>
      <c r="C7" s="409"/>
      <c r="D7" s="409"/>
      <c r="E7" s="409"/>
    </row>
    <row r="8" spans="2:5" ht="12.75" customHeight="1">
      <c r="B8" s="409"/>
      <c r="C8" s="409"/>
      <c r="D8" s="409"/>
      <c r="E8" s="409"/>
    </row>
    <row r="9" spans="2:5" ht="12.75" customHeight="1">
      <c r="B9" s="409"/>
      <c r="C9" s="409"/>
      <c r="D9" s="409"/>
      <c r="E9" s="409"/>
    </row>
    <row r="12" spans="2:5" ht="15.75">
      <c r="B12" s="207" t="s">
        <v>373</v>
      </c>
      <c r="C12" s="208"/>
      <c r="D12" s="208"/>
      <c r="E12" s="208"/>
    </row>
    <row r="13" spans="2:5" ht="15.75">
      <c r="B13" s="207"/>
      <c r="C13" s="208"/>
      <c r="D13" s="208"/>
      <c r="E13" s="208"/>
    </row>
    <row r="14" spans="2:5" ht="25.5">
      <c r="B14" s="37" t="s">
        <v>113</v>
      </c>
      <c r="C14" s="37" t="s">
        <v>374</v>
      </c>
      <c r="D14" s="37" t="s">
        <v>375</v>
      </c>
      <c r="E14" s="37" t="s">
        <v>376</v>
      </c>
    </row>
    <row r="15" spans="2:5" ht="22.9" customHeight="1">
      <c r="B15" s="325" t="s">
        <v>518</v>
      </c>
      <c r="C15" s="279" t="s">
        <v>529</v>
      </c>
      <c r="D15" s="80" t="s">
        <v>530</v>
      </c>
      <c r="E15" s="71">
        <v>34957500</v>
      </c>
    </row>
    <row r="16" spans="2:5">
      <c r="B16" s="334" t="s">
        <v>518</v>
      </c>
      <c r="C16" s="279" t="s">
        <v>531</v>
      </c>
      <c r="D16" s="80" t="s">
        <v>530</v>
      </c>
      <c r="E16" s="71">
        <v>19000000</v>
      </c>
    </row>
    <row r="17" spans="2:5">
      <c r="B17" s="334" t="s">
        <v>518</v>
      </c>
      <c r="C17" s="279" t="s">
        <v>532</v>
      </c>
      <c r="D17" s="80" t="s">
        <v>530</v>
      </c>
      <c r="E17" s="71">
        <v>105961984</v>
      </c>
    </row>
    <row r="18" spans="2:5">
      <c r="B18" s="334" t="s">
        <v>518</v>
      </c>
      <c r="C18" s="279" t="s">
        <v>533</v>
      </c>
      <c r="D18" s="80" t="s">
        <v>534</v>
      </c>
      <c r="E18" s="71">
        <v>838198175.59000003</v>
      </c>
    </row>
    <row r="19" spans="2:5">
      <c r="B19" s="334" t="s">
        <v>518</v>
      </c>
      <c r="C19" s="279" t="s">
        <v>535</v>
      </c>
      <c r="D19" s="80" t="s">
        <v>536</v>
      </c>
      <c r="E19" s="71">
        <v>176638391.33999997</v>
      </c>
    </row>
    <row r="20" spans="2:5">
      <c r="B20" s="334" t="s">
        <v>518</v>
      </c>
      <c r="C20" s="279" t="s">
        <v>537</v>
      </c>
      <c r="D20" s="80" t="s">
        <v>536</v>
      </c>
      <c r="E20" s="71">
        <v>71327137.039999992</v>
      </c>
    </row>
    <row r="21" spans="2:5">
      <c r="B21" s="334" t="s">
        <v>518</v>
      </c>
      <c r="C21" s="279" t="s">
        <v>538</v>
      </c>
      <c r="D21" s="80" t="s">
        <v>536</v>
      </c>
      <c r="E21" s="71">
        <v>118076083.7</v>
      </c>
    </row>
    <row r="22" spans="2:5">
      <c r="B22" s="334" t="s">
        <v>518</v>
      </c>
      <c r="C22" s="279" t="s">
        <v>539</v>
      </c>
      <c r="D22" s="80" t="s">
        <v>540</v>
      </c>
      <c r="E22" s="71">
        <v>12423013.460000001</v>
      </c>
    </row>
    <row r="23" spans="2:5">
      <c r="B23" s="334" t="s">
        <v>518</v>
      </c>
      <c r="C23" s="279" t="s">
        <v>541</v>
      </c>
      <c r="D23" s="80" t="s">
        <v>542</v>
      </c>
      <c r="E23" s="71">
        <v>24855398.259999998</v>
      </c>
    </row>
    <row r="24" spans="2:5">
      <c r="B24" s="334" t="s">
        <v>518</v>
      </c>
      <c r="C24" s="279" t="s">
        <v>543</v>
      </c>
      <c r="D24" s="80" t="s">
        <v>544</v>
      </c>
      <c r="E24" s="71">
        <v>38907017.700000003</v>
      </c>
    </row>
    <row r="25" spans="2:5">
      <c r="B25" s="283"/>
      <c r="C25" s="279"/>
      <c r="D25" s="80"/>
      <c r="E25" s="71"/>
    </row>
    <row r="26" spans="2:5">
      <c r="B26" s="283"/>
      <c r="C26" s="279"/>
      <c r="D26" s="80"/>
      <c r="E26" s="71"/>
    </row>
    <row r="27" spans="2:5">
      <c r="B27" s="283"/>
      <c r="C27" s="279"/>
      <c r="D27" s="80"/>
      <c r="E27" s="71"/>
    </row>
    <row r="28" spans="2:5">
      <c r="B28" s="283"/>
      <c r="C28" s="279"/>
      <c r="D28" s="80"/>
      <c r="E28" s="71"/>
    </row>
    <row r="29" spans="2:5">
      <c r="B29" s="283"/>
      <c r="C29" s="279"/>
      <c r="D29" s="80"/>
      <c r="E29" s="71"/>
    </row>
    <row r="30" spans="2:5">
      <c r="B30" s="283"/>
      <c r="C30" s="279"/>
      <c r="D30" s="80"/>
      <c r="E30" s="71"/>
    </row>
    <row r="31" spans="2:5">
      <c r="B31" s="283"/>
      <c r="C31" s="279"/>
      <c r="D31" s="80"/>
      <c r="E31" s="71"/>
    </row>
    <row r="32" spans="2:5">
      <c r="B32" s="283"/>
      <c r="C32" s="279"/>
      <c r="D32" s="80"/>
      <c r="E32" s="71"/>
    </row>
    <row r="33" spans="2:5">
      <c r="B33" s="283"/>
      <c r="C33" s="279"/>
      <c r="D33" s="80"/>
      <c r="E33" s="71"/>
    </row>
    <row r="34" spans="2:5">
      <c r="B34" s="283"/>
      <c r="C34" s="279"/>
      <c r="D34" s="80"/>
      <c r="E34" s="71"/>
    </row>
    <row r="35" spans="2:5">
      <c r="B35" s="283"/>
      <c r="C35" s="279"/>
      <c r="D35" s="80"/>
      <c r="E35" s="71"/>
    </row>
    <row r="36" spans="2:5">
      <c r="B36" s="283"/>
      <c r="C36" s="279"/>
      <c r="D36" s="80"/>
      <c r="E36" s="71"/>
    </row>
    <row r="37" spans="2:5">
      <c r="B37" s="283"/>
      <c r="C37" s="279"/>
      <c r="D37" s="80"/>
      <c r="E37" s="71"/>
    </row>
    <row r="38" spans="2:5">
      <c r="B38" s="283"/>
      <c r="C38" s="279"/>
      <c r="D38" s="80"/>
      <c r="E38" s="71"/>
    </row>
    <row r="39" spans="2:5">
      <c r="B39" s="283"/>
      <c r="C39" s="279"/>
      <c r="D39" s="80"/>
      <c r="E39" s="71"/>
    </row>
    <row r="40" spans="2:5">
      <c r="B40" s="283"/>
      <c r="C40" s="279"/>
      <c r="D40" s="80"/>
      <c r="E40" s="71"/>
    </row>
    <row r="41" spans="2:5">
      <c r="B41" s="424" t="s">
        <v>377</v>
      </c>
      <c r="C41" s="425"/>
      <c r="D41" s="426"/>
      <c r="E41" s="209">
        <f>SUM(E15:E40)</f>
        <v>1440344701.0900002</v>
      </c>
    </row>
    <row r="44" spans="2:5" ht="15.75">
      <c r="B44" s="207" t="s">
        <v>378</v>
      </c>
      <c r="C44" s="208"/>
      <c r="D44" s="208"/>
      <c r="E44" s="208"/>
    </row>
    <row r="45" spans="2:5" ht="15.75">
      <c r="B45" s="207"/>
      <c r="C45" s="208"/>
      <c r="D45" s="208"/>
      <c r="E45" s="208"/>
    </row>
    <row r="46" spans="2:5" ht="25.5">
      <c r="B46" s="37" t="s">
        <v>113</v>
      </c>
      <c r="C46" s="37" t="s">
        <v>374</v>
      </c>
      <c r="D46" s="37" t="s">
        <v>375</v>
      </c>
      <c r="E46" s="37" t="s">
        <v>376</v>
      </c>
    </row>
    <row r="47" spans="2:5" ht="25.9" customHeight="1">
      <c r="B47" s="330" t="s">
        <v>518</v>
      </c>
      <c r="C47" s="279" t="s">
        <v>529</v>
      </c>
      <c r="D47" s="80" t="s">
        <v>530</v>
      </c>
      <c r="E47" s="71">
        <v>34957500</v>
      </c>
    </row>
    <row r="48" spans="2:5">
      <c r="B48" s="330" t="s">
        <v>518</v>
      </c>
      <c r="C48" s="279" t="s">
        <v>531</v>
      </c>
      <c r="D48" s="80" t="s">
        <v>530</v>
      </c>
      <c r="E48" s="71">
        <v>19000000</v>
      </c>
    </row>
    <row r="49" spans="2:5">
      <c r="B49" s="330" t="s">
        <v>518</v>
      </c>
      <c r="C49" s="279" t="s">
        <v>532</v>
      </c>
      <c r="D49" s="80" t="s">
        <v>530</v>
      </c>
      <c r="E49" s="71">
        <v>105961984</v>
      </c>
    </row>
    <row r="50" spans="2:5">
      <c r="B50" s="330" t="s">
        <v>518</v>
      </c>
      <c r="C50" s="279" t="s">
        <v>533</v>
      </c>
      <c r="D50" s="80" t="s">
        <v>534</v>
      </c>
      <c r="E50" s="71">
        <v>838198175.59000003</v>
      </c>
    </row>
    <row r="51" spans="2:5">
      <c r="B51" s="330" t="s">
        <v>518</v>
      </c>
      <c r="C51" s="279" t="s">
        <v>535</v>
      </c>
      <c r="D51" s="80" t="s">
        <v>536</v>
      </c>
      <c r="E51" s="71">
        <v>176638391.33999997</v>
      </c>
    </row>
    <row r="52" spans="2:5">
      <c r="B52" s="330" t="s">
        <v>518</v>
      </c>
      <c r="C52" s="279" t="s">
        <v>537</v>
      </c>
      <c r="D52" s="80" t="s">
        <v>536</v>
      </c>
      <c r="E52" s="71">
        <v>71327137.039999992</v>
      </c>
    </row>
    <row r="53" spans="2:5">
      <c r="B53" s="330" t="s">
        <v>518</v>
      </c>
      <c r="C53" s="279" t="s">
        <v>538</v>
      </c>
      <c r="D53" s="80" t="s">
        <v>536</v>
      </c>
      <c r="E53" s="71">
        <v>118076083.7</v>
      </c>
    </row>
    <row r="54" spans="2:5">
      <c r="B54" s="330" t="s">
        <v>518</v>
      </c>
      <c r="C54" s="279" t="s">
        <v>539</v>
      </c>
      <c r="D54" s="80" t="s">
        <v>540</v>
      </c>
      <c r="E54" s="71">
        <v>12423013.460000001</v>
      </c>
    </row>
    <row r="55" spans="2:5">
      <c r="B55" s="330" t="s">
        <v>518</v>
      </c>
      <c r="C55" s="279" t="s">
        <v>541</v>
      </c>
      <c r="D55" s="80" t="s">
        <v>542</v>
      </c>
      <c r="E55" s="71">
        <v>24855398.259999998</v>
      </c>
    </row>
    <row r="56" spans="2:5">
      <c r="B56" s="330" t="s">
        <v>518</v>
      </c>
      <c r="C56" s="279" t="s">
        <v>543</v>
      </c>
      <c r="D56" s="80" t="s">
        <v>544</v>
      </c>
      <c r="E56" s="71">
        <v>38907017.700000003</v>
      </c>
    </row>
    <row r="57" spans="2:5">
      <c r="B57" s="73"/>
      <c r="C57" s="279"/>
      <c r="D57" s="80"/>
      <c r="E57" s="71"/>
    </row>
    <row r="58" spans="2:5">
      <c r="B58" s="73"/>
      <c r="C58" s="279"/>
      <c r="D58" s="80"/>
      <c r="E58" s="71"/>
    </row>
    <row r="59" spans="2:5">
      <c r="B59" s="73"/>
      <c r="C59" s="279"/>
      <c r="D59" s="80"/>
      <c r="E59" s="71"/>
    </row>
    <row r="60" spans="2:5">
      <c r="B60" s="73"/>
      <c r="C60" s="279"/>
      <c r="D60" s="80"/>
      <c r="E60" s="71"/>
    </row>
    <row r="61" spans="2:5">
      <c r="B61" s="73"/>
      <c r="C61" s="279"/>
      <c r="D61" s="80"/>
      <c r="E61" s="71"/>
    </row>
    <row r="62" spans="2:5">
      <c r="B62" s="73"/>
      <c r="C62" s="279"/>
      <c r="D62" s="80"/>
      <c r="E62" s="71"/>
    </row>
    <row r="63" spans="2:5">
      <c r="B63" s="73"/>
      <c r="C63" s="279"/>
      <c r="D63" s="80"/>
      <c r="E63" s="71"/>
    </row>
    <row r="64" spans="2:5">
      <c r="B64" s="73"/>
      <c r="C64" s="279"/>
      <c r="D64" s="80"/>
      <c r="E64" s="71"/>
    </row>
    <row r="65" spans="2:7">
      <c r="B65" s="73"/>
      <c r="C65" s="279"/>
      <c r="D65" s="80"/>
      <c r="E65" s="71"/>
    </row>
    <row r="66" spans="2:7">
      <c r="B66" s="73"/>
      <c r="C66" s="279"/>
      <c r="D66" s="80"/>
      <c r="E66" s="71"/>
    </row>
    <row r="67" spans="2:7">
      <c r="B67" s="73"/>
      <c r="C67" s="279"/>
      <c r="D67" s="80"/>
      <c r="E67" s="71"/>
    </row>
    <row r="68" spans="2:7">
      <c r="B68" s="73"/>
      <c r="C68" s="279"/>
      <c r="D68" s="80"/>
      <c r="E68" s="71"/>
    </row>
    <row r="69" spans="2:7">
      <c r="B69" s="73"/>
      <c r="C69" s="279"/>
      <c r="D69" s="80"/>
      <c r="E69" s="71"/>
    </row>
    <row r="70" spans="2:7">
      <c r="B70" s="73"/>
      <c r="C70" s="279"/>
      <c r="D70" s="80"/>
      <c r="E70" s="71"/>
    </row>
    <row r="71" spans="2:7">
      <c r="B71" s="73"/>
      <c r="C71" s="279"/>
      <c r="D71" s="80"/>
      <c r="E71" s="71"/>
    </row>
    <row r="72" spans="2:7">
      <c r="B72" s="73"/>
      <c r="C72" s="279"/>
      <c r="D72" s="80"/>
      <c r="E72" s="71"/>
    </row>
    <row r="73" spans="2:7">
      <c r="B73" s="424" t="s">
        <v>377</v>
      </c>
      <c r="C73" s="425"/>
      <c r="D73" s="426"/>
      <c r="E73" s="209">
        <f>SUM(E47:E72)</f>
        <v>1440344701.0900002</v>
      </c>
    </row>
    <row r="76" spans="2:7" ht="15.75">
      <c r="B76" s="210" t="s">
        <v>379</v>
      </c>
      <c r="C76" s="208"/>
      <c r="D76" s="208"/>
      <c r="E76" s="208"/>
      <c r="F76" s="211"/>
      <c r="G76" s="208"/>
    </row>
    <row r="77" spans="2:7" ht="15.75">
      <c r="B77" s="207"/>
      <c r="C77" s="208"/>
      <c r="D77" s="208"/>
      <c r="E77" s="208"/>
      <c r="F77" s="211"/>
      <c r="G77" s="208"/>
    </row>
    <row r="78" spans="2:7" ht="42" customHeight="1">
      <c r="B78" s="37" t="s">
        <v>113</v>
      </c>
      <c r="C78" s="37" t="s">
        <v>380</v>
      </c>
      <c r="D78" s="37" t="s">
        <v>381</v>
      </c>
      <c r="E78" s="49" t="s">
        <v>382</v>
      </c>
      <c r="F78" s="49" t="s">
        <v>383</v>
      </c>
      <c r="G78" s="49" t="s">
        <v>384</v>
      </c>
    </row>
    <row r="79" spans="2:7">
      <c r="B79" s="89"/>
      <c r="C79" s="37"/>
      <c r="D79" s="53"/>
      <c r="E79" s="53"/>
      <c r="F79" s="53" t="s">
        <v>385</v>
      </c>
      <c r="G79" s="53" t="s">
        <v>116</v>
      </c>
    </row>
    <row r="80" spans="2:7">
      <c r="B80" s="331" t="s">
        <v>518</v>
      </c>
      <c r="C80" s="280"/>
      <c r="D80" s="71"/>
      <c r="E80" s="71"/>
      <c r="F80" s="72"/>
      <c r="G80" s="66"/>
    </row>
    <row r="81" spans="2:7">
      <c r="B81" s="70"/>
      <c r="C81" s="280"/>
      <c r="D81" s="71"/>
      <c r="E81" s="71"/>
      <c r="F81" s="72"/>
      <c r="G81" s="66"/>
    </row>
    <row r="82" spans="2:7">
      <c r="B82" s="70"/>
      <c r="C82" s="280"/>
      <c r="D82" s="71"/>
      <c r="E82" s="71"/>
      <c r="F82" s="72"/>
      <c r="G82" s="66"/>
    </row>
    <row r="83" spans="2:7">
      <c r="B83" s="70"/>
      <c r="C83" s="280"/>
      <c r="D83" s="71"/>
      <c r="E83" s="71"/>
      <c r="F83" s="72"/>
      <c r="G83" s="66"/>
    </row>
    <row r="84" spans="2:7">
      <c r="B84" s="70"/>
      <c r="C84" s="280"/>
      <c r="D84" s="71"/>
      <c r="E84" s="71"/>
      <c r="F84" s="72"/>
      <c r="G84" s="66"/>
    </row>
    <row r="85" spans="2:7">
      <c r="B85" s="70"/>
      <c r="C85" s="280"/>
      <c r="D85" s="71"/>
      <c r="E85" s="71"/>
      <c r="F85" s="72"/>
      <c r="G85" s="66"/>
    </row>
    <row r="86" spans="2:7">
      <c r="B86" s="70"/>
      <c r="C86" s="280"/>
      <c r="D86" s="71"/>
      <c r="E86" s="71"/>
      <c r="F86" s="72"/>
      <c r="G86" s="66"/>
    </row>
    <row r="87" spans="2:7">
      <c r="B87" s="70"/>
      <c r="C87" s="280"/>
      <c r="D87" s="71"/>
      <c r="E87" s="71"/>
      <c r="F87" s="72"/>
      <c r="G87" s="66"/>
    </row>
    <row r="88" spans="2:7">
      <c r="B88" s="70"/>
      <c r="C88" s="280"/>
      <c r="D88" s="71"/>
      <c r="E88" s="71"/>
      <c r="F88" s="72"/>
      <c r="G88" s="66"/>
    </row>
    <row r="89" spans="2:7">
      <c r="B89" s="70"/>
      <c r="C89" s="280"/>
      <c r="D89" s="71"/>
      <c r="E89" s="71"/>
      <c r="F89" s="72"/>
      <c r="G89" s="66"/>
    </row>
    <row r="90" spans="2:7">
      <c r="B90" s="70"/>
      <c r="C90" s="280"/>
      <c r="D90" s="71"/>
      <c r="E90" s="71"/>
      <c r="F90" s="72"/>
      <c r="G90" s="66"/>
    </row>
    <row r="91" spans="2:7">
      <c r="B91" s="70"/>
      <c r="C91" s="280"/>
      <c r="D91" s="71"/>
      <c r="E91" s="71"/>
      <c r="F91" s="72"/>
      <c r="G91" s="66"/>
    </row>
    <row r="92" spans="2:7">
      <c r="B92" s="70"/>
      <c r="C92" s="280"/>
      <c r="D92" s="71"/>
      <c r="E92" s="71"/>
      <c r="F92" s="72"/>
      <c r="G92" s="66"/>
    </row>
    <row r="93" spans="2:7">
      <c r="B93" s="70"/>
      <c r="C93" s="280"/>
      <c r="D93" s="71"/>
      <c r="E93" s="71"/>
      <c r="F93" s="72"/>
      <c r="G93" s="66"/>
    </row>
    <row r="94" spans="2:7">
      <c r="B94" s="70"/>
      <c r="C94" s="280"/>
      <c r="D94" s="71"/>
      <c r="E94" s="71"/>
      <c r="F94" s="72"/>
      <c r="G94" s="66"/>
    </row>
    <row r="95" spans="2:7">
      <c r="B95" s="70"/>
      <c r="C95" s="280"/>
      <c r="D95" s="71"/>
      <c r="E95" s="71"/>
      <c r="F95" s="72"/>
      <c r="G95" s="66"/>
    </row>
    <row r="96" spans="2:7">
      <c r="B96" s="70"/>
      <c r="C96" s="280"/>
      <c r="D96" s="71"/>
      <c r="E96" s="71"/>
      <c r="F96" s="72"/>
      <c r="G96" s="66"/>
    </row>
    <row r="97" spans="2:7">
      <c r="B97" s="70"/>
      <c r="C97" s="280"/>
      <c r="D97" s="71"/>
      <c r="E97" s="71"/>
      <c r="F97" s="72"/>
      <c r="G97" s="66"/>
    </row>
    <row r="98" spans="2:7">
      <c r="B98" s="422" t="s">
        <v>386</v>
      </c>
      <c r="C98" s="423"/>
      <c r="D98" s="423"/>
      <c r="E98" s="423"/>
      <c r="F98" s="423"/>
      <c r="G98" s="90">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2ABC-B240-4D46-B110-5437733DE14E}">
  <sheetPr>
    <tabColor theme="9" tint="0.79998168889431442"/>
  </sheetPr>
  <dimension ref="N1"/>
  <sheetViews>
    <sheetView workbookViewId="0">
      <selection activeCell="AE42" sqref="AE42"/>
    </sheetView>
  </sheetViews>
  <sheetFormatPr defaultRowHeight="12.75"/>
  <cols>
    <col min="1" max="16384" width="9.140625" style="450"/>
  </cols>
  <sheetData>
    <row r="1" spans="14:14">
      <c r="N1"/>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21" activePane="bottomRight" state="frozen"/>
      <selection pane="topRight" activeCell="B1" sqref="B1"/>
      <selection pane="bottomLeft" activeCell="A10" sqref="A10"/>
      <selection pane="bottomRight" activeCell="K65" sqref="K65"/>
    </sheetView>
  </sheetViews>
  <sheetFormatPr defaultColWidth="8.7109375" defaultRowHeight="12.75"/>
  <cols>
    <col min="1" max="1" width="11.42578125" customWidth="1"/>
    <col min="2" max="2" width="47.42578125" customWidth="1"/>
    <col min="3" max="3" width="30.7109375" customWidth="1"/>
    <col min="4" max="4" width="70.7109375" customWidth="1"/>
    <col min="5" max="9" width="30.7109375" customWidth="1"/>
    <col min="10" max="60" width="10.7109375" customWidth="1"/>
    <col min="62" max="62" width="13.5703125" customWidth="1"/>
  </cols>
  <sheetData>
    <row r="1" spans="2:4" ht="20.25">
      <c r="B1" s="135" t="s">
        <v>53</v>
      </c>
      <c r="C1" s="135"/>
    </row>
    <row r="2" spans="2:4" ht="25.5" customHeight="1">
      <c r="B2" s="135" t="str">
        <f>IF(Tradingname=0," ",Tradingname)</f>
        <v>APA (SWQP) PTY LIMITED</v>
      </c>
      <c r="C2" s="135"/>
    </row>
    <row r="3" spans="2:4" ht="19.5" customHeight="1">
      <c r="B3" s="135" t="s">
        <v>30</v>
      </c>
      <c r="C3" s="99">
        <f>IF(Yearending=0, "01/01/2000", Yearending)</f>
        <v>45838</v>
      </c>
    </row>
    <row r="4" spans="2:4" ht="20.25">
      <c r="B4" s="91" t="s">
        <v>72</v>
      </c>
      <c r="C4" s="91"/>
    </row>
    <row r="5" spans="2:4" ht="12" customHeight="1"/>
    <row r="6" spans="2:4" ht="12" customHeight="1">
      <c r="B6" s="409" t="s">
        <v>387</v>
      </c>
      <c r="C6" s="409"/>
      <c r="D6" s="409"/>
    </row>
    <row r="7" spans="2:4" ht="12" customHeight="1">
      <c r="B7" s="409"/>
      <c r="C7" s="409"/>
      <c r="D7" s="409"/>
    </row>
    <row r="8" spans="2:4" ht="12" customHeight="1">
      <c r="B8" s="409"/>
      <c r="C8" s="409"/>
      <c r="D8" s="409"/>
    </row>
    <row r="9" spans="2:4" ht="12" customHeight="1">
      <c r="B9" s="409"/>
      <c r="C9" s="409"/>
      <c r="D9" s="409"/>
    </row>
    <row r="10" spans="2:4" ht="12" customHeight="1"/>
    <row r="11" spans="2:4" ht="12" customHeight="1"/>
    <row r="12" spans="2:4" ht="15.75">
      <c r="B12" s="197" t="s">
        <v>388</v>
      </c>
    </row>
    <row r="14" spans="2:4">
      <c r="B14" s="51" t="s">
        <v>113</v>
      </c>
      <c r="C14" s="50" t="s">
        <v>389</v>
      </c>
      <c r="D14" s="50" t="s">
        <v>390</v>
      </c>
    </row>
    <row r="15" spans="2:4">
      <c r="B15" s="332" t="s">
        <v>519</v>
      </c>
      <c r="C15" s="308" t="s">
        <v>397</v>
      </c>
      <c r="D15" s="62" t="s">
        <v>494</v>
      </c>
    </row>
    <row r="16" spans="2:4">
      <c r="B16" s="332" t="s">
        <v>519</v>
      </c>
      <c r="C16" s="308" t="s">
        <v>502</v>
      </c>
      <c r="D16" s="62" t="s">
        <v>494</v>
      </c>
    </row>
    <row r="17" spans="2:6">
      <c r="B17" s="292"/>
      <c r="C17" s="62"/>
      <c r="D17" s="62"/>
    </row>
    <row r="18" spans="2:6">
      <c r="B18" s="292"/>
      <c r="C18" s="104"/>
      <c r="D18" s="104"/>
    </row>
    <row r="19" spans="2:6">
      <c r="B19" s="292"/>
      <c r="C19" s="104"/>
      <c r="D19" s="104"/>
    </row>
    <row r="22" spans="2:6" ht="15.75">
      <c r="B22" s="197" t="s">
        <v>391</v>
      </c>
    </row>
    <row r="24" spans="2:6" s="5" customFormat="1">
      <c r="B24" s="101"/>
      <c r="C24" s="102" t="s">
        <v>392</v>
      </c>
    </row>
    <row r="25" spans="2:6" s="5" customFormat="1">
      <c r="B25" s="101"/>
      <c r="C25" s="101" t="s">
        <v>393</v>
      </c>
      <c r="D25" s="196"/>
    </row>
    <row r="26" spans="2:6" ht="14.25">
      <c r="B26" s="112" t="s">
        <v>78</v>
      </c>
      <c r="C26" s="71">
        <f>C42/365</f>
        <v>383.77616438356534</v>
      </c>
      <c r="D26" s="195"/>
      <c r="E26" s="6"/>
      <c r="F26" s="6"/>
    </row>
    <row r="27" spans="2:6" ht="14.25">
      <c r="B27" s="112" t="s">
        <v>80</v>
      </c>
      <c r="C27" s="307"/>
      <c r="D27" s="195"/>
      <c r="E27" s="6"/>
      <c r="F27" s="6"/>
    </row>
    <row r="28" spans="2:6" ht="14.25">
      <c r="B28" s="112" t="s">
        <v>81</v>
      </c>
      <c r="C28" s="71"/>
      <c r="D28" s="195"/>
      <c r="E28" s="6"/>
      <c r="F28" s="6"/>
    </row>
    <row r="29" spans="2:6" ht="14.25">
      <c r="B29" s="112" t="s">
        <v>82</v>
      </c>
      <c r="C29" s="71"/>
      <c r="D29" s="195"/>
      <c r="E29" s="6"/>
      <c r="F29" s="6"/>
    </row>
    <row r="30" spans="2:6" ht="25.5">
      <c r="B30" s="194" t="s">
        <v>83</v>
      </c>
      <c r="C30" s="71"/>
      <c r="D30" s="195"/>
      <c r="E30" s="6"/>
      <c r="F30" s="6"/>
    </row>
    <row r="31" spans="2:6" ht="14.25">
      <c r="B31" s="112" t="s">
        <v>84</v>
      </c>
      <c r="C31" s="71"/>
      <c r="D31" s="195"/>
      <c r="E31" s="6"/>
      <c r="F31" s="6"/>
    </row>
    <row r="32" spans="2:6" ht="14.25">
      <c r="B32" s="112" t="s">
        <v>85</v>
      </c>
      <c r="C32" s="71"/>
      <c r="D32" s="195"/>
      <c r="E32" s="6"/>
      <c r="F32" s="6"/>
    </row>
    <row r="33" spans="2:9">
      <c r="B33" s="112" t="s">
        <v>86</v>
      </c>
      <c r="C33" s="71"/>
      <c r="D33" s="6"/>
      <c r="E33" s="6"/>
      <c r="F33" s="6"/>
    </row>
    <row r="34" spans="2:9">
      <c r="B34" s="112" t="s">
        <v>88</v>
      </c>
      <c r="C34" s="71"/>
      <c r="D34" s="6"/>
      <c r="E34" s="6"/>
      <c r="F34" s="6"/>
    </row>
    <row r="35" spans="2:9">
      <c r="B35" s="112" t="s">
        <v>90</v>
      </c>
      <c r="C35" s="71"/>
    </row>
    <row r="38" spans="2:9" ht="15.75">
      <c r="B38" s="197" t="s">
        <v>394</v>
      </c>
    </row>
    <row r="40" spans="2:9" s="5" customFormat="1" ht="25.5">
      <c r="B40" s="101"/>
      <c r="C40" s="102" t="s">
        <v>395</v>
      </c>
      <c r="D40" s="102" t="s">
        <v>396</v>
      </c>
      <c r="E40" s="102" t="s">
        <v>397</v>
      </c>
      <c r="F40" s="102" t="s">
        <v>97</v>
      </c>
      <c r="G40" s="102" t="s">
        <v>398</v>
      </c>
      <c r="H40" s="102" t="s">
        <v>399</v>
      </c>
      <c r="I40" s="102" t="s">
        <v>400</v>
      </c>
    </row>
    <row r="41" spans="2:9" s="5" customFormat="1">
      <c r="B41" s="101"/>
      <c r="C41" s="103" t="s">
        <v>393</v>
      </c>
      <c r="D41" s="103" t="s">
        <v>393</v>
      </c>
      <c r="E41" s="103" t="s">
        <v>393</v>
      </c>
      <c r="F41" s="103" t="s">
        <v>393</v>
      </c>
      <c r="G41" s="102"/>
      <c r="H41" s="102"/>
      <c r="I41" s="102"/>
    </row>
    <row r="42" spans="2:9">
      <c r="B42" s="193" t="s">
        <v>56</v>
      </c>
      <c r="C42" s="11">
        <f>SUM(C43:C408)</f>
        <v>140078.30000000136</v>
      </c>
      <c r="D42" s="11">
        <f>SUM(D43:D408)</f>
        <v>0</v>
      </c>
      <c r="E42" s="11">
        <f>SUM(E43:E408)</f>
        <v>95499.604999999967</v>
      </c>
      <c r="F42" s="11" t="s">
        <v>401</v>
      </c>
      <c r="G42" s="11">
        <f>SUM(G43:G408)</f>
        <v>91380.395000000033</v>
      </c>
      <c r="H42" s="11">
        <f>SUM(H43:H408)</f>
        <v>46801.700000000303</v>
      </c>
      <c r="I42" s="11">
        <f>SUM(I43:I408)</f>
        <v>44578.694999999992</v>
      </c>
    </row>
    <row r="43" spans="2:9">
      <c r="B43" s="192">
        <f>IF(Yearstart=0, "1/01/1999", Yearstart)</f>
        <v>45474</v>
      </c>
      <c r="C43" s="81">
        <v>502.8</v>
      </c>
      <c r="D43" s="81"/>
      <c r="E43" s="81">
        <v>624.005</v>
      </c>
      <c r="F43" s="81">
        <v>512</v>
      </c>
      <c r="G43" s="11">
        <f>F43-E43</f>
        <v>-112.005</v>
      </c>
      <c r="H43" s="11">
        <f>'5. Historical demand'!F43-'5. Historical demand'!C43-'5. Historical demand'!D43</f>
        <v>9.1999999999999886</v>
      </c>
      <c r="I43" s="11">
        <f>C43+D43-E43</f>
        <v>-121.20499999999998</v>
      </c>
    </row>
    <row r="44" spans="2:9">
      <c r="B44" s="192">
        <f t="shared" ref="B44:B107" si="0">IFERROR(IF(Yearending&gt;B43, B43+1, ""),"")</f>
        <v>45475</v>
      </c>
      <c r="C44" s="81">
        <v>502.8</v>
      </c>
      <c r="D44" s="81"/>
      <c r="E44" s="81">
        <v>610.42899999999997</v>
      </c>
      <c r="F44" s="81">
        <v>512</v>
      </c>
      <c r="G44" s="11">
        <f t="shared" ref="G44:G107" si="1">IFERROR(IF(Yearending&gt;B43,F44-E44,""),"")</f>
        <v>-98.428999999999974</v>
      </c>
      <c r="H44" s="11">
        <f>IFERROR(IF(Yearending&gt;B43,'5. Historical demand'!F44-'5. Historical demand'!C44-'5. Historical demand'!D44,""),"")</f>
        <v>9.1999999999999886</v>
      </c>
      <c r="I44" s="11">
        <f t="shared" ref="I44:I107" si="2">IFERROR(IF(Yearending&gt;B43,C44+D44-E44,""),"")</f>
        <v>-107.62899999999996</v>
      </c>
    </row>
    <row r="45" spans="2:9">
      <c r="B45" s="192">
        <f t="shared" si="0"/>
        <v>45476</v>
      </c>
      <c r="C45" s="81">
        <v>502.8</v>
      </c>
      <c r="D45" s="81"/>
      <c r="E45" s="81">
        <v>594.32999999999993</v>
      </c>
      <c r="F45" s="81">
        <v>512</v>
      </c>
      <c r="G45" s="11">
        <f t="shared" si="1"/>
        <v>-82.329999999999927</v>
      </c>
      <c r="H45" s="11">
        <f>IFERROR(IF(Yearending&gt;B44,'5. Historical demand'!F45-'5. Historical demand'!C45-'5. Historical demand'!D45,""),"")</f>
        <v>9.1999999999999886</v>
      </c>
      <c r="I45" s="11">
        <f t="shared" si="2"/>
        <v>-91.529999999999916</v>
      </c>
    </row>
    <row r="46" spans="2:9">
      <c r="B46" s="192">
        <f t="shared" si="0"/>
        <v>45477</v>
      </c>
      <c r="C46" s="81">
        <v>502.8</v>
      </c>
      <c r="D46" s="81"/>
      <c r="E46" s="81">
        <v>608.58399999999995</v>
      </c>
      <c r="F46" s="81">
        <v>512</v>
      </c>
      <c r="G46" s="11">
        <f t="shared" si="1"/>
        <v>-96.583999999999946</v>
      </c>
      <c r="H46" s="11">
        <f>IFERROR(IF(Yearending&gt;B45,'5. Historical demand'!F46-'5. Historical demand'!C46-'5. Historical demand'!D46,""),"")</f>
        <v>9.1999999999999886</v>
      </c>
      <c r="I46" s="11">
        <f t="shared" si="2"/>
        <v>-105.78399999999993</v>
      </c>
    </row>
    <row r="47" spans="2:9">
      <c r="B47" s="192">
        <f t="shared" si="0"/>
        <v>45478</v>
      </c>
      <c r="C47" s="81">
        <v>502.8</v>
      </c>
      <c r="D47" s="81"/>
      <c r="E47" s="81">
        <v>556.87400000000002</v>
      </c>
      <c r="F47" s="81">
        <v>512</v>
      </c>
      <c r="G47" s="11">
        <f t="shared" si="1"/>
        <v>-44.874000000000024</v>
      </c>
      <c r="H47" s="11">
        <f>IFERROR(IF(Yearending&gt;B46,'5. Historical demand'!F47-'5. Historical demand'!C47-'5. Historical demand'!D47,""),"")</f>
        <v>9.1999999999999886</v>
      </c>
      <c r="I47" s="11">
        <f t="shared" si="2"/>
        <v>-54.074000000000012</v>
      </c>
    </row>
    <row r="48" spans="2:9">
      <c r="B48" s="192">
        <f t="shared" si="0"/>
        <v>45479</v>
      </c>
      <c r="C48" s="81">
        <v>502.8</v>
      </c>
      <c r="D48" s="81"/>
      <c r="E48" s="81">
        <v>580.84500000000003</v>
      </c>
      <c r="F48" s="81">
        <v>512</v>
      </c>
      <c r="G48" s="11">
        <f t="shared" si="1"/>
        <v>-68.845000000000027</v>
      </c>
      <c r="H48" s="11">
        <f>IFERROR(IF(Yearending&gt;B47,'5. Historical demand'!F48-'5. Historical demand'!C48-'5. Historical demand'!D48,""),"")</f>
        <v>9.1999999999999886</v>
      </c>
      <c r="I48" s="11">
        <f t="shared" si="2"/>
        <v>-78.045000000000016</v>
      </c>
    </row>
    <row r="49" spans="2:9">
      <c r="B49" s="192">
        <f t="shared" si="0"/>
        <v>45480</v>
      </c>
      <c r="C49" s="81">
        <v>502.8</v>
      </c>
      <c r="D49" s="81"/>
      <c r="E49" s="81">
        <v>570.68499999999995</v>
      </c>
      <c r="F49" s="81">
        <v>512</v>
      </c>
      <c r="G49" s="11">
        <f t="shared" si="1"/>
        <v>-58.684999999999945</v>
      </c>
      <c r="H49" s="11">
        <f>IFERROR(IF(Yearending&gt;B48,'5. Historical demand'!F49-'5. Historical demand'!C49-'5. Historical demand'!D49,""),"")</f>
        <v>9.1999999999999886</v>
      </c>
      <c r="I49" s="11">
        <f t="shared" si="2"/>
        <v>-67.884999999999934</v>
      </c>
    </row>
    <row r="50" spans="2:9">
      <c r="B50" s="192">
        <f t="shared" si="0"/>
        <v>45481</v>
      </c>
      <c r="C50" s="81">
        <v>502.8</v>
      </c>
      <c r="D50" s="81"/>
      <c r="E50" s="81">
        <v>647.66</v>
      </c>
      <c r="F50" s="81">
        <v>512</v>
      </c>
      <c r="G50" s="11">
        <f t="shared" si="1"/>
        <v>-135.65999999999997</v>
      </c>
      <c r="H50" s="11">
        <f>IFERROR(IF(Yearending&gt;B49,'5. Historical demand'!F50-'5. Historical demand'!C50-'5. Historical demand'!D50,""),"")</f>
        <v>9.1999999999999886</v>
      </c>
      <c r="I50" s="11">
        <f t="shared" si="2"/>
        <v>-144.85999999999996</v>
      </c>
    </row>
    <row r="51" spans="2:9">
      <c r="B51" s="192">
        <f t="shared" si="0"/>
        <v>45482</v>
      </c>
      <c r="C51" s="81">
        <v>502.8</v>
      </c>
      <c r="D51" s="81"/>
      <c r="E51" s="81">
        <v>557.29300000000001</v>
      </c>
      <c r="F51" s="81">
        <v>512</v>
      </c>
      <c r="G51" s="11">
        <f t="shared" si="1"/>
        <v>-45.293000000000006</v>
      </c>
      <c r="H51" s="11">
        <f>IFERROR(IF(Yearending&gt;B50,'5. Historical demand'!F51-'5. Historical demand'!C51-'5. Historical demand'!D51,""),"")</f>
        <v>9.1999999999999886</v>
      </c>
      <c r="I51" s="11">
        <f t="shared" si="2"/>
        <v>-54.492999999999995</v>
      </c>
    </row>
    <row r="52" spans="2:9">
      <c r="B52" s="192">
        <f t="shared" si="0"/>
        <v>45483</v>
      </c>
      <c r="C52" s="81">
        <v>502.8</v>
      </c>
      <c r="D52" s="81"/>
      <c r="E52" s="81">
        <v>477.82400000000001</v>
      </c>
      <c r="F52" s="81">
        <v>512</v>
      </c>
      <c r="G52" s="11">
        <f t="shared" si="1"/>
        <v>34.175999999999988</v>
      </c>
      <c r="H52" s="11">
        <f>IFERROR(IF(Yearending&gt;B51,'5. Historical demand'!F52-'5. Historical demand'!C52-'5. Historical demand'!D52,""),"")</f>
        <v>9.1999999999999886</v>
      </c>
      <c r="I52" s="11">
        <f t="shared" si="2"/>
        <v>24.975999999999999</v>
      </c>
    </row>
    <row r="53" spans="2:9">
      <c r="B53" s="192">
        <f t="shared" si="0"/>
        <v>45484</v>
      </c>
      <c r="C53" s="81">
        <v>502.8</v>
      </c>
      <c r="D53" s="81"/>
      <c r="E53" s="81">
        <v>598.41399999999999</v>
      </c>
      <c r="F53" s="81">
        <v>512</v>
      </c>
      <c r="G53" s="11">
        <f t="shared" si="1"/>
        <v>-86.413999999999987</v>
      </c>
      <c r="H53" s="11">
        <f>IFERROR(IF(Yearending&gt;B52,'5. Historical demand'!F53-'5. Historical demand'!C53-'5. Historical demand'!D53,""),"")</f>
        <v>9.1999999999999886</v>
      </c>
      <c r="I53" s="11">
        <f t="shared" si="2"/>
        <v>-95.613999999999976</v>
      </c>
    </row>
    <row r="54" spans="2:9">
      <c r="B54" s="192">
        <f t="shared" si="0"/>
        <v>45485</v>
      </c>
      <c r="C54" s="81">
        <v>502.8</v>
      </c>
      <c r="D54" s="81"/>
      <c r="E54" s="81">
        <v>484.66899999999998</v>
      </c>
      <c r="F54" s="81">
        <v>512</v>
      </c>
      <c r="G54" s="11">
        <f t="shared" si="1"/>
        <v>27.331000000000017</v>
      </c>
      <c r="H54" s="11">
        <f>IFERROR(IF(Yearending&gt;B53,'5. Historical demand'!F54-'5. Historical demand'!C54-'5. Historical demand'!D54,""),"")</f>
        <v>9.1999999999999886</v>
      </c>
      <c r="I54" s="11">
        <f t="shared" si="2"/>
        <v>18.131000000000029</v>
      </c>
    </row>
    <row r="55" spans="2:9">
      <c r="B55" s="192">
        <f t="shared" si="0"/>
        <v>45486</v>
      </c>
      <c r="C55" s="81">
        <v>502.8</v>
      </c>
      <c r="D55" s="81"/>
      <c r="E55" s="81">
        <v>538.76900000000001</v>
      </c>
      <c r="F55" s="81">
        <v>512</v>
      </c>
      <c r="G55" s="11">
        <f t="shared" si="1"/>
        <v>-26.769000000000005</v>
      </c>
      <c r="H55" s="11">
        <f>IFERROR(IF(Yearending&gt;B54,'5. Historical demand'!F55-'5. Historical demand'!C55-'5. Historical demand'!D55,""),"")</f>
        <v>9.1999999999999886</v>
      </c>
      <c r="I55" s="11">
        <f t="shared" si="2"/>
        <v>-35.968999999999994</v>
      </c>
    </row>
    <row r="56" spans="2:9">
      <c r="B56" s="192">
        <f t="shared" si="0"/>
        <v>45487</v>
      </c>
      <c r="C56" s="81">
        <v>502.8</v>
      </c>
      <c r="D56" s="81"/>
      <c r="E56" s="81">
        <v>675.31599999999992</v>
      </c>
      <c r="F56" s="81">
        <v>512</v>
      </c>
      <c r="G56" s="11">
        <f t="shared" si="1"/>
        <v>-163.31599999999992</v>
      </c>
      <c r="H56" s="11">
        <f>IFERROR(IF(Yearending&gt;B55,'5. Historical demand'!F56-'5. Historical demand'!C56-'5. Historical demand'!D56,""),"")</f>
        <v>9.1999999999999886</v>
      </c>
      <c r="I56" s="11">
        <f t="shared" si="2"/>
        <v>-172.51599999999991</v>
      </c>
    </row>
    <row r="57" spans="2:9">
      <c r="B57" s="192">
        <f t="shared" si="0"/>
        <v>45488</v>
      </c>
      <c r="C57" s="81">
        <v>502.8</v>
      </c>
      <c r="D57" s="81"/>
      <c r="E57" s="81">
        <v>636.38800000000003</v>
      </c>
      <c r="F57" s="81">
        <v>512</v>
      </c>
      <c r="G57" s="11">
        <f t="shared" si="1"/>
        <v>-124.38800000000003</v>
      </c>
      <c r="H57" s="11">
        <f>IFERROR(IF(Yearending&gt;B56,'5. Historical demand'!F57-'5. Historical demand'!C57-'5. Historical demand'!D57,""),"")</f>
        <v>9.1999999999999886</v>
      </c>
      <c r="I57" s="11">
        <f t="shared" si="2"/>
        <v>-133.58800000000002</v>
      </c>
    </row>
    <row r="58" spans="2:9">
      <c r="B58" s="192">
        <f t="shared" si="0"/>
        <v>45489</v>
      </c>
      <c r="C58" s="81">
        <v>502.8</v>
      </c>
      <c r="D58" s="81"/>
      <c r="E58" s="81">
        <v>642.93500000000006</v>
      </c>
      <c r="F58" s="81">
        <v>512</v>
      </c>
      <c r="G58" s="11">
        <f t="shared" si="1"/>
        <v>-130.93500000000006</v>
      </c>
      <c r="H58" s="11">
        <f>IFERROR(IF(Yearending&gt;B57,'5. Historical demand'!F58-'5. Historical demand'!C58-'5. Historical demand'!D58,""),"")</f>
        <v>9.1999999999999886</v>
      </c>
      <c r="I58" s="11">
        <f t="shared" si="2"/>
        <v>-140.13500000000005</v>
      </c>
    </row>
    <row r="59" spans="2:9">
      <c r="B59" s="192">
        <f t="shared" si="0"/>
        <v>45490</v>
      </c>
      <c r="C59" s="81">
        <v>502.8</v>
      </c>
      <c r="D59" s="81"/>
      <c r="E59" s="81">
        <v>630.78800000000001</v>
      </c>
      <c r="F59" s="81">
        <v>512</v>
      </c>
      <c r="G59" s="11">
        <f t="shared" si="1"/>
        <v>-118.78800000000001</v>
      </c>
      <c r="H59" s="11">
        <f>IFERROR(IF(Yearending&gt;B58,'5. Historical demand'!F59-'5. Historical demand'!C59-'5. Historical demand'!D59,""),"")</f>
        <v>9.1999999999999886</v>
      </c>
      <c r="I59" s="11">
        <f t="shared" si="2"/>
        <v>-127.988</v>
      </c>
    </row>
    <row r="60" spans="2:9">
      <c r="B60" s="192">
        <f t="shared" si="0"/>
        <v>45491</v>
      </c>
      <c r="C60" s="81">
        <v>502.8</v>
      </c>
      <c r="D60" s="81"/>
      <c r="E60" s="81">
        <v>667.75099999999998</v>
      </c>
      <c r="F60" s="81">
        <v>512</v>
      </c>
      <c r="G60" s="11">
        <f t="shared" si="1"/>
        <v>-155.75099999999998</v>
      </c>
      <c r="H60" s="11">
        <f>IFERROR(IF(Yearending&gt;B59,'5. Historical demand'!F60-'5. Historical demand'!C60-'5. Historical demand'!D60,""),"")</f>
        <v>9.1999999999999886</v>
      </c>
      <c r="I60" s="11">
        <f t="shared" si="2"/>
        <v>-164.95099999999996</v>
      </c>
    </row>
    <row r="61" spans="2:9">
      <c r="B61" s="192">
        <f t="shared" si="0"/>
        <v>45492</v>
      </c>
      <c r="C61" s="81">
        <v>502.8</v>
      </c>
      <c r="D61" s="81"/>
      <c r="E61" s="81">
        <v>577.96899999999994</v>
      </c>
      <c r="F61" s="81">
        <v>512</v>
      </c>
      <c r="G61" s="11">
        <f t="shared" si="1"/>
        <v>-65.968999999999937</v>
      </c>
      <c r="H61" s="11">
        <f>IFERROR(IF(Yearending&gt;B60,'5. Historical demand'!F61-'5. Historical demand'!C61-'5. Historical demand'!D61,""),"")</f>
        <v>9.1999999999999886</v>
      </c>
      <c r="I61" s="11">
        <f t="shared" si="2"/>
        <v>-75.168999999999926</v>
      </c>
    </row>
    <row r="62" spans="2:9">
      <c r="B62" s="192">
        <f t="shared" si="0"/>
        <v>45493</v>
      </c>
      <c r="C62" s="81">
        <v>502.8</v>
      </c>
      <c r="D62" s="81"/>
      <c r="E62" s="81">
        <v>567.18499999999995</v>
      </c>
      <c r="F62" s="81">
        <v>512</v>
      </c>
      <c r="G62" s="11">
        <f t="shared" si="1"/>
        <v>-55.184999999999945</v>
      </c>
      <c r="H62" s="11">
        <f>IFERROR(IF(Yearending&gt;B61,'5. Historical demand'!F62-'5. Historical demand'!C62-'5. Historical demand'!D62,""),"")</f>
        <v>9.1999999999999886</v>
      </c>
      <c r="I62" s="11">
        <f t="shared" si="2"/>
        <v>-64.384999999999934</v>
      </c>
    </row>
    <row r="63" spans="2:9">
      <c r="B63" s="192">
        <f t="shared" si="0"/>
        <v>45494</v>
      </c>
      <c r="C63" s="81">
        <v>502.8</v>
      </c>
      <c r="D63" s="81"/>
      <c r="E63" s="81">
        <v>567.577</v>
      </c>
      <c r="F63" s="81">
        <v>512</v>
      </c>
      <c r="G63" s="11">
        <f t="shared" si="1"/>
        <v>-55.576999999999998</v>
      </c>
      <c r="H63" s="11">
        <f>IFERROR(IF(Yearending&gt;B62,'5. Historical demand'!F63-'5. Historical demand'!C63-'5. Historical demand'!D63,""),"")</f>
        <v>9.1999999999999886</v>
      </c>
      <c r="I63" s="11">
        <f t="shared" si="2"/>
        <v>-64.776999999999987</v>
      </c>
    </row>
    <row r="64" spans="2:9">
      <c r="B64" s="192">
        <f t="shared" si="0"/>
        <v>45495</v>
      </c>
      <c r="C64" s="81">
        <v>502.8</v>
      </c>
      <c r="D64" s="81"/>
      <c r="E64" s="81">
        <v>524.50199999999995</v>
      </c>
      <c r="F64" s="81">
        <v>512</v>
      </c>
      <c r="G64" s="11">
        <f t="shared" si="1"/>
        <v>-12.501999999999953</v>
      </c>
      <c r="H64" s="11">
        <f>IFERROR(IF(Yearending&gt;B63,'5. Historical demand'!F64-'5. Historical demand'!C64-'5. Historical demand'!D64,""),"")</f>
        <v>9.1999999999999886</v>
      </c>
      <c r="I64" s="11">
        <f t="shared" si="2"/>
        <v>-21.701999999999941</v>
      </c>
    </row>
    <row r="65" spans="2:9">
      <c r="B65" s="192">
        <f t="shared" si="0"/>
        <v>45496</v>
      </c>
      <c r="C65" s="81">
        <v>502.8</v>
      </c>
      <c r="D65" s="81"/>
      <c r="E65" s="81">
        <v>588.26599999999996</v>
      </c>
      <c r="F65" s="81">
        <v>512</v>
      </c>
      <c r="G65" s="11">
        <f t="shared" si="1"/>
        <v>-76.265999999999963</v>
      </c>
      <c r="H65" s="11">
        <f>IFERROR(IF(Yearending&gt;B64,'5. Historical demand'!F65-'5. Historical demand'!C65-'5. Historical demand'!D65,""),"")</f>
        <v>9.1999999999999886</v>
      </c>
      <c r="I65" s="11">
        <f t="shared" si="2"/>
        <v>-85.465999999999951</v>
      </c>
    </row>
    <row r="66" spans="2:9">
      <c r="B66" s="192">
        <f t="shared" si="0"/>
        <v>45497</v>
      </c>
      <c r="C66" s="81">
        <v>502.8</v>
      </c>
      <c r="D66" s="81"/>
      <c r="E66" s="81">
        <v>545.18499999999995</v>
      </c>
      <c r="F66" s="81">
        <v>512</v>
      </c>
      <c r="G66" s="11">
        <f t="shared" si="1"/>
        <v>-33.184999999999945</v>
      </c>
      <c r="H66" s="11">
        <f>IFERROR(IF(Yearending&gt;B65,'5. Historical demand'!F66-'5. Historical demand'!C66-'5. Historical demand'!D66,""),"")</f>
        <v>9.1999999999999886</v>
      </c>
      <c r="I66" s="11">
        <f t="shared" si="2"/>
        <v>-42.384999999999934</v>
      </c>
    </row>
    <row r="67" spans="2:9">
      <c r="B67" s="192">
        <f t="shared" si="0"/>
        <v>45498</v>
      </c>
      <c r="C67" s="81">
        <v>502.8</v>
      </c>
      <c r="D67" s="81"/>
      <c r="E67" s="81">
        <v>516.04499999999996</v>
      </c>
      <c r="F67" s="81">
        <v>512</v>
      </c>
      <c r="G67" s="11">
        <f t="shared" si="1"/>
        <v>-4.0449999999999591</v>
      </c>
      <c r="H67" s="11">
        <f>IFERROR(IF(Yearending&gt;B66,'5. Historical demand'!F67-'5. Historical demand'!C67-'5. Historical demand'!D67,""),"")</f>
        <v>9.1999999999999886</v>
      </c>
      <c r="I67" s="11">
        <f t="shared" si="2"/>
        <v>-13.244999999999948</v>
      </c>
    </row>
    <row r="68" spans="2:9">
      <c r="B68" s="192">
        <f t="shared" si="0"/>
        <v>45499</v>
      </c>
      <c r="C68" s="81">
        <v>502.8</v>
      </c>
      <c r="D68" s="81"/>
      <c r="E68" s="81">
        <v>569.66100000000006</v>
      </c>
      <c r="F68" s="81">
        <v>512</v>
      </c>
      <c r="G68" s="11">
        <f t="shared" si="1"/>
        <v>-57.661000000000058</v>
      </c>
      <c r="H68" s="11">
        <f>IFERROR(IF(Yearending&gt;B67,'5. Historical demand'!F68-'5. Historical demand'!C68-'5. Historical demand'!D68,""),"")</f>
        <v>9.1999999999999886</v>
      </c>
      <c r="I68" s="11">
        <f t="shared" si="2"/>
        <v>-66.861000000000047</v>
      </c>
    </row>
    <row r="69" spans="2:9">
      <c r="B69" s="192">
        <f t="shared" si="0"/>
        <v>45500</v>
      </c>
      <c r="C69" s="81">
        <v>502.8</v>
      </c>
      <c r="D69" s="81"/>
      <c r="E69" s="81">
        <v>499.18399999999997</v>
      </c>
      <c r="F69" s="81">
        <v>512</v>
      </c>
      <c r="G69" s="11">
        <f t="shared" si="1"/>
        <v>12.816000000000031</v>
      </c>
      <c r="H69" s="11">
        <f>IFERROR(IF(Yearending&gt;B68,'5. Historical demand'!F69-'5. Historical demand'!C69-'5. Historical demand'!D69,""),"")</f>
        <v>9.1999999999999886</v>
      </c>
      <c r="I69" s="11">
        <f t="shared" si="2"/>
        <v>3.6160000000000423</v>
      </c>
    </row>
    <row r="70" spans="2:9">
      <c r="B70" s="192">
        <f t="shared" si="0"/>
        <v>45501</v>
      </c>
      <c r="C70" s="81">
        <v>502.8</v>
      </c>
      <c r="D70" s="81"/>
      <c r="E70" s="81">
        <v>545.42499999999995</v>
      </c>
      <c r="F70" s="81">
        <v>512</v>
      </c>
      <c r="G70" s="11">
        <f t="shared" si="1"/>
        <v>-33.424999999999955</v>
      </c>
      <c r="H70" s="11">
        <f>IFERROR(IF(Yearending&gt;B69,'5. Historical demand'!F70-'5. Historical demand'!C70-'5. Historical demand'!D70,""),"")</f>
        <v>9.1999999999999886</v>
      </c>
      <c r="I70" s="11">
        <f t="shared" si="2"/>
        <v>-42.624999999999943</v>
      </c>
    </row>
    <row r="71" spans="2:9">
      <c r="B71" s="192">
        <f t="shared" si="0"/>
        <v>45502</v>
      </c>
      <c r="C71" s="81">
        <v>502.8</v>
      </c>
      <c r="D71" s="81"/>
      <c r="E71" s="81">
        <v>539.02600000000007</v>
      </c>
      <c r="F71" s="81">
        <v>512</v>
      </c>
      <c r="G71" s="11">
        <f t="shared" si="1"/>
        <v>-27.026000000000067</v>
      </c>
      <c r="H71" s="11">
        <f>IFERROR(IF(Yearending&gt;B70,'5. Historical demand'!F71-'5. Historical demand'!C71-'5. Historical demand'!D71,""),"")</f>
        <v>9.1999999999999886</v>
      </c>
      <c r="I71" s="11">
        <f t="shared" si="2"/>
        <v>-36.226000000000056</v>
      </c>
    </row>
    <row r="72" spans="2:9">
      <c r="B72" s="192">
        <f t="shared" si="0"/>
        <v>45503</v>
      </c>
      <c r="C72" s="81">
        <v>502.8</v>
      </c>
      <c r="D72" s="81"/>
      <c r="E72" s="81">
        <v>449.02299999999997</v>
      </c>
      <c r="F72" s="81">
        <v>512</v>
      </c>
      <c r="G72" s="11">
        <f t="shared" si="1"/>
        <v>62.977000000000032</v>
      </c>
      <c r="H72" s="11">
        <f>IFERROR(IF(Yearending&gt;B71,'5. Historical demand'!F72-'5. Historical demand'!C72-'5. Historical demand'!D72,""),"")</f>
        <v>9.1999999999999886</v>
      </c>
      <c r="I72" s="11">
        <f t="shared" si="2"/>
        <v>53.777000000000044</v>
      </c>
    </row>
    <row r="73" spans="2:9">
      <c r="B73" s="192">
        <f t="shared" si="0"/>
        <v>45504</v>
      </c>
      <c r="C73" s="81">
        <v>502.8</v>
      </c>
      <c r="D73" s="81"/>
      <c r="E73" s="81">
        <v>523.07100000000003</v>
      </c>
      <c r="F73" s="81">
        <v>512</v>
      </c>
      <c r="G73" s="11">
        <f t="shared" si="1"/>
        <v>-11.071000000000026</v>
      </c>
      <c r="H73" s="11">
        <f>IFERROR(IF(Yearending&gt;B72,'5. Historical demand'!F73-'5. Historical demand'!C73-'5. Historical demand'!D73,""),"")</f>
        <v>9.1999999999999886</v>
      </c>
      <c r="I73" s="11">
        <f t="shared" si="2"/>
        <v>-20.271000000000015</v>
      </c>
    </row>
    <row r="74" spans="2:9">
      <c r="B74" s="192">
        <f t="shared" si="0"/>
        <v>45505</v>
      </c>
      <c r="C74" s="81">
        <v>502.8</v>
      </c>
      <c r="D74" s="81"/>
      <c r="E74" s="81">
        <v>498.851</v>
      </c>
      <c r="F74" s="81">
        <v>512</v>
      </c>
      <c r="G74" s="11">
        <f t="shared" si="1"/>
        <v>13.149000000000001</v>
      </c>
      <c r="H74" s="11">
        <f>IFERROR(IF(Yearending&gt;B73,'5. Historical demand'!F74-'5. Historical demand'!C74-'5. Historical demand'!D74,""),"")</f>
        <v>9.1999999999999886</v>
      </c>
      <c r="I74" s="11">
        <f t="shared" si="2"/>
        <v>3.9490000000000123</v>
      </c>
    </row>
    <row r="75" spans="2:9">
      <c r="B75" s="192">
        <f t="shared" si="0"/>
        <v>45506</v>
      </c>
      <c r="C75" s="81">
        <v>502.8</v>
      </c>
      <c r="D75" s="81"/>
      <c r="E75" s="81">
        <v>503.64699999999999</v>
      </c>
      <c r="F75" s="81">
        <v>512</v>
      </c>
      <c r="G75" s="11">
        <f t="shared" si="1"/>
        <v>8.3530000000000086</v>
      </c>
      <c r="H75" s="11">
        <f>IFERROR(IF(Yearending&gt;B74,'5. Historical demand'!F75-'5. Historical demand'!C75-'5. Historical demand'!D75,""),"")</f>
        <v>9.1999999999999886</v>
      </c>
      <c r="I75" s="11">
        <f t="shared" si="2"/>
        <v>-0.84699999999997999</v>
      </c>
    </row>
    <row r="76" spans="2:9">
      <c r="B76" s="192">
        <f t="shared" si="0"/>
        <v>45507</v>
      </c>
      <c r="C76" s="81">
        <v>502.8</v>
      </c>
      <c r="D76" s="81"/>
      <c r="E76" s="81">
        <v>410.476</v>
      </c>
      <c r="F76" s="81">
        <v>512</v>
      </c>
      <c r="G76" s="11">
        <f t="shared" si="1"/>
        <v>101.524</v>
      </c>
      <c r="H76" s="11">
        <f>IFERROR(IF(Yearending&gt;B75,'5. Historical demand'!F76-'5. Historical demand'!C76-'5. Historical demand'!D76,""),"")</f>
        <v>9.1999999999999886</v>
      </c>
      <c r="I76" s="11">
        <f t="shared" si="2"/>
        <v>92.324000000000012</v>
      </c>
    </row>
    <row r="77" spans="2:9">
      <c r="B77" s="192">
        <f t="shared" si="0"/>
        <v>45508</v>
      </c>
      <c r="C77" s="81">
        <v>502.8</v>
      </c>
      <c r="D77" s="81"/>
      <c r="E77" s="81">
        <v>417.86300000000006</v>
      </c>
      <c r="F77" s="81">
        <v>512</v>
      </c>
      <c r="G77" s="11">
        <f t="shared" si="1"/>
        <v>94.136999999999944</v>
      </c>
      <c r="H77" s="11">
        <f>IFERROR(IF(Yearending&gt;B76,'5. Historical demand'!F77-'5. Historical demand'!C77-'5. Historical demand'!D77,""),"")</f>
        <v>9.1999999999999886</v>
      </c>
      <c r="I77" s="11">
        <f t="shared" si="2"/>
        <v>84.936999999999955</v>
      </c>
    </row>
    <row r="78" spans="2:9">
      <c r="B78" s="192">
        <f t="shared" si="0"/>
        <v>45509</v>
      </c>
      <c r="C78" s="81">
        <v>502.8</v>
      </c>
      <c r="D78" s="81"/>
      <c r="E78" s="81">
        <v>496.13599999999997</v>
      </c>
      <c r="F78" s="81">
        <v>512</v>
      </c>
      <c r="G78" s="11">
        <f t="shared" si="1"/>
        <v>15.864000000000033</v>
      </c>
      <c r="H78" s="11">
        <f>IFERROR(IF(Yearending&gt;B77,'5. Historical demand'!F78-'5. Historical demand'!C78-'5. Historical demand'!D78,""),"")</f>
        <v>9.1999999999999886</v>
      </c>
      <c r="I78" s="11">
        <f t="shared" si="2"/>
        <v>6.6640000000000441</v>
      </c>
    </row>
    <row r="79" spans="2:9">
      <c r="B79" s="192">
        <f t="shared" si="0"/>
        <v>45510</v>
      </c>
      <c r="C79" s="81">
        <v>502.8</v>
      </c>
      <c r="D79" s="81"/>
      <c r="E79" s="81">
        <v>473.01500000000004</v>
      </c>
      <c r="F79" s="81">
        <v>512</v>
      </c>
      <c r="G79" s="11">
        <f t="shared" si="1"/>
        <v>38.984999999999957</v>
      </c>
      <c r="H79" s="11">
        <f>IFERROR(IF(Yearending&gt;B78,'5. Historical demand'!F79-'5. Historical demand'!C79-'5. Historical demand'!D79,""),"")</f>
        <v>9.1999999999999886</v>
      </c>
      <c r="I79" s="11">
        <f t="shared" si="2"/>
        <v>29.784999999999968</v>
      </c>
    </row>
    <row r="80" spans="2:9">
      <c r="B80" s="192">
        <f t="shared" si="0"/>
        <v>45511</v>
      </c>
      <c r="C80" s="81">
        <v>502.8</v>
      </c>
      <c r="D80" s="81"/>
      <c r="E80" s="81">
        <v>506.89700000000005</v>
      </c>
      <c r="F80" s="81">
        <v>512</v>
      </c>
      <c r="G80" s="11">
        <f t="shared" si="1"/>
        <v>5.1029999999999518</v>
      </c>
      <c r="H80" s="11">
        <f>IFERROR(IF(Yearending&gt;B79,'5. Historical demand'!F80-'5. Historical demand'!C80-'5. Historical demand'!D80,""),"")</f>
        <v>9.1999999999999886</v>
      </c>
      <c r="I80" s="11">
        <f t="shared" si="2"/>
        <v>-4.0970000000000368</v>
      </c>
    </row>
    <row r="81" spans="2:9">
      <c r="B81" s="192">
        <f t="shared" si="0"/>
        <v>45512</v>
      </c>
      <c r="C81" s="81">
        <v>502.8</v>
      </c>
      <c r="D81" s="81"/>
      <c r="E81" s="81">
        <v>477.52600000000001</v>
      </c>
      <c r="F81" s="81">
        <v>512</v>
      </c>
      <c r="G81" s="11">
        <f t="shared" si="1"/>
        <v>34.47399999999999</v>
      </c>
      <c r="H81" s="11">
        <f>IFERROR(IF(Yearending&gt;B80,'5. Historical demand'!F81-'5. Historical demand'!C81-'5. Historical demand'!D81,""),"")</f>
        <v>9.1999999999999886</v>
      </c>
      <c r="I81" s="11">
        <f t="shared" si="2"/>
        <v>25.274000000000001</v>
      </c>
    </row>
    <row r="82" spans="2:9">
      <c r="B82" s="192">
        <f t="shared" si="0"/>
        <v>45513</v>
      </c>
      <c r="C82" s="81">
        <v>502.8</v>
      </c>
      <c r="D82" s="81"/>
      <c r="E82" s="81">
        <v>572.29</v>
      </c>
      <c r="F82" s="81">
        <v>512</v>
      </c>
      <c r="G82" s="11">
        <f t="shared" si="1"/>
        <v>-60.289999999999964</v>
      </c>
      <c r="H82" s="11">
        <f>IFERROR(IF(Yearending&gt;B81,'5. Historical demand'!F82-'5. Historical demand'!C82-'5. Historical demand'!D82,""),"")</f>
        <v>9.1999999999999886</v>
      </c>
      <c r="I82" s="11">
        <f t="shared" si="2"/>
        <v>-69.489999999999952</v>
      </c>
    </row>
    <row r="83" spans="2:9">
      <c r="B83" s="192">
        <f t="shared" si="0"/>
        <v>45514</v>
      </c>
      <c r="C83" s="81">
        <v>502.8</v>
      </c>
      <c r="D83" s="81"/>
      <c r="E83" s="81">
        <v>478.25799999999998</v>
      </c>
      <c r="F83" s="81">
        <v>512</v>
      </c>
      <c r="G83" s="11">
        <f t="shared" si="1"/>
        <v>33.742000000000019</v>
      </c>
      <c r="H83" s="11">
        <f>IFERROR(IF(Yearending&gt;B82,'5. Historical demand'!F83-'5. Historical demand'!C83-'5. Historical demand'!D83,""),"")</f>
        <v>9.1999999999999886</v>
      </c>
      <c r="I83" s="11">
        <f t="shared" si="2"/>
        <v>24.54200000000003</v>
      </c>
    </row>
    <row r="84" spans="2:9">
      <c r="B84" s="192">
        <f t="shared" si="0"/>
        <v>45515</v>
      </c>
      <c r="C84" s="81">
        <v>502.8</v>
      </c>
      <c r="D84" s="81"/>
      <c r="E84" s="81">
        <v>461.755</v>
      </c>
      <c r="F84" s="81">
        <v>512</v>
      </c>
      <c r="G84" s="11">
        <f t="shared" si="1"/>
        <v>50.245000000000005</v>
      </c>
      <c r="H84" s="11">
        <f>IFERROR(IF(Yearending&gt;B83,'5. Historical demand'!F84-'5. Historical demand'!C84-'5. Historical demand'!D84,""),"")</f>
        <v>9.1999999999999886</v>
      </c>
      <c r="I84" s="11">
        <f t="shared" si="2"/>
        <v>41.045000000000016</v>
      </c>
    </row>
    <row r="85" spans="2:9">
      <c r="B85" s="192">
        <f t="shared" si="0"/>
        <v>45516</v>
      </c>
      <c r="C85" s="81">
        <v>502.8</v>
      </c>
      <c r="D85" s="81"/>
      <c r="E85" s="81">
        <v>470.62099999999998</v>
      </c>
      <c r="F85" s="81">
        <v>512</v>
      </c>
      <c r="G85" s="11">
        <f t="shared" si="1"/>
        <v>41.379000000000019</v>
      </c>
      <c r="H85" s="11">
        <f>IFERROR(IF(Yearending&gt;B84,'5. Historical demand'!F85-'5. Historical demand'!C85-'5. Historical demand'!D85,""),"")</f>
        <v>9.1999999999999886</v>
      </c>
      <c r="I85" s="11">
        <f t="shared" si="2"/>
        <v>32.17900000000003</v>
      </c>
    </row>
    <row r="86" spans="2:9">
      <c r="B86" s="192">
        <f t="shared" si="0"/>
        <v>45517</v>
      </c>
      <c r="C86" s="81">
        <v>502.8</v>
      </c>
      <c r="D86" s="81"/>
      <c r="E86" s="81">
        <v>410.226</v>
      </c>
      <c r="F86" s="81">
        <v>512</v>
      </c>
      <c r="G86" s="11">
        <f t="shared" si="1"/>
        <v>101.774</v>
      </c>
      <c r="H86" s="11">
        <f>IFERROR(IF(Yearending&gt;B85,'5. Historical demand'!F86-'5. Historical demand'!C86-'5. Historical demand'!D86,""),"")</f>
        <v>9.1999999999999886</v>
      </c>
      <c r="I86" s="11">
        <f t="shared" si="2"/>
        <v>92.574000000000012</v>
      </c>
    </row>
    <row r="87" spans="2:9">
      <c r="B87" s="192">
        <f t="shared" si="0"/>
        <v>45518</v>
      </c>
      <c r="C87" s="81">
        <v>502.8</v>
      </c>
      <c r="D87" s="81"/>
      <c r="E87" s="81">
        <v>398.53100000000001</v>
      </c>
      <c r="F87" s="81">
        <v>512</v>
      </c>
      <c r="G87" s="11">
        <f t="shared" si="1"/>
        <v>113.46899999999999</v>
      </c>
      <c r="H87" s="11">
        <f>IFERROR(IF(Yearending&gt;B86,'5. Historical demand'!F87-'5. Historical demand'!C87-'5. Historical demand'!D87,""),"")</f>
        <v>9.1999999999999886</v>
      </c>
      <c r="I87" s="11">
        <f t="shared" si="2"/>
        <v>104.26900000000001</v>
      </c>
    </row>
    <row r="88" spans="2:9">
      <c r="B88" s="192">
        <f t="shared" si="0"/>
        <v>45519</v>
      </c>
      <c r="C88" s="81">
        <v>502.8</v>
      </c>
      <c r="D88" s="81"/>
      <c r="E88" s="81">
        <v>383.26299999999998</v>
      </c>
      <c r="F88" s="81">
        <v>512</v>
      </c>
      <c r="G88" s="11">
        <f t="shared" si="1"/>
        <v>128.73700000000002</v>
      </c>
      <c r="H88" s="11">
        <f>IFERROR(IF(Yearending&gt;B87,'5. Historical demand'!F88-'5. Historical demand'!C88-'5. Historical demand'!D88,""),"")</f>
        <v>9.1999999999999886</v>
      </c>
      <c r="I88" s="11">
        <f t="shared" si="2"/>
        <v>119.53700000000003</v>
      </c>
    </row>
    <row r="89" spans="2:9">
      <c r="B89" s="192">
        <f t="shared" si="0"/>
        <v>45520</v>
      </c>
      <c r="C89" s="81">
        <v>502.8</v>
      </c>
      <c r="D89" s="81"/>
      <c r="E89" s="81">
        <v>317.57400000000001</v>
      </c>
      <c r="F89" s="81">
        <v>512</v>
      </c>
      <c r="G89" s="11">
        <f t="shared" si="1"/>
        <v>194.42599999999999</v>
      </c>
      <c r="H89" s="11">
        <f>IFERROR(IF(Yearending&gt;B88,'5. Historical demand'!F89-'5. Historical demand'!C89-'5. Historical demand'!D89,""),"")</f>
        <v>9.1999999999999886</v>
      </c>
      <c r="I89" s="11">
        <f t="shared" si="2"/>
        <v>185.226</v>
      </c>
    </row>
    <row r="90" spans="2:9">
      <c r="B90" s="192">
        <f t="shared" si="0"/>
        <v>45521</v>
      </c>
      <c r="C90" s="81">
        <v>502.8</v>
      </c>
      <c r="D90" s="81"/>
      <c r="E90" s="81">
        <v>308.649</v>
      </c>
      <c r="F90" s="81">
        <v>512</v>
      </c>
      <c r="G90" s="11">
        <f t="shared" si="1"/>
        <v>203.351</v>
      </c>
      <c r="H90" s="11">
        <f>IFERROR(IF(Yearending&gt;B89,'5. Historical demand'!F90-'5. Historical demand'!C90-'5. Historical demand'!D90,""),"")</f>
        <v>9.1999999999999886</v>
      </c>
      <c r="I90" s="11">
        <f t="shared" si="2"/>
        <v>194.15100000000001</v>
      </c>
    </row>
    <row r="91" spans="2:9">
      <c r="B91" s="192">
        <f t="shared" si="0"/>
        <v>45522</v>
      </c>
      <c r="C91" s="81">
        <v>502.8</v>
      </c>
      <c r="D91" s="81"/>
      <c r="E91" s="81">
        <v>302.541</v>
      </c>
      <c r="F91" s="81">
        <v>512</v>
      </c>
      <c r="G91" s="11">
        <f t="shared" si="1"/>
        <v>209.459</v>
      </c>
      <c r="H91" s="11">
        <f>IFERROR(IF(Yearending&gt;B90,'5. Historical demand'!F91-'5. Historical demand'!C91-'5. Historical demand'!D91,""),"")</f>
        <v>9.1999999999999886</v>
      </c>
      <c r="I91" s="11">
        <f t="shared" si="2"/>
        <v>200.25900000000001</v>
      </c>
    </row>
    <row r="92" spans="2:9">
      <c r="B92" s="192">
        <f t="shared" si="0"/>
        <v>45523</v>
      </c>
      <c r="C92" s="81">
        <v>502.8</v>
      </c>
      <c r="D92" s="81"/>
      <c r="E92" s="81">
        <v>551.29399999999998</v>
      </c>
      <c r="F92" s="81">
        <v>512</v>
      </c>
      <c r="G92" s="11">
        <f t="shared" si="1"/>
        <v>-39.293999999999983</v>
      </c>
      <c r="H92" s="11">
        <f>IFERROR(IF(Yearending&gt;B91,'5. Historical demand'!F92-'5. Historical demand'!C92-'5. Historical demand'!D92,""),"")</f>
        <v>9.1999999999999886</v>
      </c>
      <c r="I92" s="11">
        <f t="shared" si="2"/>
        <v>-48.493999999999971</v>
      </c>
    </row>
    <row r="93" spans="2:9">
      <c r="B93" s="192">
        <f t="shared" si="0"/>
        <v>45524</v>
      </c>
      <c r="C93" s="81">
        <v>502.8</v>
      </c>
      <c r="D93" s="81"/>
      <c r="E93" s="81">
        <v>403.28000000000003</v>
      </c>
      <c r="F93" s="81">
        <v>512</v>
      </c>
      <c r="G93" s="11">
        <f t="shared" si="1"/>
        <v>108.71999999999997</v>
      </c>
      <c r="H93" s="11">
        <f>IFERROR(IF(Yearending&gt;B92,'5. Historical demand'!F93-'5. Historical demand'!C93-'5. Historical demand'!D93,""),"")</f>
        <v>9.1999999999999886</v>
      </c>
      <c r="I93" s="11">
        <f t="shared" si="2"/>
        <v>99.519999999999982</v>
      </c>
    </row>
    <row r="94" spans="2:9">
      <c r="B94" s="192">
        <f t="shared" si="0"/>
        <v>45525</v>
      </c>
      <c r="C94" s="81">
        <v>502.8</v>
      </c>
      <c r="D94" s="81"/>
      <c r="E94" s="81">
        <v>369.99299999999999</v>
      </c>
      <c r="F94" s="81">
        <v>512</v>
      </c>
      <c r="G94" s="11">
        <f t="shared" si="1"/>
        <v>142.00700000000001</v>
      </c>
      <c r="H94" s="11">
        <f>IFERROR(IF(Yearending&gt;B93,'5. Historical demand'!F94-'5. Historical demand'!C94-'5. Historical demand'!D94,""),"")</f>
        <v>9.1999999999999886</v>
      </c>
      <c r="I94" s="11">
        <f t="shared" si="2"/>
        <v>132.80700000000002</v>
      </c>
    </row>
    <row r="95" spans="2:9">
      <c r="B95" s="192">
        <f t="shared" si="0"/>
        <v>45526</v>
      </c>
      <c r="C95" s="81">
        <v>502.8</v>
      </c>
      <c r="D95" s="81"/>
      <c r="E95" s="81">
        <v>425.51099999999997</v>
      </c>
      <c r="F95" s="81">
        <v>512</v>
      </c>
      <c r="G95" s="11">
        <f t="shared" si="1"/>
        <v>86.489000000000033</v>
      </c>
      <c r="H95" s="11">
        <f>IFERROR(IF(Yearending&gt;B94,'5. Historical demand'!F95-'5. Historical demand'!C95-'5. Historical demand'!D95,""),"")</f>
        <v>9.1999999999999886</v>
      </c>
      <c r="I95" s="11">
        <f t="shared" si="2"/>
        <v>77.289000000000044</v>
      </c>
    </row>
    <row r="96" spans="2:9">
      <c r="B96" s="192">
        <f t="shared" si="0"/>
        <v>45527</v>
      </c>
      <c r="C96" s="81">
        <v>502.8</v>
      </c>
      <c r="D96" s="81"/>
      <c r="E96" s="81">
        <v>349.125</v>
      </c>
      <c r="F96" s="81">
        <v>512</v>
      </c>
      <c r="G96" s="11">
        <f t="shared" si="1"/>
        <v>162.875</v>
      </c>
      <c r="H96" s="11">
        <f>IFERROR(IF(Yearending&gt;B95,'5. Historical demand'!F96-'5. Historical demand'!C96-'5. Historical demand'!D96,""),"")</f>
        <v>9.1999999999999886</v>
      </c>
      <c r="I96" s="11">
        <f t="shared" si="2"/>
        <v>153.67500000000001</v>
      </c>
    </row>
    <row r="97" spans="2:9">
      <c r="B97" s="192">
        <f t="shared" si="0"/>
        <v>45528</v>
      </c>
      <c r="C97" s="81">
        <v>502.8</v>
      </c>
      <c r="D97" s="81"/>
      <c r="E97" s="81">
        <v>147.58100000000002</v>
      </c>
      <c r="F97" s="81">
        <v>512</v>
      </c>
      <c r="G97" s="11">
        <f t="shared" si="1"/>
        <v>364.41899999999998</v>
      </c>
      <c r="H97" s="11">
        <f>IFERROR(IF(Yearending&gt;B96,'5. Historical demand'!F97-'5. Historical demand'!C97-'5. Historical demand'!D97,""),"")</f>
        <v>9.1999999999999886</v>
      </c>
      <c r="I97" s="11">
        <f t="shared" si="2"/>
        <v>355.21899999999999</v>
      </c>
    </row>
    <row r="98" spans="2:9">
      <c r="B98" s="192">
        <f t="shared" si="0"/>
        <v>45529</v>
      </c>
      <c r="C98" s="81">
        <v>502.8</v>
      </c>
      <c r="D98" s="81"/>
      <c r="E98" s="81">
        <v>143.46899999999999</v>
      </c>
      <c r="F98" s="81">
        <v>512</v>
      </c>
      <c r="G98" s="11">
        <f t="shared" si="1"/>
        <v>368.53100000000001</v>
      </c>
      <c r="H98" s="11">
        <f>IFERROR(IF(Yearending&gt;B97,'5. Historical demand'!F98-'5. Historical demand'!C98-'5. Historical demand'!D98,""),"")</f>
        <v>9.1999999999999886</v>
      </c>
      <c r="I98" s="11">
        <f t="shared" si="2"/>
        <v>359.33100000000002</v>
      </c>
    </row>
    <row r="99" spans="2:9">
      <c r="B99" s="192">
        <f t="shared" si="0"/>
        <v>45530</v>
      </c>
      <c r="C99" s="81">
        <v>502.8</v>
      </c>
      <c r="D99" s="81"/>
      <c r="E99" s="81">
        <v>328.21199999999999</v>
      </c>
      <c r="F99" s="81">
        <v>512</v>
      </c>
      <c r="G99" s="11">
        <f t="shared" si="1"/>
        <v>183.78800000000001</v>
      </c>
      <c r="H99" s="11">
        <f>IFERROR(IF(Yearending&gt;B98,'5. Historical demand'!F99-'5. Historical demand'!C99-'5. Historical demand'!D99,""),"")</f>
        <v>9.1999999999999886</v>
      </c>
      <c r="I99" s="11">
        <f t="shared" si="2"/>
        <v>174.58800000000002</v>
      </c>
    </row>
    <row r="100" spans="2:9">
      <c r="B100" s="192">
        <f t="shared" si="0"/>
        <v>45531</v>
      </c>
      <c r="C100" s="81">
        <v>502.8</v>
      </c>
      <c r="D100" s="81"/>
      <c r="E100" s="81">
        <v>350.976</v>
      </c>
      <c r="F100" s="81">
        <v>512</v>
      </c>
      <c r="G100" s="11">
        <f t="shared" si="1"/>
        <v>161.024</v>
      </c>
      <c r="H100" s="11">
        <f>IFERROR(IF(Yearending&gt;B99,'5. Historical demand'!F100-'5. Historical demand'!C100-'5. Historical demand'!D100,""),"")</f>
        <v>9.1999999999999886</v>
      </c>
      <c r="I100" s="11">
        <f t="shared" si="2"/>
        <v>151.82400000000001</v>
      </c>
    </row>
    <row r="101" spans="2:9">
      <c r="B101" s="192">
        <f t="shared" si="0"/>
        <v>45532</v>
      </c>
      <c r="C101" s="81">
        <v>502.8</v>
      </c>
      <c r="D101" s="81"/>
      <c r="E101" s="81">
        <v>217.26900000000001</v>
      </c>
      <c r="F101" s="81">
        <v>512</v>
      </c>
      <c r="G101" s="11">
        <f t="shared" si="1"/>
        <v>294.73099999999999</v>
      </c>
      <c r="H101" s="11">
        <f>IFERROR(IF(Yearending&gt;B100,'5. Historical demand'!F101-'5. Historical demand'!C101-'5. Historical demand'!D101,""),"")</f>
        <v>9.1999999999999886</v>
      </c>
      <c r="I101" s="11">
        <f t="shared" si="2"/>
        <v>285.53100000000001</v>
      </c>
    </row>
    <row r="102" spans="2:9">
      <c r="B102" s="192">
        <f t="shared" si="0"/>
        <v>45533</v>
      </c>
      <c r="C102" s="81">
        <v>502.8</v>
      </c>
      <c r="D102" s="81"/>
      <c r="E102" s="81">
        <v>311.58699999999999</v>
      </c>
      <c r="F102" s="81">
        <v>512</v>
      </c>
      <c r="G102" s="11">
        <f t="shared" si="1"/>
        <v>200.41300000000001</v>
      </c>
      <c r="H102" s="11">
        <f>IFERROR(IF(Yearending&gt;B101,'5. Historical demand'!F102-'5. Historical demand'!C102-'5. Historical demand'!D102,""),"")</f>
        <v>9.1999999999999886</v>
      </c>
      <c r="I102" s="11">
        <f t="shared" si="2"/>
        <v>191.21300000000002</v>
      </c>
    </row>
    <row r="103" spans="2:9">
      <c r="B103" s="192">
        <f t="shared" si="0"/>
        <v>45534</v>
      </c>
      <c r="C103" s="81">
        <v>502.8</v>
      </c>
      <c r="D103" s="81"/>
      <c r="E103" s="81">
        <v>285.36700000000002</v>
      </c>
      <c r="F103" s="81">
        <v>512</v>
      </c>
      <c r="G103" s="11">
        <f t="shared" si="1"/>
        <v>226.63299999999998</v>
      </c>
      <c r="H103" s="11">
        <f>IFERROR(IF(Yearending&gt;B102,'5. Historical demand'!F103-'5. Historical demand'!C103-'5. Historical demand'!D103,""),"")</f>
        <v>9.1999999999999886</v>
      </c>
      <c r="I103" s="11">
        <f t="shared" si="2"/>
        <v>217.43299999999999</v>
      </c>
    </row>
    <row r="104" spans="2:9">
      <c r="B104" s="192">
        <f t="shared" si="0"/>
        <v>45535</v>
      </c>
      <c r="C104" s="81">
        <v>502.8</v>
      </c>
      <c r="D104" s="81"/>
      <c r="E104" s="81">
        <v>133.87</v>
      </c>
      <c r="F104" s="81">
        <v>512</v>
      </c>
      <c r="G104" s="11">
        <f t="shared" si="1"/>
        <v>378.13</v>
      </c>
      <c r="H104" s="11">
        <f>IFERROR(IF(Yearending&gt;B103,'5. Historical demand'!F104-'5. Historical demand'!C104-'5. Historical demand'!D104,""),"")</f>
        <v>9.1999999999999886</v>
      </c>
      <c r="I104" s="11">
        <f t="shared" si="2"/>
        <v>368.93</v>
      </c>
    </row>
    <row r="105" spans="2:9">
      <c r="B105" s="192">
        <f t="shared" si="0"/>
        <v>45536</v>
      </c>
      <c r="C105" s="81">
        <v>492.8</v>
      </c>
      <c r="D105" s="81"/>
      <c r="E105" s="81">
        <v>171.68600000000001</v>
      </c>
      <c r="F105" s="81">
        <v>512</v>
      </c>
      <c r="G105" s="11">
        <f t="shared" si="1"/>
        <v>340.31399999999996</v>
      </c>
      <c r="H105" s="11">
        <f>IFERROR(IF(Yearending&gt;B104,'5. Historical demand'!F105-'5. Historical demand'!C105-'5. Historical demand'!D105,""),"")</f>
        <v>19.199999999999989</v>
      </c>
      <c r="I105" s="11">
        <f t="shared" si="2"/>
        <v>321.11400000000003</v>
      </c>
    </row>
    <row r="106" spans="2:9">
      <c r="B106" s="192">
        <f t="shared" si="0"/>
        <v>45537</v>
      </c>
      <c r="C106" s="81">
        <v>492.8</v>
      </c>
      <c r="D106" s="81"/>
      <c r="E106" s="81">
        <v>456.08100000000002</v>
      </c>
      <c r="F106" s="81">
        <v>512</v>
      </c>
      <c r="G106" s="11">
        <f t="shared" si="1"/>
        <v>55.918999999999983</v>
      </c>
      <c r="H106" s="11">
        <f>IFERROR(IF(Yearending&gt;B105,'5. Historical demand'!F106-'5. Historical demand'!C106-'5. Historical demand'!D106,""),"")</f>
        <v>19.199999999999989</v>
      </c>
      <c r="I106" s="11">
        <f t="shared" si="2"/>
        <v>36.718999999999994</v>
      </c>
    </row>
    <row r="107" spans="2:9">
      <c r="B107" s="192">
        <f t="shared" si="0"/>
        <v>45538</v>
      </c>
      <c r="C107" s="81">
        <v>492.8</v>
      </c>
      <c r="D107" s="81"/>
      <c r="E107" s="81">
        <v>364.51800000000003</v>
      </c>
      <c r="F107" s="81">
        <v>512</v>
      </c>
      <c r="G107" s="11">
        <f t="shared" si="1"/>
        <v>147.48199999999997</v>
      </c>
      <c r="H107" s="11">
        <f>IFERROR(IF(Yearending&gt;B106,'5. Historical demand'!F107-'5. Historical demand'!C107-'5. Historical demand'!D107,""),"")</f>
        <v>19.199999999999989</v>
      </c>
      <c r="I107" s="11">
        <f t="shared" si="2"/>
        <v>128.28199999999998</v>
      </c>
    </row>
    <row r="108" spans="2:9">
      <c r="B108" s="192">
        <f t="shared" ref="B108:B171" si="3">IFERROR(IF(Yearending&gt;B107, B107+1, ""),"")</f>
        <v>45539</v>
      </c>
      <c r="C108" s="81">
        <v>492.8</v>
      </c>
      <c r="D108" s="81"/>
      <c r="E108" s="81">
        <v>385.77300000000002</v>
      </c>
      <c r="F108" s="81">
        <v>512</v>
      </c>
      <c r="G108" s="11">
        <f t="shared" ref="G108:G171" si="4">IFERROR(IF(Yearending&gt;B107,F108-E108,""),"")</f>
        <v>126.22699999999998</v>
      </c>
      <c r="H108" s="11">
        <f>IFERROR(IF(Yearending&gt;B107,'5. Historical demand'!F108-'5. Historical demand'!C108-'5. Historical demand'!D108,""),"")</f>
        <v>19.199999999999989</v>
      </c>
      <c r="I108" s="11">
        <f t="shared" ref="I108:I171" si="5">IFERROR(IF(Yearending&gt;B107,C108+D108-E108,""),"")</f>
        <v>107.02699999999999</v>
      </c>
    </row>
    <row r="109" spans="2:9">
      <c r="B109" s="192">
        <f t="shared" si="3"/>
        <v>45540</v>
      </c>
      <c r="C109" s="81">
        <v>492.8</v>
      </c>
      <c r="D109" s="81"/>
      <c r="E109" s="81">
        <v>356.32899999999995</v>
      </c>
      <c r="F109" s="81">
        <v>512</v>
      </c>
      <c r="G109" s="11">
        <f t="shared" si="4"/>
        <v>155.67100000000005</v>
      </c>
      <c r="H109" s="11">
        <f>IFERROR(IF(Yearending&gt;B108,'5. Historical demand'!F109-'5. Historical demand'!C109-'5. Historical demand'!D109,""),"")</f>
        <v>19.199999999999989</v>
      </c>
      <c r="I109" s="11">
        <f t="shared" si="5"/>
        <v>136.47100000000006</v>
      </c>
    </row>
    <row r="110" spans="2:9">
      <c r="B110" s="192">
        <f t="shared" si="3"/>
        <v>45541</v>
      </c>
      <c r="C110" s="81">
        <v>492.8</v>
      </c>
      <c r="D110" s="81"/>
      <c r="E110" s="81">
        <v>279.5</v>
      </c>
      <c r="F110" s="81">
        <v>512</v>
      </c>
      <c r="G110" s="11">
        <f t="shared" si="4"/>
        <v>232.5</v>
      </c>
      <c r="H110" s="11">
        <f>IFERROR(IF(Yearending&gt;B109,'5. Historical demand'!F110-'5. Historical demand'!C110-'5. Historical demand'!D110,""),"")</f>
        <v>19.199999999999989</v>
      </c>
      <c r="I110" s="11">
        <f t="shared" si="5"/>
        <v>213.3</v>
      </c>
    </row>
    <row r="111" spans="2:9">
      <c r="B111" s="192">
        <f t="shared" si="3"/>
        <v>45542</v>
      </c>
      <c r="C111" s="81">
        <v>492.8</v>
      </c>
      <c r="D111" s="81"/>
      <c r="E111" s="81">
        <v>256.85199999999998</v>
      </c>
      <c r="F111" s="81">
        <v>512</v>
      </c>
      <c r="G111" s="11">
        <f t="shared" si="4"/>
        <v>255.14800000000002</v>
      </c>
      <c r="H111" s="11">
        <f>IFERROR(IF(Yearending&gt;B110,'5. Historical demand'!F111-'5. Historical demand'!C111-'5. Historical demand'!D111,""),"")</f>
        <v>19.199999999999989</v>
      </c>
      <c r="I111" s="11">
        <f t="shared" si="5"/>
        <v>235.94800000000004</v>
      </c>
    </row>
    <row r="112" spans="2:9">
      <c r="B112" s="192">
        <f t="shared" si="3"/>
        <v>45543</v>
      </c>
      <c r="C112" s="81">
        <v>492.8</v>
      </c>
      <c r="D112" s="81"/>
      <c r="E112" s="81">
        <v>317.03800000000001</v>
      </c>
      <c r="F112" s="81">
        <v>512</v>
      </c>
      <c r="G112" s="11">
        <f t="shared" si="4"/>
        <v>194.96199999999999</v>
      </c>
      <c r="H112" s="11">
        <f>IFERROR(IF(Yearending&gt;B111,'5. Historical demand'!F112-'5. Historical demand'!C112-'5. Historical demand'!D112,""),"")</f>
        <v>19.199999999999989</v>
      </c>
      <c r="I112" s="11">
        <f t="shared" si="5"/>
        <v>175.762</v>
      </c>
    </row>
    <row r="113" spans="2:9">
      <c r="B113" s="192">
        <f t="shared" si="3"/>
        <v>45544</v>
      </c>
      <c r="C113" s="81">
        <v>492.8</v>
      </c>
      <c r="D113" s="81"/>
      <c r="E113" s="81">
        <v>281.52600000000001</v>
      </c>
      <c r="F113" s="81">
        <v>512</v>
      </c>
      <c r="G113" s="11">
        <f t="shared" si="4"/>
        <v>230.47399999999999</v>
      </c>
      <c r="H113" s="11">
        <f>IFERROR(IF(Yearending&gt;B112,'5. Historical demand'!F113-'5. Historical demand'!C113-'5. Historical demand'!D113,""),"")</f>
        <v>19.199999999999989</v>
      </c>
      <c r="I113" s="11">
        <f t="shared" si="5"/>
        <v>211.274</v>
      </c>
    </row>
    <row r="114" spans="2:9">
      <c r="B114" s="192">
        <f t="shared" si="3"/>
        <v>45545</v>
      </c>
      <c r="C114" s="81">
        <v>492.8</v>
      </c>
      <c r="D114" s="81"/>
      <c r="E114" s="81">
        <v>319.12599999999998</v>
      </c>
      <c r="F114" s="81">
        <v>512</v>
      </c>
      <c r="G114" s="11">
        <f t="shared" si="4"/>
        <v>192.87400000000002</v>
      </c>
      <c r="H114" s="11">
        <f>IFERROR(IF(Yearending&gt;B113,'5. Historical demand'!F114-'5. Historical demand'!C114-'5. Historical demand'!D114,""),"")</f>
        <v>19.199999999999989</v>
      </c>
      <c r="I114" s="11">
        <f t="shared" si="5"/>
        <v>173.67400000000004</v>
      </c>
    </row>
    <row r="115" spans="2:9">
      <c r="B115" s="192">
        <f t="shared" si="3"/>
        <v>45546</v>
      </c>
      <c r="C115" s="81">
        <v>492.8</v>
      </c>
      <c r="D115" s="81"/>
      <c r="E115" s="81">
        <v>249.91300000000001</v>
      </c>
      <c r="F115" s="81">
        <v>512</v>
      </c>
      <c r="G115" s="11">
        <f t="shared" si="4"/>
        <v>262.08699999999999</v>
      </c>
      <c r="H115" s="11">
        <f>IFERROR(IF(Yearending&gt;B114,'5. Historical demand'!F115-'5. Historical demand'!C115-'5. Historical demand'!D115,""),"")</f>
        <v>19.199999999999989</v>
      </c>
      <c r="I115" s="11">
        <f t="shared" si="5"/>
        <v>242.887</v>
      </c>
    </row>
    <row r="116" spans="2:9">
      <c r="B116" s="192">
        <f t="shared" si="3"/>
        <v>45547</v>
      </c>
      <c r="C116" s="81">
        <v>492.8</v>
      </c>
      <c r="D116" s="81"/>
      <c r="E116" s="81">
        <v>336.55500000000001</v>
      </c>
      <c r="F116" s="81">
        <v>512</v>
      </c>
      <c r="G116" s="11">
        <f t="shared" si="4"/>
        <v>175.44499999999999</v>
      </c>
      <c r="H116" s="11">
        <f>IFERROR(IF(Yearending&gt;B115,'5. Historical demand'!F116-'5. Historical demand'!C116-'5. Historical demand'!D116,""),"")</f>
        <v>19.199999999999989</v>
      </c>
      <c r="I116" s="11">
        <f t="shared" si="5"/>
        <v>156.245</v>
      </c>
    </row>
    <row r="117" spans="2:9">
      <c r="B117" s="192">
        <f t="shared" si="3"/>
        <v>45548</v>
      </c>
      <c r="C117" s="81">
        <v>492.8</v>
      </c>
      <c r="D117" s="81"/>
      <c r="E117" s="81">
        <v>365.34399999999994</v>
      </c>
      <c r="F117" s="81">
        <v>512</v>
      </c>
      <c r="G117" s="11">
        <f t="shared" si="4"/>
        <v>146.65600000000006</v>
      </c>
      <c r="H117" s="11">
        <f>IFERROR(IF(Yearending&gt;B116,'5. Historical demand'!F117-'5. Historical demand'!C117-'5. Historical demand'!D117,""),"")</f>
        <v>19.199999999999989</v>
      </c>
      <c r="I117" s="11">
        <f t="shared" si="5"/>
        <v>127.45600000000007</v>
      </c>
    </row>
    <row r="118" spans="2:9">
      <c r="B118" s="192">
        <f t="shared" si="3"/>
        <v>45549</v>
      </c>
      <c r="C118" s="81">
        <v>492.8</v>
      </c>
      <c r="D118" s="81"/>
      <c r="E118" s="81">
        <v>143.65299999999999</v>
      </c>
      <c r="F118" s="81">
        <v>512</v>
      </c>
      <c r="G118" s="11">
        <f t="shared" si="4"/>
        <v>368.34699999999998</v>
      </c>
      <c r="H118" s="11">
        <f>IFERROR(IF(Yearending&gt;B117,'5. Historical demand'!F118-'5. Historical demand'!C118-'5. Historical demand'!D118,""),"")</f>
        <v>19.199999999999989</v>
      </c>
      <c r="I118" s="11">
        <f t="shared" si="5"/>
        <v>349.14700000000005</v>
      </c>
    </row>
    <row r="119" spans="2:9">
      <c r="B119" s="192">
        <f t="shared" si="3"/>
        <v>45550</v>
      </c>
      <c r="C119" s="81">
        <v>492.8</v>
      </c>
      <c r="D119" s="81"/>
      <c r="E119" s="81">
        <v>301.93899999999996</v>
      </c>
      <c r="F119" s="81">
        <v>512</v>
      </c>
      <c r="G119" s="11">
        <f t="shared" si="4"/>
        <v>210.06100000000004</v>
      </c>
      <c r="H119" s="11">
        <f>IFERROR(IF(Yearending&gt;B118,'5. Historical demand'!F119-'5. Historical demand'!C119-'5. Historical demand'!D119,""),"")</f>
        <v>19.199999999999989</v>
      </c>
      <c r="I119" s="11">
        <f t="shared" si="5"/>
        <v>190.86100000000005</v>
      </c>
    </row>
    <row r="120" spans="2:9">
      <c r="B120" s="192">
        <f t="shared" si="3"/>
        <v>45551</v>
      </c>
      <c r="C120" s="81">
        <v>492.8</v>
      </c>
      <c r="D120" s="81"/>
      <c r="E120" s="81">
        <v>381.75400000000002</v>
      </c>
      <c r="F120" s="81">
        <v>512</v>
      </c>
      <c r="G120" s="11">
        <f t="shared" si="4"/>
        <v>130.24599999999998</v>
      </c>
      <c r="H120" s="11">
        <f>IFERROR(IF(Yearending&gt;B119,'5. Historical demand'!F120-'5. Historical demand'!C120-'5. Historical demand'!D120,""),"")</f>
        <v>19.199999999999989</v>
      </c>
      <c r="I120" s="11">
        <f t="shared" si="5"/>
        <v>111.04599999999999</v>
      </c>
    </row>
    <row r="121" spans="2:9">
      <c r="B121" s="192">
        <f t="shared" si="3"/>
        <v>45552</v>
      </c>
      <c r="C121" s="81">
        <v>492.8</v>
      </c>
      <c r="D121" s="81"/>
      <c r="E121" s="81">
        <v>383.09199999999998</v>
      </c>
      <c r="F121" s="81">
        <v>512</v>
      </c>
      <c r="G121" s="11">
        <f t="shared" si="4"/>
        <v>128.90800000000002</v>
      </c>
      <c r="H121" s="11">
        <f>IFERROR(IF(Yearending&gt;B120,'5. Historical demand'!F121-'5. Historical demand'!C121-'5. Historical demand'!D121,""),"")</f>
        <v>19.199999999999989</v>
      </c>
      <c r="I121" s="11">
        <f t="shared" si="5"/>
        <v>109.70800000000003</v>
      </c>
    </row>
    <row r="122" spans="2:9">
      <c r="B122" s="192">
        <f t="shared" si="3"/>
        <v>45553</v>
      </c>
      <c r="C122" s="81">
        <v>492.8</v>
      </c>
      <c r="D122" s="81"/>
      <c r="E122" s="81">
        <v>318.26099999999997</v>
      </c>
      <c r="F122" s="81">
        <v>512</v>
      </c>
      <c r="G122" s="11">
        <f t="shared" si="4"/>
        <v>193.73900000000003</v>
      </c>
      <c r="H122" s="11">
        <f>IFERROR(IF(Yearending&gt;B121,'5. Historical demand'!F122-'5. Historical demand'!C122-'5. Historical demand'!D122,""),"")</f>
        <v>19.199999999999989</v>
      </c>
      <c r="I122" s="11">
        <f t="shared" si="5"/>
        <v>174.53900000000004</v>
      </c>
    </row>
    <row r="123" spans="2:9">
      <c r="B123" s="192">
        <f t="shared" si="3"/>
        <v>45554</v>
      </c>
      <c r="C123" s="81">
        <v>492.8</v>
      </c>
      <c r="D123" s="81"/>
      <c r="E123" s="81">
        <v>310.65499999999997</v>
      </c>
      <c r="F123" s="81">
        <v>512</v>
      </c>
      <c r="G123" s="11">
        <f t="shared" si="4"/>
        <v>201.34500000000003</v>
      </c>
      <c r="H123" s="11">
        <f>IFERROR(IF(Yearending&gt;B122,'5. Historical demand'!F123-'5. Historical demand'!C123-'5. Historical demand'!D123,""),"")</f>
        <v>19.199999999999989</v>
      </c>
      <c r="I123" s="11">
        <f t="shared" si="5"/>
        <v>182.14500000000004</v>
      </c>
    </row>
    <row r="124" spans="2:9">
      <c r="B124" s="192">
        <f t="shared" si="3"/>
        <v>45555</v>
      </c>
      <c r="C124" s="81">
        <v>492.8</v>
      </c>
      <c r="D124" s="81"/>
      <c r="E124" s="81">
        <v>307.32100000000003</v>
      </c>
      <c r="F124" s="81">
        <v>512</v>
      </c>
      <c r="G124" s="11">
        <f t="shared" si="4"/>
        <v>204.67899999999997</v>
      </c>
      <c r="H124" s="11">
        <f>IFERROR(IF(Yearending&gt;B123,'5. Historical demand'!F124-'5. Historical demand'!C124-'5. Historical demand'!D124,""),"")</f>
        <v>19.199999999999989</v>
      </c>
      <c r="I124" s="11">
        <f t="shared" si="5"/>
        <v>185.47899999999998</v>
      </c>
    </row>
    <row r="125" spans="2:9">
      <c r="B125" s="192">
        <f t="shared" si="3"/>
        <v>45556</v>
      </c>
      <c r="C125" s="81">
        <v>492.8</v>
      </c>
      <c r="D125" s="81"/>
      <c r="E125" s="81">
        <v>260.964</v>
      </c>
      <c r="F125" s="81">
        <v>512</v>
      </c>
      <c r="G125" s="11">
        <f t="shared" si="4"/>
        <v>251.036</v>
      </c>
      <c r="H125" s="11">
        <f>IFERROR(IF(Yearending&gt;B124,'5. Historical demand'!F125-'5. Historical demand'!C125-'5. Historical demand'!D125,""),"")</f>
        <v>19.199999999999989</v>
      </c>
      <c r="I125" s="11">
        <f t="shared" si="5"/>
        <v>231.83600000000001</v>
      </c>
    </row>
    <row r="126" spans="2:9">
      <c r="B126" s="192">
        <f t="shared" si="3"/>
        <v>45557</v>
      </c>
      <c r="C126" s="81">
        <v>492.8</v>
      </c>
      <c r="D126" s="81"/>
      <c r="E126" s="81">
        <v>272.32799999999997</v>
      </c>
      <c r="F126" s="81">
        <v>512</v>
      </c>
      <c r="G126" s="11">
        <f t="shared" si="4"/>
        <v>239.67200000000003</v>
      </c>
      <c r="H126" s="11">
        <f>IFERROR(IF(Yearending&gt;B125,'5. Historical demand'!F126-'5. Historical demand'!C126-'5. Historical demand'!D126,""),"")</f>
        <v>19.199999999999989</v>
      </c>
      <c r="I126" s="11">
        <f t="shared" si="5"/>
        <v>220.47200000000004</v>
      </c>
    </row>
    <row r="127" spans="2:9">
      <c r="B127" s="192">
        <f t="shared" si="3"/>
        <v>45558</v>
      </c>
      <c r="C127" s="81">
        <v>492.8</v>
      </c>
      <c r="D127" s="81"/>
      <c r="E127" s="81">
        <v>239.56</v>
      </c>
      <c r="F127" s="81">
        <v>512</v>
      </c>
      <c r="G127" s="11">
        <f t="shared" si="4"/>
        <v>272.44</v>
      </c>
      <c r="H127" s="11">
        <f>IFERROR(IF(Yearending&gt;B126,'5. Historical demand'!F127-'5. Historical demand'!C127-'5. Historical demand'!D127,""),"")</f>
        <v>19.199999999999989</v>
      </c>
      <c r="I127" s="11">
        <f t="shared" si="5"/>
        <v>253.24</v>
      </c>
    </row>
    <row r="128" spans="2:9">
      <c r="B128" s="192">
        <f t="shared" si="3"/>
        <v>45559</v>
      </c>
      <c r="C128" s="81">
        <v>492.8</v>
      </c>
      <c r="D128" s="81"/>
      <c r="E128" s="81">
        <v>209.565</v>
      </c>
      <c r="F128" s="81">
        <v>512</v>
      </c>
      <c r="G128" s="11">
        <f t="shared" si="4"/>
        <v>302.435</v>
      </c>
      <c r="H128" s="11">
        <f>IFERROR(IF(Yearending&gt;B127,'5. Historical demand'!F128-'5. Historical demand'!C128-'5. Historical demand'!D128,""),"")</f>
        <v>19.199999999999989</v>
      </c>
      <c r="I128" s="11">
        <f t="shared" si="5"/>
        <v>283.23500000000001</v>
      </c>
    </row>
    <row r="129" spans="2:9">
      <c r="B129" s="192">
        <f t="shared" si="3"/>
        <v>45560</v>
      </c>
      <c r="C129" s="81">
        <v>492.8</v>
      </c>
      <c r="D129" s="81"/>
      <c r="E129" s="81">
        <v>151.678</v>
      </c>
      <c r="F129" s="81">
        <v>512</v>
      </c>
      <c r="G129" s="11">
        <f t="shared" si="4"/>
        <v>360.322</v>
      </c>
      <c r="H129" s="11">
        <f>IFERROR(IF(Yearending&gt;B128,'5. Historical demand'!F129-'5. Historical demand'!C129-'5. Historical demand'!D129,""),"")</f>
        <v>19.199999999999989</v>
      </c>
      <c r="I129" s="11">
        <f t="shared" si="5"/>
        <v>341.12200000000001</v>
      </c>
    </row>
    <row r="130" spans="2:9">
      <c r="B130" s="192">
        <f t="shared" si="3"/>
        <v>45561</v>
      </c>
      <c r="C130" s="81">
        <v>492.8</v>
      </c>
      <c r="D130" s="81"/>
      <c r="E130" s="81">
        <v>322.76300000000003</v>
      </c>
      <c r="F130" s="81">
        <v>512</v>
      </c>
      <c r="G130" s="11">
        <f t="shared" si="4"/>
        <v>189.23699999999997</v>
      </c>
      <c r="H130" s="11">
        <f>IFERROR(IF(Yearending&gt;B129,'5. Historical demand'!F130-'5. Historical demand'!C130-'5. Historical demand'!D130,""),"")</f>
        <v>19.199999999999989</v>
      </c>
      <c r="I130" s="11">
        <f t="shared" si="5"/>
        <v>170.03699999999998</v>
      </c>
    </row>
    <row r="131" spans="2:9">
      <c r="B131" s="192">
        <f t="shared" si="3"/>
        <v>45562</v>
      </c>
      <c r="C131" s="81">
        <v>492.8</v>
      </c>
      <c r="D131" s="81"/>
      <c r="E131" s="81">
        <v>199.60500000000002</v>
      </c>
      <c r="F131" s="81">
        <v>512</v>
      </c>
      <c r="G131" s="11">
        <f t="shared" si="4"/>
        <v>312.39499999999998</v>
      </c>
      <c r="H131" s="11">
        <f>IFERROR(IF(Yearending&gt;B130,'5. Historical demand'!F131-'5. Historical demand'!C131-'5. Historical demand'!D131,""),"")</f>
        <v>19.199999999999989</v>
      </c>
      <c r="I131" s="11">
        <f t="shared" si="5"/>
        <v>293.19499999999999</v>
      </c>
    </row>
    <row r="132" spans="2:9">
      <c r="B132" s="192">
        <f t="shared" si="3"/>
        <v>45563</v>
      </c>
      <c r="C132" s="81">
        <v>492.8</v>
      </c>
      <c r="D132" s="81"/>
      <c r="E132" s="81">
        <v>114.506</v>
      </c>
      <c r="F132" s="81">
        <v>512</v>
      </c>
      <c r="G132" s="11">
        <f t="shared" si="4"/>
        <v>397.49400000000003</v>
      </c>
      <c r="H132" s="11">
        <f>IFERROR(IF(Yearending&gt;B131,'5. Historical demand'!F132-'5. Historical demand'!C132-'5. Historical demand'!D132,""),"")</f>
        <v>19.199999999999989</v>
      </c>
      <c r="I132" s="11">
        <f t="shared" si="5"/>
        <v>378.29399999999998</v>
      </c>
    </row>
    <row r="133" spans="2:9">
      <c r="B133" s="192">
        <f t="shared" si="3"/>
        <v>45564</v>
      </c>
      <c r="C133" s="81">
        <v>492.8</v>
      </c>
      <c r="D133" s="81"/>
      <c r="E133" s="81">
        <v>214.18700000000001</v>
      </c>
      <c r="F133" s="81">
        <v>512</v>
      </c>
      <c r="G133" s="11">
        <f t="shared" si="4"/>
        <v>297.81299999999999</v>
      </c>
      <c r="H133" s="11">
        <f>IFERROR(IF(Yearending&gt;B132,'5. Historical demand'!F133-'5. Historical demand'!C133-'5. Historical demand'!D133,""),"")</f>
        <v>19.199999999999989</v>
      </c>
      <c r="I133" s="11">
        <f t="shared" si="5"/>
        <v>278.613</v>
      </c>
    </row>
    <row r="134" spans="2:9">
      <c r="B134" s="192">
        <f t="shared" si="3"/>
        <v>45565</v>
      </c>
      <c r="C134" s="81">
        <v>492.8</v>
      </c>
      <c r="D134" s="81"/>
      <c r="E134" s="81">
        <v>137.85</v>
      </c>
      <c r="F134" s="81">
        <v>512</v>
      </c>
      <c r="G134" s="11">
        <f t="shared" si="4"/>
        <v>374.15</v>
      </c>
      <c r="H134" s="11">
        <f>IFERROR(IF(Yearending&gt;B133,'5. Historical demand'!F134-'5. Historical demand'!C134-'5. Historical demand'!D134,""),"")</f>
        <v>19.199999999999989</v>
      </c>
      <c r="I134" s="11">
        <f t="shared" si="5"/>
        <v>354.95000000000005</v>
      </c>
    </row>
    <row r="135" spans="2:9">
      <c r="B135" s="192">
        <f t="shared" si="3"/>
        <v>45566</v>
      </c>
      <c r="C135" s="81">
        <v>300.8</v>
      </c>
      <c r="D135" s="81"/>
      <c r="E135" s="81">
        <v>164.572</v>
      </c>
      <c r="F135" s="81">
        <v>512</v>
      </c>
      <c r="G135" s="11">
        <f t="shared" si="4"/>
        <v>347.428</v>
      </c>
      <c r="H135" s="11">
        <f>IFERROR(IF(Yearending&gt;B134,'5. Historical demand'!F135-'5. Historical demand'!C135-'5. Historical demand'!D135,""),"")</f>
        <v>211.2</v>
      </c>
      <c r="I135" s="11">
        <f t="shared" si="5"/>
        <v>136.22800000000001</v>
      </c>
    </row>
    <row r="136" spans="2:9">
      <c r="B136" s="192">
        <f t="shared" si="3"/>
        <v>45567</v>
      </c>
      <c r="C136" s="81">
        <v>300.8</v>
      </c>
      <c r="D136" s="81"/>
      <c r="E136" s="81">
        <v>135.34800000000001</v>
      </c>
      <c r="F136" s="81">
        <v>512</v>
      </c>
      <c r="G136" s="11">
        <f t="shared" si="4"/>
        <v>376.65199999999999</v>
      </c>
      <c r="H136" s="11">
        <f>IFERROR(IF(Yearending&gt;B135,'5. Historical demand'!F136-'5. Historical demand'!C136-'5. Historical demand'!D136,""),"")</f>
        <v>211.2</v>
      </c>
      <c r="I136" s="11">
        <f t="shared" si="5"/>
        <v>165.452</v>
      </c>
    </row>
    <row r="137" spans="2:9">
      <c r="B137" s="192">
        <f t="shared" si="3"/>
        <v>45568</v>
      </c>
      <c r="C137" s="81">
        <v>300.8</v>
      </c>
      <c r="D137" s="81"/>
      <c r="E137" s="81">
        <v>96.566000000000003</v>
      </c>
      <c r="F137" s="81">
        <v>512</v>
      </c>
      <c r="G137" s="11">
        <f t="shared" si="4"/>
        <v>415.43399999999997</v>
      </c>
      <c r="H137" s="11">
        <f>IFERROR(IF(Yearending&gt;B136,'5. Historical demand'!F137-'5. Historical demand'!C137-'5. Historical demand'!D137,""),"")</f>
        <v>211.2</v>
      </c>
      <c r="I137" s="11">
        <f t="shared" si="5"/>
        <v>204.23400000000001</v>
      </c>
    </row>
    <row r="138" spans="2:9">
      <c r="B138" s="192">
        <f t="shared" si="3"/>
        <v>45569</v>
      </c>
      <c r="C138" s="81">
        <v>300.8</v>
      </c>
      <c r="D138" s="81"/>
      <c r="E138" s="81">
        <v>82.375</v>
      </c>
      <c r="F138" s="81">
        <v>512</v>
      </c>
      <c r="G138" s="11">
        <f t="shared" si="4"/>
        <v>429.625</v>
      </c>
      <c r="H138" s="11">
        <f>IFERROR(IF(Yearending&gt;B137,'5. Historical demand'!F138-'5. Historical demand'!C138-'5. Historical demand'!D138,""),"")</f>
        <v>211.2</v>
      </c>
      <c r="I138" s="11">
        <f t="shared" si="5"/>
        <v>218.42500000000001</v>
      </c>
    </row>
    <row r="139" spans="2:9">
      <c r="B139" s="192">
        <f t="shared" si="3"/>
        <v>45570</v>
      </c>
      <c r="C139" s="81">
        <v>300.8</v>
      </c>
      <c r="D139" s="81"/>
      <c r="E139" s="81">
        <v>90.320999999999998</v>
      </c>
      <c r="F139" s="81">
        <v>512</v>
      </c>
      <c r="G139" s="11">
        <f t="shared" si="4"/>
        <v>421.67899999999997</v>
      </c>
      <c r="H139" s="11">
        <f>IFERROR(IF(Yearending&gt;B138,'5. Historical demand'!F139-'5. Historical demand'!C139-'5. Historical demand'!D139,""),"")</f>
        <v>211.2</v>
      </c>
      <c r="I139" s="11">
        <f t="shared" si="5"/>
        <v>210.47900000000001</v>
      </c>
    </row>
    <row r="140" spans="2:9">
      <c r="B140" s="192">
        <f t="shared" si="3"/>
        <v>45571</v>
      </c>
      <c r="C140" s="81">
        <v>300.8</v>
      </c>
      <c r="D140" s="81"/>
      <c r="E140" s="81">
        <v>88.658000000000001</v>
      </c>
      <c r="F140" s="81">
        <v>512</v>
      </c>
      <c r="G140" s="11">
        <f t="shared" si="4"/>
        <v>423.34199999999998</v>
      </c>
      <c r="H140" s="11">
        <f>IFERROR(IF(Yearending&gt;B139,'5. Historical demand'!F140-'5. Historical demand'!C140-'5. Historical demand'!D140,""),"")</f>
        <v>211.2</v>
      </c>
      <c r="I140" s="11">
        <f t="shared" si="5"/>
        <v>212.142</v>
      </c>
    </row>
    <row r="141" spans="2:9">
      <c r="B141" s="192">
        <f t="shared" si="3"/>
        <v>45572</v>
      </c>
      <c r="C141" s="81">
        <v>300.8</v>
      </c>
      <c r="D141" s="81"/>
      <c r="E141" s="81">
        <v>92.915999999999997</v>
      </c>
      <c r="F141" s="81">
        <v>512</v>
      </c>
      <c r="G141" s="11">
        <f t="shared" si="4"/>
        <v>419.084</v>
      </c>
      <c r="H141" s="11">
        <f>IFERROR(IF(Yearending&gt;B140,'5. Historical demand'!F141-'5. Historical demand'!C141-'5. Historical demand'!D141,""),"")</f>
        <v>211.2</v>
      </c>
      <c r="I141" s="11">
        <f t="shared" si="5"/>
        <v>207.88400000000001</v>
      </c>
    </row>
    <row r="142" spans="2:9">
      <c r="B142" s="192">
        <f t="shared" si="3"/>
        <v>45573</v>
      </c>
      <c r="C142" s="81">
        <v>300.8</v>
      </c>
      <c r="D142" s="81"/>
      <c r="E142" s="81">
        <v>147.387</v>
      </c>
      <c r="F142" s="81">
        <v>512</v>
      </c>
      <c r="G142" s="11">
        <f t="shared" si="4"/>
        <v>364.613</v>
      </c>
      <c r="H142" s="11">
        <f>IFERROR(IF(Yearending&gt;B141,'5. Historical demand'!F142-'5. Historical demand'!C142-'5. Historical demand'!D142,""),"")</f>
        <v>211.2</v>
      </c>
      <c r="I142" s="11">
        <f t="shared" si="5"/>
        <v>153.41300000000001</v>
      </c>
    </row>
    <row r="143" spans="2:9">
      <c r="B143" s="192">
        <f t="shared" si="3"/>
        <v>45574</v>
      </c>
      <c r="C143" s="81">
        <v>300.8</v>
      </c>
      <c r="D143" s="81"/>
      <c r="E143" s="81">
        <v>109.062</v>
      </c>
      <c r="F143" s="81">
        <v>512</v>
      </c>
      <c r="G143" s="11">
        <f t="shared" si="4"/>
        <v>402.93799999999999</v>
      </c>
      <c r="H143" s="11">
        <f>IFERROR(IF(Yearending&gt;B142,'5. Historical demand'!F143-'5. Historical demand'!C143-'5. Historical demand'!D143,""),"")</f>
        <v>211.2</v>
      </c>
      <c r="I143" s="11">
        <f t="shared" si="5"/>
        <v>191.738</v>
      </c>
    </row>
    <row r="144" spans="2:9">
      <c r="B144" s="192">
        <f t="shared" si="3"/>
        <v>45575</v>
      </c>
      <c r="C144" s="81">
        <v>300.8</v>
      </c>
      <c r="D144" s="81"/>
      <c r="E144" s="81">
        <v>81.236000000000004</v>
      </c>
      <c r="F144" s="81">
        <v>512</v>
      </c>
      <c r="G144" s="11">
        <f t="shared" si="4"/>
        <v>430.76400000000001</v>
      </c>
      <c r="H144" s="11">
        <f>IFERROR(IF(Yearending&gt;B143,'5. Historical demand'!F144-'5. Historical demand'!C144-'5. Historical demand'!D144,""),"")</f>
        <v>211.2</v>
      </c>
      <c r="I144" s="11">
        <f t="shared" si="5"/>
        <v>219.56400000000002</v>
      </c>
    </row>
    <row r="145" spans="2:9">
      <c r="B145" s="192">
        <f t="shared" si="3"/>
        <v>45576</v>
      </c>
      <c r="C145" s="81">
        <v>300.8</v>
      </c>
      <c r="D145" s="81"/>
      <c r="E145" s="81">
        <v>99.69</v>
      </c>
      <c r="F145" s="81">
        <v>512</v>
      </c>
      <c r="G145" s="11">
        <f t="shared" si="4"/>
        <v>412.31</v>
      </c>
      <c r="H145" s="11">
        <f>IFERROR(IF(Yearending&gt;B144,'5. Historical demand'!F145-'5. Historical demand'!C145-'5. Historical demand'!D145,""),"")</f>
        <v>211.2</v>
      </c>
      <c r="I145" s="11">
        <f t="shared" si="5"/>
        <v>201.11</v>
      </c>
    </row>
    <row r="146" spans="2:9">
      <c r="B146" s="192">
        <f t="shared" si="3"/>
        <v>45577</v>
      </c>
      <c r="C146" s="81">
        <v>300.8</v>
      </c>
      <c r="D146" s="81"/>
      <c r="E146" s="81">
        <v>89.230999999999995</v>
      </c>
      <c r="F146" s="81">
        <v>512</v>
      </c>
      <c r="G146" s="11">
        <f t="shared" si="4"/>
        <v>422.76900000000001</v>
      </c>
      <c r="H146" s="11">
        <f>IFERROR(IF(Yearending&gt;B145,'5. Historical demand'!F146-'5. Historical demand'!C146-'5. Historical demand'!D146,""),"")</f>
        <v>211.2</v>
      </c>
      <c r="I146" s="11">
        <f t="shared" si="5"/>
        <v>211.56900000000002</v>
      </c>
    </row>
    <row r="147" spans="2:9">
      <c r="B147" s="192">
        <f t="shared" si="3"/>
        <v>45578</v>
      </c>
      <c r="C147" s="81">
        <v>300.8</v>
      </c>
      <c r="D147" s="81"/>
      <c r="E147" s="81">
        <v>96.995000000000005</v>
      </c>
      <c r="F147" s="81">
        <v>512</v>
      </c>
      <c r="G147" s="11">
        <f t="shared" si="4"/>
        <v>415.005</v>
      </c>
      <c r="H147" s="11">
        <f>IFERROR(IF(Yearending&gt;B146,'5. Historical demand'!F147-'5. Historical demand'!C147-'5. Historical demand'!D147,""),"")</f>
        <v>211.2</v>
      </c>
      <c r="I147" s="11">
        <f t="shared" si="5"/>
        <v>203.80500000000001</v>
      </c>
    </row>
    <row r="148" spans="2:9">
      <c r="B148" s="192">
        <f t="shared" si="3"/>
        <v>45579</v>
      </c>
      <c r="C148" s="81">
        <v>300.8</v>
      </c>
      <c r="D148" s="81"/>
      <c r="E148" s="81">
        <v>86.85499999999999</v>
      </c>
      <c r="F148" s="81">
        <v>512</v>
      </c>
      <c r="G148" s="11">
        <f t="shared" si="4"/>
        <v>425.14499999999998</v>
      </c>
      <c r="H148" s="11">
        <f>IFERROR(IF(Yearending&gt;B147,'5. Historical demand'!F148-'5. Historical demand'!C148-'5. Historical demand'!D148,""),"")</f>
        <v>211.2</v>
      </c>
      <c r="I148" s="11">
        <f t="shared" si="5"/>
        <v>213.94500000000002</v>
      </c>
    </row>
    <row r="149" spans="2:9">
      <c r="B149" s="192">
        <f t="shared" si="3"/>
        <v>45580</v>
      </c>
      <c r="C149" s="81">
        <v>300.8</v>
      </c>
      <c r="D149" s="81"/>
      <c r="E149" s="81">
        <v>176.137</v>
      </c>
      <c r="F149" s="81">
        <v>512</v>
      </c>
      <c r="G149" s="11">
        <f t="shared" si="4"/>
        <v>335.863</v>
      </c>
      <c r="H149" s="11">
        <f>IFERROR(IF(Yearending&gt;B148,'5. Historical demand'!F149-'5. Historical demand'!C149-'5. Historical demand'!D149,""),"")</f>
        <v>211.2</v>
      </c>
      <c r="I149" s="11">
        <f t="shared" si="5"/>
        <v>124.66300000000001</v>
      </c>
    </row>
    <row r="150" spans="2:9">
      <c r="B150" s="192">
        <f t="shared" si="3"/>
        <v>45581</v>
      </c>
      <c r="C150" s="81">
        <v>300.8</v>
      </c>
      <c r="D150" s="81"/>
      <c r="E150" s="81">
        <v>132.684</v>
      </c>
      <c r="F150" s="81">
        <v>512</v>
      </c>
      <c r="G150" s="11">
        <f t="shared" si="4"/>
        <v>379.31600000000003</v>
      </c>
      <c r="H150" s="11">
        <f>IFERROR(IF(Yearending&gt;B149,'5. Historical demand'!F150-'5. Historical demand'!C150-'5. Historical demand'!D150,""),"")</f>
        <v>211.2</v>
      </c>
      <c r="I150" s="11">
        <f t="shared" si="5"/>
        <v>168.11600000000001</v>
      </c>
    </row>
    <row r="151" spans="2:9">
      <c r="B151" s="192">
        <f t="shared" si="3"/>
        <v>45582</v>
      </c>
      <c r="C151" s="81">
        <v>300.8</v>
      </c>
      <c r="D151" s="81"/>
      <c r="E151" s="81">
        <v>104.28</v>
      </c>
      <c r="F151" s="81">
        <v>512</v>
      </c>
      <c r="G151" s="11">
        <f t="shared" si="4"/>
        <v>407.72</v>
      </c>
      <c r="H151" s="11">
        <f>IFERROR(IF(Yearending&gt;B150,'5. Historical demand'!F151-'5. Historical demand'!C151-'5. Historical demand'!D151,""),"")</f>
        <v>211.2</v>
      </c>
      <c r="I151" s="11">
        <f t="shared" si="5"/>
        <v>196.52</v>
      </c>
    </row>
    <row r="152" spans="2:9">
      <c r="B152" s="192">
        <f t="shared" si="3"/>
        <v>45583</v>
      </c>
      <c r="C152" s="81">
        <v>300.8</v>
      </c>
      <c r="D152" s="81"/>
      <c r="E152" s="81">
        <v>119.12200000000001</v>
      </c>
      <c r="F152" s="81">
        <v>512</v>
      </c>
      <c r="G152" s="11">
        <f t="shared" si="4"/>
        <v>392.87799999999999</v>
      </c>
      <c r="H152" s="11">
        <f>IFERROR(IF(Yearending&gt;B151,'5. Historical demand'!F152-'5. Historical demand'!C152-'5. Historical demand'!D152,""),"")</f>
        <v>211.2</v>
      </c>
      <c r="I152" s="11">
        <f t="shared" si="5"/>
        <v>181.678</v>
      </c>
    </row>
    <row r="153" spans="2:9">
      <c r="B153" s="192">
        <f t="shared" si="3"/>
        <v>45584</v>
      </c>
      <c r="C153" s="81">
        <v>300.8</v>
      </c>
      <c r="D153" s="81"/>
      <c r="E153" s="81">
        <v>115.64500000000001</v>
      </c>
      <c r="F153" s="81">
        <v>512</v>
      </c>
      <c r="G153" s="11">
        <f t="shared" si="4"/>
        <v>396.35500000000002</v>
      </c>
      <c r="H153" s="11">
        <f>IFERROR(IF(Yearending&gt;B152,'5. Historical demand'!F153-'5. Historical demand'!C153-'5. Historical demand'!D153,""),"")</f>
        <v>211.2</v>
      </c>
      <c r="I153" s="11">
        <f t="shared" si="5"/>
        <v>185.155</v>
      </c>
    </row>
    <row r="154" spans="2:9">
      <c r="B154" s="192">
        <f t="shared" si="3"/>
        <v>45585</v>
      </c>
      <c r="C154" s="81">
        <v>300.8</v>
      </c>
      <c r="D154" s="81"/>
      <c r="E154" s="81">
        <v>152.51</v>
      </c>
      <c r="F154" s="81">
        <v>512</v>
      </c>
      <c r="G154" s="11">
        <f t="shared" si="4"/>
        <v>359.49</v>
      </c>
      <c r="H154" s="11">
        <f>IFERROR(IF(Yearending&gt;B153,'5. Historical demand'!F154-'5. Historical demand'!C154-'5. Historical demand'!D154,""),"")</f>
        <v>211.2</v>
      </c>
      <c r="I154" s="11">
        <f t="shared" si="5"/>
        <v>148.29000000000002</v>
      </c>
    </row>
    <row r="155" spans="2:9">
      <c r="B155" s="192">
        <f t="shared" si="3"/>
        <v>45586</v>
      </c>
      <c r="C155" s="81">
        <v>300.8</v>
      </c>
      <c r="D155" s="81"/>
      <c r="E155" s="81">
        <v>181.57599999999999</v>
      </c>
      <c r="F155" s="81">
        <v>512</v>
      </c>
      <c r="G155" s="11">
        <f t="shared" si="4"/>
        <v>330.42399999999998</v>
      </c>
      <c r="H155" s="11">
        <f>IFERROR(IF(Yearending&gt;B154,'5. Historical demand'!F155-'5. Historical demand'!C155-'5. Historical demand'!D155,""),"")</f>
        <v>211.2</v>
      </c>
      <c r="I155" s="11">
        <f t="shared" si="5"/>
        <v>119.22400000000002</v>
      </c>
    </row>
    <row r="156" spans="2:9">
      <c r="B156" s="192">
        <f t="shared" si="3"/>
        <v>45587</v>
      </c>
      <c r="C156" s="81">
        <v>300.8</v>
      </c>
      <c r="D156" s="81"/>
      <c r="E156" s="81">
        <v>163.73500000000001</v>
      </c>
      <c r="F156" s="81">
        <v>512</v>
      </c>
      <c r="G156" s="11">
        <f t="shared" si="4"/>
        <v>348.26499999999999</v>
      </c>
      <c r="H156" s="11">
        <f>IFERROR(IF(Yearending&gt;B155,'5. Historical demand'!F156-'5. Historical demand'!C156-'5. Historical demand'!D156,""),"")</f>
        <v>211.2</v>
      </c>
      <c r="I156" s="11">
        <f t="shared" si="5"/>
        <v>137.065</v>
      </c>
    </row>
    <row r="157" spans="2:9">
      <c r="B157" s="192">
        <f t="shared" si="3"/>
        <v>45588</v>
      </c>
      <c r="C157" s="81">
        <v>300.8</v>
      </c>
      <c r="D157" s="81"/>
      <c r="E157" s="81">
        <v>172.00900000000001</v>
      </c>
      <c r="F157" s="81">
        <v>512</v>
      </c>
      <c r="G157" s="11">
        <f t="shared" si="4"/>
        <v>339.99099999999999</v>
      </c>
      <c r="H157" s="11">
        <f>IFERROR(IF(Yearending&gt;B156,'5. Historical demand'!F157-'5. Historical demand'!C157-'5. Historical demand'!D157,""),"")</f>
        <v>211.2</v>
      </c>
      <c r="I157" s="11">
        <f t="shared" si="5"/>
        <v>128.791</v>
      </c>
    </row>
    <row r="158" spans="2:9">
      <c r="B158" s="192">
        <f t="shared" si="3"/>
        <v>45589</v>
      </c>
      <c r="C158" s="81">
        <v>300.8</v>
      </c>
      <c r="D158" s="81"/>
      <c r="E158" s="81">
        <v>225.56800000000001</v>
      </c>
      <c r="F158" s="81">
        <v>512</v>
      </c>
      <c r="G158" s="11">
        <f t="shared" si="4"/>
        <v>286.43200000000002</v>
      </c>
      <c r="H158" s="11">
        <f>IFERROR(IF(Yearending&gt;B157,'5. Historical demand'!F158-'5. Historical demand'!C158-'5. Historical demand'!D158,""),"")</f>
        <v>211.2</v>
      </c>
      <c r="I158" s="11">
        <f t="shared" si="5"/>
        <v>75.231999999999999</v>
      </c>
    </row>
    <row r="159" spans="2:9">
      <c r="B159" s="192">
        <f t="shared" si="3"/>
        <v>45590</v>
      </c>
      <c r="C159" s="81">
        <v>300.8</v>
      </c>
      <c r="D159" s="81"/>
      <c r="E159" s="81">
        <v>225.339</v>
      </c>
      <c r="F159" s="81">
        <v>512</v>
      </c>
      <c r="G159" s="11">
        <f t="shared" si="4"/>
        <v>286.661</v>
      </c>
      <c r="H159" s="11">
        <f>IFERROR(IF(Yearending&gt;B158,'5. Historical demand'!F159-'5. Historical demand'!C159-'5. Historical demand'!D159,""),"")</f>
        <v>211.2</v>
      </c>
      <c r="I159" s="11">
        <f t="shared" si="5"/>
        <v>75.461000000000013</v>
      </c>
    </row>
    <row r="160" spans="2:9">
      <c r="B160" s="192">
        <f t="shared" si="3"/>
        <v>45591</v>
      </c>
      <c r="C160" s="81">
        <v>300.8</v>
      </c>
      <c r="D160" s="81"/>
      <c r="E160" s="81">
        <v>188.60899999999998</v>
      </c>
      <c r="F160" s="81">
        <v>512</v>
      </c>
      <c r="G160" s="11">
        <f t="shared" si="4"/>
        <v>323.39100000000002</v>
      </c>
      <c r="H160" s="11">
        <f>IFERROR(IF(Yearending&gt;B159,'5. Historical demand'!F160-'5. Historical demand'!C160-'5. Historical demand'!D160,""),"")</f>
        <v>211.2</v>
      </c>
      <c r="I160" s="11">
        <f t="shared" si="5"/>
        <v>112.19100000000003</v>
      </c>
    </row>
    <row r="161" spans="2:9">
      <c r="B161" s="192">
        <f t="shared" si="3"/>
        <v>45592</v>
      </c>
      <c r="C161" s="81">
        <v>300.8</v>
      </c>
      <c r="D161" s="81"/>
      <c r="E161" s="81">
        <v>130.39099999999999</v>
      </c>
      <c r="F161" s="81">
        <v>512</v>
      </c>
      <c r="G161" s="11">
        <f t="shared" si="4"/>
        <v>381.60900000000004</v>
      </c>
      <c r="H161" s="11">
        <f>IFERROR(IF(Yearending&gt;B160,'5. Historical demand'!F161-'5. Historical demand'!C161-'5. Historical demand'!D161,""),"")</f>
        <v>211.2</v>
      </c>
      <c r="I161" s="11">
        <f t="shared" si="5"/>
        <v>170.40900000000002</v>
      </c>
    </row>
    <row r="162" spans="2:9">
      <c r="B162" s="192">
        <f t="shared" si="3"/>
        <v>45593</v>
      </c>
      <c r="C162" s="81">
        <v>300.8</v>
      </c>
      <c r="D162" s="81"/>
      <c r="E162" s="81">
        <v>132.76</v>
      </c>
      <c r="F162" s="81">
        <v>512</v>
      </c>
      <c r="G162" s="11">
        <f t="shared" si="4"/>
        <v>379.24</v>
      </c>
      <c r="H162" s="11">
        <f>IFERROR(IF(Yearending&gt;B161,'5. Historical demand'!F162-'5. Historical demand'!C162-'5. Historical demand'!D162,""),"")</f>
        <v>211.2</v>
      </c>
      <c r="I162" s="11">
        <f t="shared" si="5"/>
        <v>168.04000000000002</v>
      </c>
    </row>
    <row r="163" spans="2:9">
      <c r="B163" s="192">
        <f t="shared" si="3"/>
        <v>45594</v>
      </c>
      <c r="C163" s="81">
        <v>300.8</v>
      </c>
      <c r="D163" s="81"/>
      <c r="E163" s="81">
        <v>130.50200000000001</v>
      </c>
      <c r="F163" s="81">
        <v>512</v>
      </c>
      <c r="G163" s="11">
        <f t="shared" si="4"/>
        <v>381.49799999999999</v>
      </c>
      <c r="H163" s="11">
        <f>IFERROR(IF(Yearending&gt;B162,'5. Historical demand'!F163-'5. Historical demand'!C163-'5. Historical demand'!D163,""),"")</f>
        <v>211.2</v>
      </c>
      <c r="I163" s="11">
        <f t="shared" si="5"/>
        <v>170.298</v>
      </c>
    </row>
    <row r="164" spans="2:9">
      <c r="B164" s="192">
        <f t="shared" si="3"/>
        <v>45595</v>
      </c>
      <c r="C164" s="81">
        <v>300.8</v>
      </c>
      <c r="D164" s="81"/>
      <c r="E164" s="81">
        <v>120.73399999999999</v>
      </c>
      <c r="F164" s="81">
        <v>512</v>
      </c>
      <c r="G164" s="11">
        <f t="shared" si="4"/>
        <v>391.26600000000002</v>
      </c>
      <c r="H164" s="11">
        <f>IFERROR(IF(Yearending&gt;B163,'5. Historical demand'!F164-'5. Historical demand'!C164-'5. Historical demand'!D164,""),"")</f>
        <v>211.2</v>
      </c>
      <c r="I164" s="11">
        <f t="shared" si="5"/>
        <v>180.06600000000003</v>
      </c>
    </row>
    <row r="165" spans="2:9">
      <c r="B165" s="192">
        <f t="shared" si="3"/>
        <v>45596</v>
      </c>
      <c r="C165" s="81">
        <v>300.8</v>
      </c>
      <c r="D165" s="81"/>
      <c r="E165" s="81">
        <v>118.76799999999999</v>
      </c>
      <c r="F165" s="81">
        <v>512</v>
      </c>
      <c r="G165" s="11">
        <f t="shared" si="4"/>
        <v>393.23200000000003</v>
      </c>
      <c r="H165" s="11">
        <f>IFERROR(IF(Yearending&gt;B164,'5. Historical demand'!F165-'5. Historical demand'!C165-'5. Historical demand'!D165,""),"")</f>
        <v>211.2</v>
      </c>
      <c r="I165" s="11">
        <f t="shared" si="5"/>
        <v>182.03200000000004</v>
      </c>
    </row>
    <row r="166" spans="2:9">
      <c r="B166" s="192">
        <f t="shared" si="3"/>
        <v>45597</v>
      </c>
      <c r="C166" s="81">
        <v>300.8</v>
      </c>
      <c r="D166" s="81"/>
      <c r="E166" s="81">
        <v>167.14499999999998</v>
      </c>
      <c r="F166" s="81">
        <v>512</v>
      </c>
      <c r="G166" s="11">
        <f t="shared" si="4"/>
        <v>344.85500000000002</v>
      </c>
      <c r="H166" s="11">
        <f>IFERROR(IF(Yearending&gt;B165,'5. Historical demand'!F166-'5. Historical demand'!C166-'5. Historical demand'!D166,""),"")</f>
        <v>211.2</v>
      </c>
      <c r="I166" s="11">
        <f t="shared" si="5"/>
        <v>133.65500000000003</v>
      </c>
    </row>
    <row r="167" spans="2:9">
      <c r="B167" s="192">
        <f t="shared" si="3"/>
        <v>45598</v>
      </c>
      <c r="C167" s="81">
        <v>300.8</v>
      </c>
      <c r="D167" s="81"/>
      <c r="E167" s="81">
        <v>100.831</v>
      </c>
      <c r="F167" s="81">
        <v>512</v>
      </c>
      <c r="G167" s="11">
        <f t="shared" si="4"/>
        <v>411.16899999999998</v>
      </c>
      <c r="H167" s="11">
        <f>IFERROR(IF(Yearending&gt;B166,'5. Historical demand'!F167-'5. Historical demand'!C167-'5. Historical demand'!D167,""),"")</f>
        <v>211.2</v>
      </c>
      <c r="I167" s="11">
        <f t="shared" si="5"/>
        <v>199.96899999999999</v>
      </c>
    </row>
    <row r="168" spans="2:9">
      <c r="B168" s="192">
        <f t="shared" si="3"/>
        <v>45599</v>
      </c>
      <c r="C168" s="81">
        <v>300.8</v>
      </c>
      <c r="D168" s="81"/>
      <c r="E168" s="81">
        <v>106.64999999999999</v>
      </c>
      <c r="F168" s="81">
        <v>512</v>
      </c>
      <c r="G168" s="11">
        <f t="shared" si="4"/>
        <v>405.35</v>
      </c>
      <c r="H168" s="11">
        <f>IFERROR(IF(Yearending&gt;B167,'5. Historical demand'!F168-'5. Historical demand'!C168-'5. Historical demand'!D168,""),"")</f>
        <v>211.2</v>
      </c>
      <c r="I168" s="11">
        <f t="shared" si="5"/>
        <v>194.15000000000003</v>
      </c>
    </row>
    <row r="169" spans="2:9">
      <c r="B169" s="192">
        <f t="shared" si="3"/>
        <v>45600</v>
      </c>
      <c r="C169" s="81">
        <v>300.8</v>
      </c>
      <c r="D169" s="81"/>
      <c r="E169" s="81">
        <v>121.56399999999999</v>
      </c>
      <c r="F169" s="81">
        <v>512</v>
      </c>
      <c r="G169" s="11">
        <f t="shared" si="4"/>
        <v>390.43600000000004</v>
      </c>
      <c r="H169" s="11">
        <f>IFERROR(IF(Yearending&gt;B168,'5. Historical demand'!F169-'5. Historical demand'!C169-'5. Historical demand'!D169,""),"")</f>
        <v>211.2</v>
      </c>
      <c r="I169" s="11">
        <f t="shared" si="5"/>
        <v>179.23600000000002</v>
      </c>
    </row>
    <row r="170" spans="2:9">
      <c r="B170" s="192">
        <f t="shared" si="3"/>
        <v>45601</v>
      </c>
      <c r="C170" s="81">
        <v>300.8</v>
      </c>
      <c r="D170" s="81"/>
      <c r="E170" s="81">
        <v>106.09699999999999</v>
      </c>
      <c r="F170" s="81">
        <v>512</v>
      </c>
      <c r="G170" s="11">
        <f t="shared" si="4"/>
        <v>405.90300000000002</v>
      </c>
      <c r="H170" s="11">
        <f>IFERROR(IF(Yearending&gt;B169,'5. Historical demand'!F170-'5. Historical demand'!C170-'5. Historical demand'!D170,""),"")</f>
        <v>211.2</v>
      </c>
      <c r="I170" s="11">
        <f t="shared" si="5"/>
        <v>194.70300000000003</v>
      </c>
    </row>
    <row r="171" spans="2:9">
      <c r="B171" s="192">
        <f t="shared" si="3"/>
        <v>45602</v>
      </c>
      <c r="C171" s="81">
        <v>300.8</v>
      </c>
      <c r="D171" s="81"/>
      <c r="E171" s="81">
        <v>104.845</v>
      </c>
      <c r="F171" s="81">
        <v>512</v>
      </c>
      <c r="G171" s="11">
        <f t="shared" si="4"/>
        <v>407.15499999999997</v>
      </c>
      <c r="H171" s="11">
        <f>IFERROR(IF(Yearending&gt;B170,'5. Historical demand'!F171-'5. Historical demand'!C171-'5. Historical demand'!D171,""),"")</f>
        <v>211.2</v>
      </c>
      <c r="I171" s="11">
        <f t="shared" si="5"/>
        <v>195.95500000000001</v>
      </c>
    </row>
    <row r="172" spans="2:9">
      <c r="B172" s="192">
        <f t="shared" ref="B172:B235" si="6">IFERROR(IF(Yearending&gt;B171, B171+1, ""),"")</f>
        <v>45603</v>
      </c>
      <c r="C172" s="81">
        <v>300.8</v>
      </c>
      <c r="D172" s="81"/>
      <c r="E172" s="81">
        <v>138.69300000000001</v>
      </c>
      <c r="F172" s="81">
        <v>512</v>
      </c>
      <c r="G172" s="11">
        <f t="shared" ref="G172:G235" si="7">IFERROR(IF(Yearending&gt;B171,F172-E172,""),"")</f>
        <v>373.30700000000002</v>
      </c>
      <c r="H172" s="11">
        <f>IFERROR(IF(Yearending&gt;B171,'5. Historical demand'!F172-'5. Historical demand'!C172-'5. Historical demand'!D172,""),"")</f>
        <v>211.2</v>
      </c>
      <c r="I172" s="11">
        <f t="shared" ref="I172:I235" si="8">IFERROR(IF(Yearending&gt;B171,C172+D172-E172,""),"")</f>
        <v>162.107</v>
      </c>
    </row>
    <row r="173" spans="2:9">
      <c r="B173" s="192">
        <f t="shared" si="6"/>
        <v>45604</v>
      </c>
      <c r="C173" s="81">
        <v>300.8</v>
      </c>
      <c r="D173" s="81"/>
      <c r="E173" s="81">
        <v>107.50999999999999</v>
      </c>
      <c r="F173" s="81">
        <v>512</v>
      </c>
      <c r="G173" s="11">
        <f t="shared" si="7"/>
        <v>404.49</v>
      </c>
      <c r="H173" s="11">
        <f>IFERROR(IF(Yearending&gt;B172,'5. Historical demand'!F173-'5. Historical demand'!C173-'5. Historical demand'!D173,""),"")</f>
        <v>211.2</v>
      </c>
      <c r="I173" s="11">
        <f t="shared" si="8"/>
        <v>193.29000000000002</v>
      </c>
    </row>
    <row r="174" spans="2:9">
      <c r="B174" s="192">
        <f t="shared" si="6"/>
        <v>45605</v>
      </c>
      <c r="C174" s="81">
        <v>300.8</v>
      </c>
      <c r="D174" s="81"/>
      <c r="E174" s="81">
        <v>104.773</v>
      </c>
      <c r="F174" s="81">
        <v>512</v>
      </c>
      <c r="G174" s="11">
        <f t="shared" si="7"/>
        <v>407.22699999999998</v>
      </c>
      <c r="H174" s="11">
        <f>IFERROR(IF(Yearending&gt;B173,'5. Historical demand'!F174-'5. Historical demand'!C174-'5. Historical demand'!D174,""),"")</f>
        <v>211.2</v>
      </c>
      <c r="I174" s="11">
        <f t="shared" si="8"/>
        <v>196.02700000000002</v>
      </c>
    </row>
    <row r="175" spans="2:9">
      <c r="B175" s="192">
        <f t="shared" si="6"/>
        <v>45606</v>
      </c>
      <c r="C175" s="81">
        <v>300.8</v>
      </c>
      <c r="D175" s="81"/>
      <c r="E175" s="81">
        <v>109.041</v>
      </c>
      <c r="F175" s="81">
        <v>512</v>
      </c>
      <c r="G175" s="11">
        <f t="shared" si="7"/>
        <v>402.959</v>
      </c>
      <c r="H175" s="11">
        <f>IFERROR(IF(Yearending&gt;B174,'5. Historical demand'!F175-'5. Historical demand'!C175-'5. Historical demand'!D175,""),"")</f>
        <v>211.2</v>
      </c>
      <c r="I175" s="11">
        <f t="shared" si="8"/>
        <v>191.75900000000001</v>
      </c>
    </row>
    <row r="176" spans="2:9">
      <c r="B176" s="192">
        <f t="shared" si="6"/>
        <v>45607</v>
      </c>
      <c r="C176" s="81">
        <v>300.8</v>
      </c>
      <c r="D176" s="81"/>
      <c r="E176" s="81">
        <v>121.75999999999999</v>
      </c>
      <c r="F176" s="81">
        <v>512</v>
      </c>
      <c r="G176" s="11">
        <f t="shared" si="7"/>
        <v>390.24</v>
      </c>
      <c r="H176" s="11">
        <f>IFERROR(IF(Yearending&gt;B175,'5. Historical demand'!F176-'5. Historical demand'!C176-'5. Historical demand'!D176,""),"")</f>
        <v>211.2</v>
      </c>
      <c r="I176" s="11">
        <f t="shared" si="8"/>
        <v>179.04000000000002</v>
      </c>
    </row>
    <row r="177" spans="2:9">
      <c r="B177" s="192">
        <f t="shared" si="6"/>
        <v>45608</v>
      </c>
      <c r="C177" s="81">
        <v>300.8</v>
      </c>
      <c r="D177" s="81"/>
      <c r="E177" s="81">
        <v>170.32999999999998</v>
      </c>
      <c r="F177" s="81">
        <v>512</v>
      </c>
      <c r="G177" s="11">
        <f t="shared" si="7"/>
        <v>341.67</v>
      </c>
      <c r="H177" s="11">
        <f>IFERROR(IF(Yearending&gt;B176,'5. Historical demand'!F177-'5. Historical demand'!C177-'5. Historical demand'!D177,""),"")</f>
        <v>211.2</v>
      </c>
      <c r="I177" s="11">
        <f t="shared" si="8"/>
        <v>130.47000000000003</v>
      </c>
    </row>
    <row r="178" spans="2:9">
      <c r="B178" s="192">
        <f t="shared" si="6"/>
        <v>45609</v>
      </c>
      <c r="C178" s="81">
        <v>300.8</v>
      </c>
      <c r="D178" s="81"/>
      <c r="E178" s="81">
        <v>143.661</v>
      </c>
      <c r="F178" s="81">
        <v>512</v>
      </c>
      <c r="G178" s="11">
        <f t="shared" si="7"/>
        <v>368.339</v>
      </c>
      <c r="H178" s="11">
        <f>IFERROR(IF(Yearending&gt;B177,'5. Historical demand'!F178-'5. Historical demand'!C178-'5. Historical demand'!D178,""),"")</f>
        <v>211.2</v>
      </c>
      <c r="I178" s="11">
        <f t="shared" si="8"/>
        <v>157.13900000000001</v>
      </c>
    </row>
    <row r="179" spans="2:9">
      <c r="B179" s="192">
        <f t="shared" si="6"/>
        <v>45610</v>
      </c>
      <c r="C179" s="81">
        <v>300.8</v>
      </c>
      <c r="D179" s="81"/>
      <c r="E179" s="81">
        <v>140.81100000000001</v>
      </c>
      <c r="F179" s="81">
        <v>512</v>
      </c>
      <c r="G179" s="11">
        <f t="shared" si="7"/>
        <v>371.18899999999996</v>
      </c>
      <c r="H179" s="11">
        <f>IFERROR(IF(Yearending&gt;B178,'5. Historical demand'!F179-'5. Historical demand'!C179-'5. Historical demand'!D179,""),"")</f>
        <v>211.2</v>
      </c>
      <c r="I179" s="11">
        <f t="shared" si="8"/>
        <v>159.989</v>
      </c>
    </row>
    <row r="180" spans="2:9">
      <c r="B180" s="192">
        <f t="shared" si="6"/>
        <v>45611</v>
      </c>
      <c r="C180" s="81">
        <v>300.8</v>
      </c>
      <c r="D180" s="81"/>
      <c r="E180" s="81">
        <v>122.127</v>
      </c>
      <c r="F180" s="81">
        <v>512</v>
      </c>
      <c r="G180" s="11">
        <f t="shared" si="7"/>
        <v>389.87299999999999</v>
      </c>
      <c r="H180" s="11">
        <f>IFERROR(IF(Yearending&gt;B179,'5. Historical demand'!F180-'5. Historical demand'!C180-'5. Historical demand'!D180,""),"")</f>
        <v>211.2</v>
      </c>
      <c r="I180" s="11">
        <f t="shared" si="8"/>
        <v>178.673</v>
      </c>
    </row>
    <row r="181" spans="2:9">
      <c r="B181" s="192">
        <f t="shared" si="6"/>
        <v>45612</v>
      </c>
      <c r="C181" s="81">
        <v>300.8</v>
      </c>
      <c r="D181" s="81"/>
      <c r="E181" s="81">
        <v>120.599</v>
      </c>
      <c r="F181" s="81">
        <v>512</v>
      </c>
      <c r="G181" s="11">
        <f t="shared" si="7"/>
        <v>391.40100000000001</v>
      </c>
      <c r="H181" s="11">
        <f>IFERROR(IF(Yearending&gt;B180,'5. Historical demand'!F181-'5. Historical demand'!C181-'5. Historical demand'!D181,""),"")</f>
        <v>211.2</v>
      </c>
      <c r="I181" s="11">
        <f t="shared" si="8"/>
        <v>180.20100000000002</v>
      </c>
    </row>
    <row r="182" spans="2:9">
      <c r="B182" s="192">
        <f t="shared" si="6"/>
        <v>45613</v>
      </c>
      <c r="C182" s="81">
        <v>300.8</v>
      </c>
      <c r="D182" s="81"/>
      <c r="E182" s="81">
        <v>114.02500000000001</v>
      </c>
      <c r="F182" s="81">
        <v>512</v>
      </c>
      <c r="G182" s="11">
        <f t="shared" si="7"/>
        <v>397.97500000000002</v>
      </c>
      <c r="H182" s="11">
        <f>IFERROR(IF(Yearending&gt;B181,'5. Historical demand'!F182-'5. Historical demand'!C182-'5. Historical demand'!D182,""),"")</f>
        <v>211.2</v>
      </c>
      <c r="I182" s="11">
        <f t="shared" si="8"/>
        <v>186.77500000000001</v>
      </c>
    </row>
    <row r="183" spans="2:9">
      <c r="B183" s="192">
        <f t="shared" si="6"/>
        <v>45614</v>
      </c>
      <c r="C183" s="81">
        <v>300.8</v>
      </c>
      <c r="D183" s="81"/>
      <c r="E183" s="81">
        <v>119.224</v>
      </c>
      <c r="F183" s="81">
        <v>512</v>
      </c>
      <c r="G183" s="11">
        <f t="shared" si="7"/>
        <v>392.77600000000001</v>
      </c>
      <c r="H183" s="11">
        <f>IFERROR(IF(Yearending&gt;B182,'5. Historical demand'!F183-'5. Historical demand'!C183-'5. Historical demand'!D183,""),"")</f>
        <v>211.2</v>
      </c>
      <c r="I183" s="11">
        <f t="shared" si="8"/>
        <v>181.57600000000002</v>
      </c>
    </row>
    <row r="184" spans="2:9">
      <c r="B184" s="192">
        <f t="shared" si="6"/>
        <v>45615</v>
      </c>
      <c r="C184" s="81">
        <v>300.8</v>
      </c>
      <c r="D184" s="81"/>
      <c r="E184" s="81">
        <v>123.76300000000001</v>
      </c>
      <c r="F184" s="81">
        <v>512</v>
      </c>
      <c r="G184" s="11">
        <f t="shared" si="7"/>
        <v>388.23699999999997</v>
      </c>
      <c r="H184" s="11">
        <f>IFERROR(IF(Yearending&gt;B183,'5. Historical demand'!F184-'5. Historical demand'!C184-'5. Historical demand'!D184,""),"")</f>
        <v>211.2</v>
      </c>
      <c r="I184" s="11">
        <f t="shared" si="8"/>
        <v>177.03700000000001</v>
      </c>
    </row>
    <row r="185" spans="2:9">
      <c r="B185" s="192">
        <f t="shared" si="6"/>
        <v>45616</v>
      </c>
      <c r="C185" s="81">
        <v>300.8</v>
      </c>
      <c r="D185" s="81"/>
      <c r="E185" s="81">
        <v>130.809</v>
      </c>
      <c r="F185" s="81">
        <v>512</v>
      </c>
      <c r="G185" s="11">
        <f t="shared" si="7"/>
        <v>381.19100000000003</v>
      </c>
      <c r="H185" s="11">
        <f>IFERROR(IF(Yearending&gt;B184,'5. Historical demand'!F185-'5. Historical demand'!C185-'5. Historical demand'!D185,""),"")</f>
        <v>211.2</v>
      </c>
      <c r="I185" s="11">
        <f t="shared" si="8"/>
        <v>169.99100000000001</v>
      </c>
    </row>
    <row r="186" spans="2:9">
      <c r="B186" s="192">
        <f t="shared" si="6"/>
        <v>45617</v>
      </c>
      <c r="C186" s="81">
        <v>300.8</v>
      </c>
      <c r="D186" s="81"/>
      <c r="E186" s="81">
        <v>103.91199999999999</v>
      </c>
      <c r="F186" s="81">
        <v>512</v>
      </c>
      <c r="G186" s="11">
        <f t="shared" si="7"/>
        <v>408.08800000000002</v>
      </c>
      <c r="H186" s="11">
        <f>IFERROR(IF(Yearending&gt;B185,'5. Historical demand'!F186-'5. Historical demand'!C186-'5. Historical demand'!D186,""),"")</f>
        <v>211.2</v>
      </c>
      <c r="I186" s="11">
        <f t="shared" si="8"/>
        <v>196.88800000000003</v>
      </c>
    </row>
    <row r="187" spans="2:9">
      <c r="B187" s="192">
        <f t="shared" si="6"/>
        <v>45618</v>
      </c>
      <c r="C187" s="81">
        <v>300.8</v>
      </c>
      <c r="D187" s="81"/>
      <c r="E187" s="81">
        <v>105.351</v>
      </c>
      <c r="F187" s="81">
        <v>512</v>
      </c>
      <c r="G187" s="11">
        <f t="shared" si="7"/>
        <v>406.649</v>
      </c>
      <c r="H187" s="11">
        <f>IFERROR(IF(Yearending&gt;B186,'5. Historical demand'!F187-'5. Historical demand'!C187-'5. Historical demand'!D187,""),"")</f>
        <v>211.2</v>
      </c>
      <c r="I187" s="11">
        <f t="shared" si="8"/>
        <v>195.44900000000001</v>
      </c>
    </row>
    <row r="188" spans="2:9">
      <c r="B188" s="192">
        <f t="shared" si="6"/>
        <v>45619</v>
      </c>
      <c r="C188" s="81">
        <v>300.8</v>
      </c>
      <c r="D188" s="81"/>
      <c r="E188" s="81">
        <v>149.54399999999998</v>
      </c>
      <c r="F188" s="81">
        <v>512</v>
      </c>
      <c r="G188" s="11">
        <f t="shared" si="7"/>
        <v>362.45600000000002</v>
      </c>
      <c r="H188" s="11">
        <f>IFERROR(IF(Yearending&gt;B187,'5. Historical demand'!F188-'5. Historical demand'!C188-'5. Historical demand'!D188,""),"")</f>
        <v>211.2</v>
      </c>
      <c r="I188" s="11">
        <f t="shared" si="8"/>
        <v>151.25600000000003</v>
      </c>
    </row>
    <row r="189" spans="2:9">
      <c r="B189" s="192">
        <f t="shared" si="6"/>
        <v>45620</v>
      </c>
      <c r="C189" s="81">
        <v>300.8</v>
      </c>
      <c r="D189" s="81"/>
      <c r="E189" s="81">
        <v>177.95699999999999</v>
      </c>
      <c r="F189" s="81">
        <v>512</v>
      </c>
      <c r="G189" s="11">
        <f t="shared" si="7"/>
        <v>334.04300000000001</v>
      </c>
      <c r="H189" s="11">
        <f>IFERROR(IF(Yearending&gt;B188,'5. Historical demand'!F189-'5. Historical demand'!C189-'5. Historical demand'!D189,""),"")</f>
        <v>211.2</v>
      </c>
      <c r="I189" s="11">
        <f t="shared" si="8"/>
        <v>122.84300000000002</v>
      </c>
    </row>
    <row r="190" spans="2:9">
      <c r="B190" s="192">
        <f t="shared" si="6"/>
        <v>45621</v>
      </c>
      <c r="C190" s="81">
        <v>300.8</v>
      </c>
      <c r="D190" s="81"/>
      <c r="E190" s="81">
        <v>172.916</v>
      </c>
      <c r="F190" s="81">
        <v>512</v>
      </c>
      <c r="G190" s="11">
        <f t="shared" si="7"/>
        <v>339.084</v>
      </c>
      <c r="H190" s="11">
        <f>IFERROR(IF(Yearending&gt;B189,'5. Historical demand'!F190-'5. Historical demand'!C190-'5. Historical demand'!D190,""),"")</f>
        <v>211.2</v>
      </c>
      <c r="I190" s="11">
        <f t="shared" si="8"/>
        <v>127.88400000000001</v>
      </c>
    </row>
    <row r="191" spans="2:9">
      <c r="B191" s="192">
        <f t="shared" si="6"/>
        <v>45622</v>
      </c>
      <c r="C191" s="81">
        <v>300.8</v>
      </c>
      <c r="D191" s="81"/>
      <c r="E191" s="81">
        <v>151.465</v>
      </c>
      <c r="F191" s="81">
        <v>512</v>
      </c>
      <c r="G191" s="11">
        <f t="shared" si="7"/>
        <v>360.53499999999997</v>
      </c>
      <c r="H191" s="11">
        <f>IFERROR(IF(Yearending&gt;B190,'5. Historical demand'!F191-'5. Historical demand'!C191-'5. Historical demand'!D191,""),"")</f>
        <v>211.2</v>
      </c>
      <c r="I191" s="11">
        <f t="shared" si="8"/>
        <v>149.33500000000001</v>
      </c>
    </row>
    <row r="192" spans="2:9">
      <c r="B192" s="192">
        <f t="shared" si="6"/>
        <v>45623</v>
      </c>
      <c r="C192" s="81">
        <v>300.8</v>
      </c>
      <c r="D192" s="81"/>
      <c r="E192" s="81">
        <v>115.76300000000001</v>
      </c>
      <c r="F192" s="81">
        <v>512</v>
      </c>
      <c r="G192" s="11">
        <f t="shared" si="7"/>
        <v>396.23699999999997</v>
      </c>
      <c r="H192" s="11">
        <f>IFERROR(IF(Yearending&gt;B191,'5. Historical demand'!F192-'5. Historical demand'!C192-'5. Historical demand'!D192,""),"")</f>
        <v>211.2</v>
      </c>
      <c r="I192" s="11">
        <f t="shared" si="8"/>
        <v>185.03700000000001</v>
      </c>
    </row>
    <row r="193" spans="2:9">
      <c r="B193" s="192">
        <f t="shared" si="6"/>
        <v>45624</v>
      </c>
      <c r="C193" s="81">
        <v>300.8</v>
      </c>
      <c r="D193" s="81"/>
      <c r="E193" s="81">
        <v>108.64699999999999</v>
      </c>
      <c r="F193" s="81">
        <v>512</v>
      </c>
      <c r="G193" s="11">
        <f t="shared" si="7"/>
        <v>403.35300000000001</v>
      </c>
      <c r="H193" s="11">
        <f>IFERROR(IF(Yearending&gt;B192,'5. Historical demand'!F193-'5. Historical demand'!C193-'5. Historical demand'!D193,""),"")</f>
        <v>211.2</v>
      </c>
      <c r="I193" s="11">
        <f t="shared" si="8"/>
        <v>192.15300000000002</v>
      </c>
    </row>
    <row r="194" spans="2:9">
      <c r="B194" s="192">
        <f t="shared" si="6"/>
        <v>45625</v>
      </c>
      <c r="C194" s="81">
        <v>300.8</v>
      </c>
      <c r="D194" s="81"/>
      <c r="E194" s="81">
        <v>79.268000000000001</v>
      </c>
      <c r="F194" s="81">
        <v>512</v>
      </c>
      <c r="G194" s="11">
        <f t="shared" si="7"/>
        <v>432.73199999999997</v>
      </c>
      <c r="H194" s="11">
        <f>IFERROR(IF(Yearending&gt;B193,'5. Historical demand'!F194-'5. Historical demand'!C194-'5. Historical demand'!D194,""),"")</f>
        <v>211.2</v>
      </c>
      <c r="I194" s="11">
        <f t="shared" si="8"/>
        <v>221.53200000000001</v>
      </c>
    </row>
    <row r="195" spans="2:9">
      <c r="B195" s="192">
        <f t="shared" si="6"/>
        <v>45626</v>
      </c>
      <c r="C195" s="81">
        <v>300.8</v>
      </c>
      <c r="D195" s="81"/>
      <c r="E195" s="81">
        <v>82.724000000000004</v>
      </c>
      <c r="F195" s="81">
        <v>512</v>
      </c>
      <c r="G195" s="11">
        <f t="shared" si="7"/>
        <v>429.27600000000001</v>
      </c>
      <c r="H195" s="11">
        <f>IFERROR(IF(Yearending&gt;B194,'5. Historical demand'!F195-'5. Historical demand'!C195-'5. Historical demand'!D195,""),"")</f>
        <v>211.2</v>
      </c>
      <c r="I195" s="11">
        <f t="shared" si="8"/>
        <v>218.07600000000002</v>
      </c>
    </row>
    <row r="196" spans="2:9">
      <c r="B196" s="192">
        <f t="shared" si="6"/>
        <v>45627</v>
      </c>
      <c r="C196" s="81">
        <v>300.8</v>
      </c>
      <c r="D196" s="81"/>
      <c r="E196" s="81">
        <v>85.775000000000006</v>
      </c>
      <c r="F196" s="81">
        <v>512</v>
      </c>
      <c r="G196" s="11">
        <f t="shared" si="7"/>
        <v>426.22500000000002</v>
      </c>
      <c r="H196" s="11">
        <f>IFERROR(IF(Yearending&gt;B195,'5. Historical demand'!F196-'5. Historical demand'!C196-'5. Historical demand'!D196,""),"")</f>
        <v>211.2</v>
      </c>
      <c r="I196" s="11">
        <f t="shared" si="8"/>
        <v>215.02500000000001</v>
      </c>
    </row>
    <row r="197" spans="2:9">
      <c r="B197" s="192">
        <f t="shared" si="6"/>
        <v>45628</v>
      </c>
      <c r="C197" s="81">
        <v>300.8</v>
      </c>
      <c r="D197" s="81"/>
      <c r="E197" s="81">
        <v>115.66</v>
      </c>
      <c r="F197" s="81">
        <v>512</v>
      </c>
      <c r="G197" s="11">
        <f t="shared" si="7"/>
        <v>396.34000000000003</v>
      </c>
      <c r="H197" s="11">
        <f>IFERROR(IF(Yearending&gt;B196,'5. Historical demand'!F197-'5. Historical demand'!C197-'5. Historical demand'!D197,""),"")</f>
        <v>211.2</v>
      </c>
      <c r="I197" s="11">
        <f t="shared" si="8"/>
        <v>185.14000000000001</v>
      </c>
    </row>
    <row r="198" spans="2:9">
      <c r="B198" s="192">
        <f t="shared" si="6"/>
        <v>45629</v>
      </c>
      <c r="C198" s="81">
        <v>300.8</v>
      </c>
      <c r="D198" s="81"/>
      <c r="E198" s="81">
        <v>82.805000000000007</v>
      </c>
      <c r="F198" s="81">
        <v>512</v>
      </c>
      <c r="G198" s="11">
        <f t="shared" si="7"/>
        <v>429.19499999999999</v>
      </c>
      <c r="H198" s="11">
        <f>IFERROR(IF(Yearending&gt;B197,'5. Historical demand'!F198-'5. Historical demand'!C198-'5. Historical demand'!D198,""),"")</f>
        <v>211.2</v>
      </c>
      <c r="I198" s="11">
        <f t="shared" si="8"/>
        <v>217.995</v>
      </c>
    </row>
    <row r="199" spans="2:9">
      <c r="B199" s="192">
        <f t="shared" si="6"/>
        <v>45630</v>
      </c>
      <c r="C199" s="81">
        <v>300.8</v>
      </c>
      <c r="D199" s="81"/>
      <c r="E199" s="81">
        <v>91.492999999999995</v>
      </c>
      <c r="F199" s="81">
        <v>512</v>
      </c>
      <c r="G199" s="11">
        <f t="shared" si="7"/>
        <v>420.50700000000001</v>
      </c>
      <c r="H199" s="11">
        <f>IFERROR(IF(Yearending&gt;B198,'5. Historical demand'!F199-'5. Historical demand'!C199-'5. Historical demand'!D199,""),"")</f>
        <v>211.2</v>
      </c>
      <c r="I199" s="11">
        <f t="shared" si="8"/>
        <v>209.30700000000002</v>
      </c>
    </row>
    <row r="200" spans="2:9">
      <c r="B200" s="192">
        <f t="shared" si="6"/>
        <v>45631</v>
      </c>
      <c r="C200" s="81">
        <v>300.8</v>
      </c>
      <c r="D200" s="81"/>
      <c r="E200" s="81">
        <v>90.833999999999989</v>
      </c>
      <c r="F200" s="81">
        <v>512</v>
      </c>
      <c r="G200" s="11">
        <f t="shared" si="7"/>
        <v>421.166</v>
      </c>
      <c r="H200" s="11">
        <f>IFERROR(IF(Yearending&gt;B199,'5. Historical demand'!F200-'5. Historical demand'!C200-'5. Historical demand'!D200,""),"")</f>
        <v>211.2</v>
      </c>
      <c r="I200" s="11">
        <f t="shared" si="8"/>
        <v>209.96600000000001</v>
      </c>
    </row>
    <row r="201" spans="2:9">
      <c r="B201" s="192">
        <f t="shared" si="6"/>
        <v>45632</v>
      </c>
      <c r="C201" s="81">
        <v>300.8</v>
      </c>
      <c r="D201" s="81"/>
      <c r="E201" s="81">
        <v>133.05600000000001</v>
      </c>
      <c r="F201" s="81">
        <v>512</v>
      </c>
      <c r="G201" s="11">
        <f t="shared" si="7"/>
        <v>378.94399999999996</v>
      </c>
      <c r="H201" s="11">
        <f>IFERROR(IF(Yearending&gt;B200,'5. Historical demand'!F201-'5. Historical demand'!C201-'5. Historical demand'!D201,""),"")</f>
        <v>211.2</v>
      </c>
      <c r="I201" s="11">
        <f t="shared" si="8"/>
        <v>167.744</v>
      </c>
    </row>
    <row r="202" spans="2:9">
      <c r="B202" s="192">
        <f t="shared" si="6"/>
        <v>45633</v>
      </c>
      <c r="C202" s="81">
        <v>300.8</v>
      </c>
      <c r="D202" s="81"/>
      <c r="E202" s="81">
        <v>107.187</v>
      </c>
      <c r="F202" s="81">
        <v>512</v>
      </c>
      <c r="G202" s="11">
        <f t="shared" si="7"/>
        <v>404.81299999999999</v>
      </c>
      <c r="H202" s="11">
        <f>IFERROR(IF(Yearending&gt;B201,'5. Historical demand'!F202-'5. Historical demand'!C202-'5. Historical demand'!D202,""),"")</f>
        <v>211.2</v>
      </c>
      <c r="I202" s="11">
        <f t="shared" si="8"/>
        <v>193.613</v>
      </c>
    </row>
    <row r="203" spans="2:9">
      <c r="B203" s="192">
        <f t="shared" si="6"/>
        <v>45634</v>
      </c>
      <c r="C203" s="81">
        <v>300.8</v>
      </c>
      <c r="D203" s="81"/>
      <c r="E203" s="81">
        <v>101.947</v>
      </c>
      <c r="F203" s="81">
        <v>512</v>
      </c>
      <c r="G203" s="11">
        <f t="shared" si="7"/>
        <v>410.053</v>
      </c>
      <c r="H203" s="11">
        <f>IFERROR(IF(Yearending&gt;B202,'5. Historical demand'!F203-'5. Historical demand'!C203-'5. Historical demand'!D203,""),"")</f>
        <v>211.2</v>
      </c>
      <c r="I203" s="11">
        <f t="shared" si="8"/>
        <v>198.85300000000001</v>
      </c>
    </row>
    <row r="204" spans="2:9">
      <c r="B204" s="192">
        <f t="shared" si="6"/>
        <v>45635</v>
      </c>
      <c r="C204" s="81">
        <v>300.8</v>
      </c>
      <c r="D204" s="81"/>
      <c r="E204" s="81">
        <v>108.706</v>
      </c>
      <c r="F204" s="81">
        <v>512</v>
      </c>
      <c r="G204" s="11">
        <f t="shared" si="7"/>
        <v>403.29399999999998</v>
      </c>
      <c r="H204" s="11">
        <f>IFERROR(IF(Yearending&gt;B203,'5. Historical demand'!F204-'5. Historical demand'!C204-'5. Historical demand'!D204,""),"")</f>
        <v>211.2</v>
      </c>
      <c r="I204" s="11">
        <f t="shared" si="8"/>
        <v>192.09399999999999</v>
      </c>
    </row>
    <row r="205" spans="2:9">
      <c r="B205" s="192">
        <f t="shared" si="6"/>
        <v>45636</v>
      </c>
      <c r="C205" s="81">
        <v>300.8</v>
      </c>
      <c r="D205" s="81"/>
      <c r="E205" s="81">
        <v>98.13</v>
      </c>
      <c r="F205" s="81">
        <v>512</v>
      </c>
      <c r="G205" s="11">
        <f t="shared" si="7"/>
        <v>413.87</v>
      </c>
      <c r="H205" s="11">
        <f>IFERROR(IF(Yearending&gt;B204,'5. Historical demand'!F205-'5. Historical demand'!C205-'5. Historical demand'!D205,""),"")</f>
        <v>211.2</v>
      </c>
      <c r="I205" s="11">
        <f t="shared" si="8"/>
        <v>202.67000000000002</v>
      </c>
    </row>
    <row r="206" spans="2:9">
      <c r="B206" s="192">
        <f t="shared" si="6"/>
        <v>45637</v>
      </c>
      <c r="C206" s="81">
        <v>300.8</v>
      </c>
      <c r="D206" s="81"/>
      <c r="E206" s="81">
        <v>148.375</v>
      </c>
      <c r="F206" s="81">
        <v>512</v>
      </c>
      <c r="G206" s="11">
        <f t="shared" si="7"/>
        <v>363.625</v>
      </c>
      <c r="H206" s="11">
        <f>IFERROR(IF(Yearending&gt;B205,'5. Historical demand'!F206-'5. Historical demand'!C206-'5. Historical demand'!D206,""),"")</f>
        <v>211.2</v>
      </c>
      <c r="I206" s="11">
        <f t="shared" si="8"/>
        <v>152.42500000000001</v>
      </c>
    </row>
    <row r="207" spans="2:9">
      <c r="B207" s="192">
        <f t="shared" si="6"/>
        <v>45638</v>
      </c>
      <c r="C207" s="81">
        <v>300.8</v>
      </c>
      <c r="D207" s="81"/>
      <c r="E207" s="81">
        <v>180.94400000000002</v>
      </c>
      <c r="F207" s="81">
        <v>512</v>
      </c>
      <c r="G207" s="11">
        <f t="shared" si="7"/>
        <v>331.05599999999998</v>
      </c>
      <c r="H207" s="11">
        <f>IFERROR(IF(Yearending&gt;B206,'5. Historical demand'!F207-'5. Historical demand'!C207-'5. Historical demand'!D207,""),"")</f>
        <v>211.2</v>
      </c>
      <c r="I207" s="11">
        <f t="shared" si="8"/>
        <v>119.85599999999999</v>
      </c>
    </row>
    <row r="208" spans="2:9">
      <c r="B208" s="192">
        <f t="shared" si="6"/>
        <v>45639</v>
      </c>
      <c r="C208" s="81">
        <v>300.8</v>
      </c>
      <c r="D208" s="81"/>
      <c r="E208" s="81">
        <v>155.14299999999997</v>
      </c>
      <c r="F208" s="81">
        <v>512</v>
      </c>
      <c r="G208" s="11">
        <f t="shared" si="7"/>
        <v>356.85700000000003</v>
      </c>
      <c r="H208" s="11">
        <f>IFERROR(IF(Yearending&gt;B207,'5. Historical demand'!F208-'5. Historical demand'!C208-'5. Historical demand'!D208,""),"")</f>
        <v>211.2</v>
      </c>
      <c r="I208" s="11">
        <f t="shared" si="8"/>
        <v>145.65700000000004</v>
      </c>
    </row>
    <row r="209" spans="2:9">
      <c r="B209" s="192">
        <f t="shared" si="6"/>
        <v>45640</v>
      </c>
      <c r="C209" s="81">
        <v>300.8</v>
      </c>
      <c r="D209" s="81"/>
      <c r="E209" s="81">
        <v>143.36199999999999</v>
      </c>
      <c r="F209" s="81">
        <v>512</v>
      </c>
      <c r="G209" s="11">
        <f t="shared" si="7"/>
        <v>368.63800000000003</v>
      </c>
      <c r="H209" s="11">
        <f>IFERROR(IF(Yearending&gt;B208,'5. Historical demand'!F209-'5. Historical demand'!C209-'5. Historical demand'!D209,""),"")</f>
        <v>211.2</v>
      </c>
      <c r="I209" s="11">
        <f t="shared" si="8"/>
        <v>157.43800000000002</v>
      </c>
    </row>
    <row r="210" spans="2:9">
      <c r="B210" s="192">
        <f t="shared" si="6"/>
        <v>45641</v>
      </c>
      <c r="C210" s="81">
        <v>300.8</v>
      </c>
      <c r="D210" s="81"/>
      <c r="E210" s="81">
        <v>159.53</v>
      </c>
      <c r="F210" s="81">
        <v>512</v>
      </c>
      <c r="G210" s="11">
        <f t="shared" si="7"/>
        <v>352.47</v>
      </c>
      <c r="H210" s="11">
        <f>IFERROR(IF(Yearending&gt;B209,'5. Historical demand'!F210-'5. Historical demand'!C210-'5. Historical demand'!D210,""),"")</f>
        <v>211.2</v>
      </c>
      <c r="I210" s="11">
        <f t="shared" si="8"/>
        <v>141.27000000000001</v>
      </c>
    </row>
    <row r="211" spans="2:9">
      <c r="B211" s="192">
        <f t="shared" si="6"/>
        <v>45642</v>
      </c>
      <c r="C211" s="81">
        <v>300.8</v>
      </c>
      <c r="D211" s="81"/>
      <c r="E211" s="81">
        <v>141.435</v>
      </c>
      <c r="F211" s="81">
        <v>512</v>
      </c>
      <c r="G211" s="11">
        <f t="shared" si="7"/>
        <v>370.565</v>
      </c>
      <c r="H211" s="11">
        <f>IFERROR(IF(Yearending&gt;B210,'5. Historical demand'!F211-'5. Historical demand'!C211-'5. Historical demand'!D211,""),"")</f>
        <v>211.2</v>
      </c>
      <c r="I211" s="11">
        <f t="shared" si="8"/>
        <v>159.36500000000001</v>
      </c>
    </row>
    <row r="212" spans="2:9">
      <c r="B212" s="192">
        <f t="shared" si="6"/>
        <v>45643</v>
      </c>
      <c r="C212" s="81">
        <v>300.8</v>
      </c>
      <c r="D212" s="81"/>
      <c r="E212" s="81">
        <v>134.34199999999998</v>
      </c>
      <c r="F212" s="81">
        <v>512</v>
      </c>
      <c r="G212" s="11">
        <f t="shared" si="7"/>
        <v>377.65800000000002</v>
      </c>
      <c r="H212" s="11">
        <f>IFERROR(IF(Yearending&gt;B211,'5. Historical demand'!F212-'5. Historical demand'!C212-'5. Historical demand'!D212,""),"")</f>
        <v>211.2</v>
      </c>
      <c r="I212" s="11">
        <f t="shared" si="8"/>
        <v>166.45800000000003</v>
      </c>
    </row>
    <row r="213" spans="2:9">
      <c r="B213" s="192">
        <f t="shared" si="6"/>
        <v>45644</v>
      </c>
      <c r="C213" s="81">
        <v>300.8</v>
      </c>
      <c r="D213" s="81"/>
      <c r="E213" s="81">
        <v>129.49799999999999</v>
      </c>
      <c r="F213" s="81">
        <v>512</v>
      </c>
      <c r="G213" s="11">
        <f t="shared" si="7"/>
        <v>382.50200000000001</v>
      </c>
      <c r="H213" s="11">
        <f>IFERROR(IF(Yearending&gt;B212,'5. Historical demand'!F213-'5. Historical demand'!C213-'5. Historical demand'!D213,""),"")</f>
        <v>211.2</v>
      </c>
      <c r="I213" s="11">
        <f t="shared" si="8"/>
        <v>171.30200000000002</v>
      </c>
    </row>
    <row r="214" spans="2:9">
      <c r="B214" s="192">
        <f t="shared" si="6"/>
        <v>45645</v>
      </c>
      <c r="C214" s="81">
        <v>300.8</v>
      </c>
      <c r="D214" s="81"/>
      <c r="E214" s="81">
        <v>120.92400000000001</v>
      </c>
      <c r="F214" s="81">
        <v>512</v>
      </c>
      <c r="G214" s="11">
        <f t="shared" si="7"/>
        <v>391.07600000000002</v>
      </c>
      <c r="H214" s="11">
        <f>IFERROR(IF(Yearending&gt;B213,'5. Historical demand'!F214-'5. Historical demand'!C214-'5. Historical demand'!D214,""),"")</f>
        <v>211.2</v>
      </c>
      <c r="I214" s="11">
        <f t="shared" si="8"/>
        <v>179.876</v>
      </c>
    </row>
    <row r="215" spans="2:9">
      <c r="B215" s="192">
        <f t="shared" si="6"/>
        <v>45646</v>
      </c>
      <c r="C215" s="81">
        <v>300.8</v>
      </c>
      <c r="D215" s="81"/>
      <c r="E215" s="81">
        <v>132.047</v>
      </c>
      <c r="F215" s="81">
        <v>512</v>
      </c>
      <c r="G215" s="11">
        <f t="shared" si="7"/>
        <v>379.95299999999997</v>
      </c>
      <c r="H215" s="11">
        <f>IFERROR(IF(Yearending&gt;B214,'5. Historical demand'!F215-'5. Historical demand'!C215-'5. Historical demand'!D215,""),"")</f>
        <v>211.2</v>
      </c>
      <c r="I215" s="11">
        <f t="shared" si="8"/>
        <v>168.75300000000001</v>
      </c>
    </row>
    <row r="216" spans="2:9">
      <c r="B216" s="192">
        <f t="shared" si="6"/>
        <v>45647</v>
      </c>
      <c r="C216" s="81">
        <v>300.8</v>
      </c>
      <c r="D216" s="81"/>
      <c r="E216" s="81">
        <v>132.77000000000001</v>
      </c>
      <c r="F216" s="81">
        <v>512</v>
      </c>
      <c r="G216" s="11">
        <f t="shared" si="7"/>
        <v>379.23</v>
      </c>
      <c r="H216" s="11">
        <f>IFERROR(IF(Yearending&gt;B215,'5. Historical demand'!F216-'5. Historical demand'!C216-'5. Historical demand'!D216,""),"")</f>
        <v>211.2</v>
      </c>
      <c r="I216" s="11">
        <f t="shared" si="8"/>
        <v>168.03</v>
      </c>
    </row>
    <row r="217" spans="2:9">
      <c r="B217" s="192">
        <f t="shared" si="6"/>
        <v>45648</v>
      </c>
      <c r="C217" s="81">
        <v>300.8</v>
      </c>
      <c r="D217" s="81"/>
      <c r="E217" s="81">
        <v>114.76299999999999</v>
      </c>
      <c r="F217" s="81">
        <v>512</v>
      </c>
      <c r="G217" s="11">
        <f t="shared" si="7"/>
        <v>397.23700000000002</v>
      </c>
      <c r="H217" s="11">
        <f>IFERROR(IF(Yearending&gt;B216,'5. Historical demand'!F217-'5. Historical demand'!C217-'5. Historical demand'!D217,""),"")</f>
        <v>211.2</v>
      </c>
      <c r="I217" s="11">
        <f t="shared" si="8"/>
        <v>186.03700000000003</v>
      </c>
    </row>
    <row r="218" spans="2:9">
      <c r="B218" s="192">
        <f t="shared" si="6"/>
        <v>45649</v>
      </c>
      <c r="C218" s="81">
        <v>300.8</v>
      </c>
      <c r="D218" s="81"/>
      <c r="E218" s="81">
        <v>128.82999999999998</v>
      </c>
      <c r="F218" s="81">
        <v>512</v>
      </c>
      <c r="G218" s="11">
        <f t="shared" si="7"/>
        <v>383.17</v>
      </c>
      <c r="H218" s="11">
        <f>IFERROR(IF(Yearending&gt;B217,'5. Historical demand'!F218-'5. Historical demand'!C218-'5. Historical demand'!D218,""),"")</f>
        <v>211.2</v>
      </c>
      <c r="I218" s="11">
        <f t="shared" si="8"/>
        <v>171.97000000000003</v>
      </c>
    </row>
    <row r="219" spans="2:9">
      <c r="B219" s="192">
        <f t="shared" si="6"/>
        <v>45650</v>
      </c>
      <c r="C219" s="81">
        <v>300.8</v>
      </c>
      <c r="D219" s="81"/>
      <c r="E219" s="81">
        <v>103.955</v>
      </c>
      <c r="F219" s="81">
        <v>512</v>
      </c>
      <c r="G219" s="11">
        <f t="shared" si="7"/>
        <v>408.04500000000002</v>
      </c>
      <c r="H219" s="11">
        <f>IFERROR(IF(Yearending&gt;B218,'5. Historical demand'!F219-'5. Historical demand'!C219-'5. Historical demand'!D219,""),"")</f>
        <v>211.2</v>
      </c>
      <c r="I219" s="11">
        <f t="shared" si="8"/>
        <v>196.84500000000003</v>
      </c>
    </row>
    <row r="220" spans="2:9">
      <c r="B220" s="192">
        <f t="shared" si="6"/>
        <v>45651</v>
      </c>
      <c r="C220" s="81">
        <v>300.8</v>
      </c>
      <c r="D220" s="81"/>
      <c r="E220" s="81">
        <v>124.053</v>
      </c>
      <c r="F220" s="81">
        <v>512</v>
      </c>
      <c r="G220" s="11">
        <f t="shared" si="7"/>
        <v>387.947</v>
      </c>
      <c r="H220" s="11">
        <f>IFERROR(IF(Yearending&gt;B219,'5. Historical demand'!F220-'5. Historical demand'!C220-'5. Historical demand'!D220,""),"")</f>
        <v>211.2</v>
      </c>
      <c r="I220" s="11">
        <f t="shared" si="8"/>
        <v>176.74700000000001</v>
      </c>
    </row>
    <row r="221" spans="2:9">
      <c r="B221" s="192">
        <f t="shared" si="6"/>
        <v>45652</v>
      </c>
      <c r="C221" s="81">
        <v>300.8</v>
      </c>
      <c r="D221" s="81"/>
      <c r="E221" s="81">
        <v>121.64400000000001</v>
      </c>
      <c r="F221" s="81">
        <v>512</v>
      </c>
      <c r="G221" s="11">
        <f t="shared" si="7"/>
        <v>390.35599999999999</v>
      </c>
      <c r="H221" s="11">
        <f>IFERROR(IF(Yearending&gt;B220,'5. Historical demand'!F221-'5. Historical demand'!C221-'5. Historical demand'!D221,""),"")</f>
        <v>211.2</v>
      </c>
      <c r="I221" s="11">
        <f t="shared" si="8"/>
        <v>179.15600000000001</v>
      </c>
    </row>
    <row r="222" spans="2:9">
      <c r="B222" s="192">
        <f t="shared" si="6"/>
        <v>45653</v>
      </c>
      <c r="C222" s="81">
        <v>300.8</v>
      </c>
      <c r="D222" s="81"/>
      <c r="E222" s="81">
        <v>135.67099999999999</v>
      </c>
      <c r="F222" s="81">
        <v>512</v>
      </c>
      <c r="G222" s="11">
        <f t="shared" si="7"/>
        <v>376.32900000000001</v>
      </c>
      <c r="H222" s="11">
        <f>IFERROR(IF(Yearending&gt;B221,'5. Historical demand'!F222-'5. Historical demand'!C222-'5. Historical demand'!D222,""),"")</f>
        <v>211.2</v>
      </c>
      <c r="I222" s="11">
        <f t="shared" si="8"/>
        <v>165.12900000000002</v>
      </c>
    </row>
    <row r="223" spans="2:9">
      <c r="B223" s="192">
        <f t="shared" si="6"/>
        <v>45654</v>
      </c>
      <c r="C223" s="81">
        <v>300.8</v>
      </c>
      <c r="D223" s="81"/>
      <c r="E223" s="81">
        <v>113.18300000000001</v>
      </c>
      <c r="F223" s="81">
        <v>512</v>
      </c>
      <c r="G223" s="11">
        <f t="shared" si="7"/>
        <v>398.81700000000001</v>
      </c>
      <c r="H223" s="11">
        <f>IFERROR(IF(Yearending&gt;B222,'5. Historical demand'!F223-'5. Historical demand'!C223-'5. Historical demand'!D223,""),"")</f>
        <v>211.2</v>
      </c>
      <c r="I223" s="11">
        <f t="shared" si="8"/>
        <v>187.61700000000002</v>
      </c>
    </row>
    <row r="224" spans="2:9">
      <c r="B224" s="192">
        <f t="shared" si="6"/>
        <v>45655</v>
      </c>
      <c r="C224" s="81">
        <v>300.8</v>
      </c>
      <c r="D224" s="81"/>
      <c r="E224" s="81">
        <v>110.533</v>
      </c>
      <c r="F224" s="81">
        <v>512</v>
      </c>
      <c r="G224" s="11">
        <f t="shared" si="7"/>
        <v>401.46699999999998</v>
      </c>
      <c r="H224" s="11">
        <f>IFERROR(IF(Yearending&gt;B223,'5. Historical demand'!F224-'5. Historical demand'!C224-'5. Historical demand'!D224,""),"")</f>
        <v>211.2</v>
      </c>
      <c r="I224" s="11">
        <f t="shared" si="8"/>
        <v>190.267</v>
      </c>
    </row>
    <row r="225" spans="2:9">
      <c r="B225" s="192">
        <f t="shared" si="6"/>
        <v>45656</v>
      </c>
      <c r="C225" s="81">
        <v>300.8</v>
      </c>
      <c r="D225" s="81"/>
      <c r="E225" s="81">
        <v>177.804</v>
      </c>
      <c r="F225" s="81">
        <v>512</v>
      </c>
      <c r="G225" s="11">
        <f t="shared" si="7"/>
        <v>334.19600000000003</v>
      </c>
      <c r="H225" s="11">
        <f>IFERROR(IF(Yearending&gt;B224,'5. Historical demand'!F225-'5. Historical demand'!C225-'5. Historical demand'!D225,""),"")</f>
        <v>211.2</v>
      </c>
      <c r="I225" s="11">
        <f t="shared" si="8"/>
        <v>122.99600000000001</v>
      </c>
    </row>
    <row r="226" spans="2:9">
      <c r="B226" s="192">
        <f t="shared" si="6"/>
        <v>45657</v>
      </c>
      <c r="C226" s="81">
        <v>300.8</v>
      </c>
      <c r="D226" s="81"/>
      <c r="E226" s="81">
        <v>194.45</v>
      </c>
      <c r="F226" s="81">
        <v>512</v>
      </c>
      <c r="G226" s="11">
        <f t="shared" si="7"/>
        <v>317.55</v>
      </c>
      <c r="H226" s="11">
        <f>IFERROR(IF(Yearending&gt;B225,'5. Historical demand'!F226-'5. Historical demand'!C226-'5. Historical demand'!D226,""),"")</f>
        <v>211.2</v>
      </c>
      <c r="I226" s="11">
        <f t="shared" si="8"/>
        <v>106.35000000000002</v>
      </c>
    </row>
    <row r="227" spans="2:9">
      <c r="B227" s="192">
        <f t="shared" si="6"/>
        <v>45658</v>
      </c>
      <c r="C227" s="81">
        <v>292.10000000000002</v>
      </c>
      <c r="D227" s="81"/>
      <c r="E227" s="81">
        <v>109.16799999999999</v>
      </c>
      <c r="F227" s="81">
        <v>512</v>
      </c>
      <c r="G227" s="11">
        <f t="shared" si="7"/>
        <v>402.83199999999999</v>
      </c>
      <c r="H227" s="11">
        <f>IFERROR(IF(Yearending&gt;B226,'5. Historical demand'!F227-'5. Historical demand'!C227-'5. Historical demand'!D227,""),"")</f>
        <v>219.89999999999998</v>
      </c>
      <c r="I227" s="11">
        <f t="shared" si="8"/>
        <v>182.93200000000002</v>
      </c>
    </row>
    <row r="228" spans="2:9">
      <c r="B228" s="192">
        <f t="shared" si="6"/>
        <v>45659</v>
      </c>
      <c r="C228" s="81">
        <v>292.10000000000002</v>
      </c>
      <c r="D228" s="81"/>
      <c r="E228" s="81">
        <v>220.541</v>
      </c>
      <c r="F228" s="81">
        <v>512</v>
      </c>
      <c r="G228" s="11">
        <f t="shared" si="7"/>
        <v>291.459</v>
      </c>
      <c r="H228" s="11">
        <f>IFERROR(IF(Yearending&gt;B227,'5. Historical demand'!F228-'5. Historical demand'!C228-'5. Historical demand'!D228,""),"")</f>
        <v>219.89999999999998</v>
      </c>
      <c r="I228" s="11">
        <f t="shared" si="8"/>
        <v>71.559000000000026</v>
      </c>
    </row>
    <row r="229" spans="2:9">
      <c r="B229" s="192">
        <f t="shared" si="6"/>
        <v>45660</v>
      </c>
      <c r="C229" s="81">
        <v>292.10000000000002</v>
      </c>
      <c r="D229" s="81"/>
      <c r="E229" s="81">
        <v>207.18899999999999</v>
      </c>
      <c r="F229" s="81">
        <v>512</v>
      </c>
      <c r="G229" s="11">
        <f t="shared" si="7"/>
        <v>304.81100000000004</v>
      </c>
      <c r="H229" s="11">
        <f>IFERROR(IF(Yearending&gt;B228,'5. Historical demand'!F229-'5. Historical demand'!C229-'5. Historical demand'!D229,""),"")</f>
        <v>219.89999999999998</v>
      </c>
      <c r="I229" s="11">
        <f t="shared" si="8"/>
        <v>84.91100000000003</v>
      </c>
    </row>
    <row r="230" spans="2:9">
      <c r="B230" s="192">
        <f t="shared" si="6"/>
        <v>45661</v>
      </c>
      <c r="C230" s="81">
        <v>292.10000000000002</v>
      </c>
      <c r="D230" s="81"/>
      <c r="E230" s="81">
        <v>116.029</v>
      </c>
      <c r="F230" s="81">
        <v>512</v>
      </c>
      <c r="G230" s="11">
        <f t="shared" si="7"/>
        <v>395.971</v>
      </c>
      <c r="H230" s="11">
        <f>IFERROR(IF(Yearending&gt;B229,'5. Historical demand'!F230-'5. Historical demand'!C230-'5. Historical demand'!D230,""),"")</f>
        <v>219.89999999999998</v>
      </c>
      <c r="I230" s="11">
        <f t="shared" si="8"/>
        <v>176.07100000000003</v>
      </c>
    </row>
    <row r="231" spans="2:9">
      <c r="B231" s="192">
        <f t="shared" si="6"/>
        <v>45662</v>
      </c>
      <c r="C231" s="81">
        <v>292.10000000000002</v>
      </c>
      <c r="D231" s="81"/>
      <c r="E231" s="81">
        <v>170.20499999999998</v>
      </c>
      <c r="F231" s="81">
        <v>512</v>
      </c>
      <c r="G231" s="11">
        <f t="shared" si="7"/>
        <v>341.79500000000002</v>
      </c>
      <c r="H231" s="11">
        <f>IFERROR(IF(Yearending&gt;B230,'5. Historical demand'!F231-'5. Historical demand'!C231-'5. Historical demand'!D231,""),"")</f>
        <v>219.89999999999998</v>
      </c>
      <c r="I231" s="11">
        <f t="shared" si="8"/>
        <v>121.89500000000004</v>
      </c>
    </row>
    <row r="232" spans="2:9">
      <c r="B232" s="192">
        <f t="shared" si="6"/>
        <v>45663</v>
      </c>
      <c r="C232" s="81">
        <v>292.10000000000002</v>
      </c>
      <c r="D232" s="81"/>
      <c r="E232" s="81">
        <v>150.74799999999999</v>
      </c>
      <c r="F232" s="81">
        <v>512</v>
      </c>
      <c r="G232" s="11">
        <f t="shared" si="7"/>
        <v>361.25200000000001</v>
      </c>
      <c r="H232" s="11">
        <f>IFERROR(IF(Yearending&gt;B231,'5. Historical demand'!F232-'5. Historical demand'!C232-'5. Historical demand'!D232,""),"")</f>
        <v>219.89999999999998</v>
      </c>
      <c r="I232" s="11">
        <f t="shared" si="8"/>
        <v>141.35200000000003</v>
      </c>
    </row>
    <row r="233" spans="2:9">
      <c r="B233" s="192">
        <f t="shared" si="6"/>
        <v>45664</v>
      </c>
      <c r="C233" s="81">
        <v>292.10000000000002</v>
      </c>
      <c r="D233" s="81"/>
      <c r="E233" s="81">
        <v>129.58799999999999</v>
      </c>
      <c r="F233" s="81">
        <v>512</v>
      </c>
      <c r="G233" s="11">
        <f t="shared" si="7"/>
        <v>382.41200000000003</v>
      </c>
      <c r="H233" s="11">
        <f>IFERROR(IF(Yearending&gt;B232,'5. Historical demand'!F233-'5. Historical demand'!C233-'5. Historical demand'!D233,""),"")</f>
        <v>219.89999999999998</v>
      </c>
      <c r="I233" s="11">
        <f t="shared" si="8"/>
        <v>162.51200000000003</v>
      </c>
    </row>
    <row r="234" spans="2:9">
      <c r="B234" s="192">
        <f t="shared" si="6"/>
        <v>45665</v>
      </c>
      <c r="C234" s="81">
        <v>292.10000000000002</v>
      </c>
      <c r="D234" s="81"/>
      <c r="E234" s="81">
        <v>138.709</v>
      </c>
      <c r="F234" s="81">
        <v>512</v>
      </c>
      <c r="G234" s="11">
        <f t="shared" si="7"/>
        <v>373.291</v>
      </c>
      <c r="H234" s="11">
        <f>IFERROR(IF(Yearending&gt;B233,'5. Historical demand'!F234-'5. Historical demand'!C234-'5. Historical demand'!D234,""),"")</f>
        <v>219.89999999999998</v>
      </c>
      <c r="I234" s="11">
        <f t="shared" si="8"/>
        <v>153.39100000000002</v>
      </c>
    </row>
    <row r="235" spans="2:9">
      <c r="B235" s="192">
        <f t="shared" si="6"/>
        <v>45666</v>
      </c>
      <c r="C235" s="81">
        <v>292.10000000000002</v>
      </c>
      <c r="D235" s="81"/>
      <c r="E235" s="81">
        <v>140.54</v>
      </c>
      <c r="F235" s="81">
        <v>512</v>
      </c>
      <c r="G235" s="11">
        <f t="shared" si="7"/>
        <v>371.46000000000004</v>
      </c>
      <c r="H235" s="11">
        <f>IFERROR(IF(Yearending&gt;B234,'5. Historical demand'!F235-'5. Historical demand'!C235-'5. Historical demand'!D235,""),"")</f>
        <v>219.89999999999998</v>
      </c>
      <c r="I235" s="11">
        <f t="shared" si="8"/>
        <v>151.56000000000003</v>
      </c>
    </row>
    <row r="236" spans="2:9">
      <c r="B236" s="192">
        <f t="shared" ref="B236:B299" si="9">IFERROR(IF(Yearending&gt;B235, B235+1, ""),"")</f>
        <v>45667</v>
      </c>
      <c r="C236" s="81">
        <v>292.10000000000002</v>
      </c>
      <c r="D236" s="81"/>
      <c r="E236" s="81">
        <v>173.87900000000002</v>
      </c>
      <c r="F236" s="81">
        <v>512</v>
      </c>
      <c r="G236" s="11">
        <f t="shared" ref="G236:G299" si="10">IFERROR(IF(Yearending&gt;B235,F236-E236,""),"")</f>
        <v>338.12099999999998</v>
      </c>
      <c r="H236" s="11">
        <f>IFERROR(IF(Yearending&gt;B235,'5. Historical demand'!F236-'5. Historical demand'!C236-'5. Historical demand'!D236,""),"")</f>
        <v>219.89999999999998</v>
      </c>
      <c r="I236" s="11">
        <f t="shared" ref="I236:I299" si="11">IFERROR(IF(Yearending&gt;B235,C236+D236-E236,""),"")</f>
        <v>118.221</v>
      </c>
    </row>
    <row r="237" spans="2:9">
      <c r="B237" s="192">
        <f t="shared" si="9"/>
        <v>45668</v>
      </c>
      <c r="C237" s="81">
        <v>292.10000000000002</v>
      </c>
      <c r="D237" s="81"/>
      <c r="E237" s="81">
        <v>160.63200000000001</v>
      </c>
      <c r="F237" s="81">
        <v>512</v>
      </c>
      <c r="G237" s="11">
        <f t="shared" si="10"/>
        <v>351.36799999999999</v>
      </c>
      <c r="H237" s="11">
        <f>IFERROR(IF(Yearending&gt;B236,'5. Historical demand'!F237-'5. Historical demand'!C237-'5. Historical demand'!D237,""),"")</f>
        <v>219.89999999999998</v>
      </c>
      <c r="I237" s="11">
        <f t="shared" si="11"/>
        <v>131.46800000000002</v>
      </c>
    </row>
    <row r="238" spans="2:9">
      <c r="B238" s="192">
        <f t="shared" si="9"/>
        <v>45669</v>
      </c>
      <c r="C238" s="81">
        <v>292.10000000000002</v>
      </c>
      <c r="D238" s="81"/>
      <c r="E238" s="81">
        <v>129.256</v>
      </c>
      <c r="F238" s="81">
        <v>512</v>
      </c>
      <c r="G238" s="11">
        <f t="shared" si="10"/>
        <v>382.74400000000003</v>
      </c>
      <c r="H238" s="11">
        <f>IFERROR(IF(Yearending&gt;B237,'5. Historical demand'!F238-'5. Historical demand'!C238-'5. Historical demand'!D238,""),"")</f>
        <v>219.89999999999998</v>
      </c>
      <c r="I238" s="11">
        <f t="shared" si="11"/>
        <v>162.84400000000002</v>
      </c>
    </row>
    <row r="239" spans="2:9">
      <c r="B239" s="192">
        <f t="shared" si="9"/>
        <v>45670</v>
      </c>
      <c r="C239" s="81">
        <v>292.10000000000002</v>
      </c>
      <c r="D239" s="81"/>
      <c r="E239" s="81">
        <v>145.40800000000002</v>
      </c>
      <c r="F239" s="81">
        <v>512</v>
      </c>
      <c r="G239" s="11">
        <f t="shared" si="10"/>
        <v>366.59199999999998</v>
      </c>
      <c r="H239" s="11">
        <f>IFERROR(IF(Yearending&gt;B238,'5. Historical demand'!F239-'5. Historical demand'!C239-'5. Historical demand'!D239,""),"")</f>
        <v>219.89999999999998</v>
      </c>
      <c r="I239" s="11">
        <f t="shared" si="11"/>
        <v>146.69200000000001</v>
      </c>
    </row>
    <row r="240" spans="2:9">
      <c r="B240" s="192">
        <f t="shared" si="9"/>
        <v>45671</v>
      </c>
      <c r="C240" s="81">
        <v>292.10000000000002</v>
      </c>
      <c r="D240" s="81"/>
      <c r="E240" s="81">
        <v>154.16399999999999</v>
      </c>
      <c r="F240" s="81">
        <v>512</v>
      </c>
      <c r="G240" s="11">
        <f t="shared" si="10"/>
        <v>357.83600000000001</v>
      </c>
      <c r="H240" s="11">
        <f>IFERROR(IF(Yearending&gt;B239,'5. Historical demand'!F240-'5. Historical demand'!C240-'5. Historical demand'!D240,""),"")</f>
        <v>219.89999999999998</v>
      </c>
      <c r="I240" s="11">
        <f t="shared" si="11"/>
        <v>137.93600000000004</v>
      </c>
    </row>
    <row r="241" spans="2:9">
      <c r="B241" s="192">
        <f t="shared" si="9"/>
        <v>45672</v>
      </c>
      <c r="C241" s="81">
        <v>292.10000000000002</v>
      </c>
      <c r="D241" s="81"/>
      <c r="E241" s="81">
        <v>143.768</v>
      </c>
      <c r="F241" s="81">
        <v>512</v>
      </c>
      <c r="G241" s="11">
        <f t="shared" si="10"/>
        <v>368.23199999999997</v>
      </c>
      <c r="H241" s="11">
        <f>IFERROR(IF(Yearending&gt;B240,'5. Historical demand'!F241-'5. Historical demand'!C241-'5. Historical demand'!D241,""),"")</f>
        <v>219.89999999999998</v>
      </c>
      <c r="I241" s="11">
        <f t="shared" si="11"/>
        <v>148.33200000000002</v>
      </c>
    </row>
    <row r="242" spans="2:9">
      <c r="B242" s="192">
        <f t="shared" si="9"/>
        <v>45673</v>
      </c>
      <c r="C242" s="81">
        <v>292.10000000000002</v>
      </c>
      <c r="D242" s="81"/>
      <c r="E242" s="81">
        <v>128.47399999999999</v>
      </c>
      <c r="F242" s="81">
        <v>512</v>
      </c>
      <c r="G242" s="11">
        <f t="shared" si="10"/>
        <v>383.52600000000001</v>
      </c>
      <c r="H242" s="11">
        <f>IFERROR(IF(Yearending&gt;B241,'5. Historical demand'!F242-'5. Historical demand'!C242-'5. Historical demand'!D242,""),"")</f>
        <v>219.89999999999998</v>
      </c>
      <c r="I242" s="11">
        <f t="shared" si="11"/>
        <v>163.62600000000003</v>
      </c>
    </row>
    <row r="243" spans="2:9">
      <c r="B243" s="192">
        <f t="shared" si="9"/>
        <v>45674</v>
      </c>
      <c r="C243" s="81">
        <v>292.10000000000002</v>
      </c>
      <c r="D243" s="81"/>
      <c r="E243" s="81">
        <v>136.959</v>
      </c>
      <c r="F243" s="81">
        <v>512</v>
      </c>
      <c r="G243" s="11">
        <f t="shared" si="10"/>
        <v>375.041</v>
      </c>
      <c r="H243" s="11">
        <f>IFERROR(IF(Yearending&gt;B242,'5. Historical demand'!F243-'5. Historical demand'!C243-'5. Historical demand'!D243,""),"")</f>
        <v>219.89999999999998</v>
      </c>
      <c r="I243" s="11">
        <f t="shared" si="11"/>
        <v>155.14100000000002</v>
      </c>
    </row>
    <row r="244" spans="2:9">
      <c r="B244" s="192">
        <f t="shared" si="9"/>
        <v>45675</v>
      </c>
      <c r="C244" s="81">
        <v>292.10000000000002</v>
      </c>
      <c r="D244" s="81"/>
      <c r="E244" s="81">
        <v>131.33499999999998</v>
      </c>
      <c r="F244" s="81">
        <v>512</v>
      </c>
      <c r="G244" s="11">
        <f t="shared" si="10"/>
        <v>380.66500000000002</v>
      </c>
      <c r="H244" s="11">
        <f>IFERROR(IF(Yearending&gt;B243,'5. Historical demand'!F244-'5. Historical demand'!C244-'5. Historical demand'!D244,""),"")</f>
        <v>219.89999999999998</v>
      </c>
      <c r="I244" s="11">
        <f t="shared" si="11"/>
        <v>160.76500000000004</v>
      </c>
    </row>
    <row r="245" spans="2:9">
      <c r="B245" s="192">
        <f t="shared" si="9"/>
        <v>45676</v>
      </c>
      <c r="C245" s="81">
        <v>292.10000000000002</v>
      </c>
      <c r="D245" s="81"/>
      <c r="E245" s="81">
        <v>150.11099999999999</v>
      </c>
      <c r="F245" s="81">
        <v>512</v>
      </c>
      <c r="G245" s="11">
        <f t="shared" si="10"/>
        <v>361.88900000000001</v>
      </c>
      <c r="H245" s="11">
        <f>IFERROR(IF(Yearending&gt;B244,'5. Historical demand'!F245-'5. Historical demand'!C245-'5. Historical demand'!D245,""),"")</f>
        <v>219.89999999999998</v>
      </c>
      <c r="I245" s="11">
        <f t="shared" si="11"/>
        <v>141.98900000000003</v>
      </c>
    </row>
    <row r="246" spans="2:9">
      <c r="B246" s="192">
        <f t="shared" si="9"/>
        <v>45677</v>
      </c>
      <c r="C246" s="81">
        <v>292.10000000000002</v>
      </c>
      <c r="D246" s="81"/>
      <c r="E246" s="81">
        <v>159.88499999999999</v>
      </c>
      <c r="F246" s="81">
        <v>512</v>
      </c>
      <c r="G246" s="11">
        <f t="shared" si="10"/>
        <v>352.11500000000001</v>
      </c>
      <c r="H246" s="11">
        <f>IFERROR(IF(Yearending&gt;B245,'5. Historical demand'!F246-'5. Historical demand'!C246-'5. Historical demand'!D246,""),"")</f>
        <v>219.89999999999998</v>
      </c>
      <c r="I246" s="11">
        <f t="shared" si="11"/>
        <v>132.21500000000003</v>
      </c>
    </row>
    <row r="247" spans="2:9">
      <c r="B247" s="192">
        <f t="shared" si="9"/>
        <v>45678</v>
      </c>
      <c r="C247" s="81">
        <v>292.10000000000002</v>
      </c>
      <c r="D247" s="81"/>
      <c r="E247" s="81">
        <v>140.143</v>
      </c>
      <c r="F247" s="81">
        <v>512</v>
      </c>
      <c r="G247" s="11">
        <f t="shared" si="10"/>
        <v>371.85699999999997</v>
      </c>
      <c r="H247" s="11">
        <f>IFERROR(IF(Yearending&gt;B246,'5. Historical demand'!F247-'5. Historical demand'!C247-'5. Historical demand'!D247,""),"")</f>
        <v>219.89999999999998</v>
      </c>
      <c r="I247" s="11">
        <f t="shared" si="11"/>
        <v>151.95700000000002</v>
      </c>
    </row>
    <row r="248" spans="2:9">
      <c r="B248" s="192">
        <f t="shared" si="9"/>
        <v>45679</v>
      </c>
      <c r="C248" s="81">
        <v>292.10000000000002</v>
      </c>
      <c r="D248" s="81"/>
      <c r="E248" s="81">
        <v>125.40800000000002</v>
      </c>
      <c r="F248" s="81">
        <v>512</v>
      </c>
      <c r="G248" s="11">
        <f t="shared" si="10"/>
        <v>386.59199999999998</v>
      </c>
      <c r="H248" s="11">
        <f>IFERROR(IF(Yearending&gt;B247,'5. Historical demand'!F248-'5. Historical demand'!C248-'5. Historical demand'!D248,""),"")</f>
        <v>219.89999999999998</v>
      </c>
      <c r="I248" s="11">
        <f t="shared" si="11"/>
        <v>166.69200000000001</v>
      </c>
    </row>
    <row r="249" spans="2:9">
      <c r="B249" s="192">
        <f t="shared" si="9"/>
        <v>45680</v>
      </c>
      <c r="C249" s="81">
        <v>292.10000000000002</v>
      </c>
      <c r="D249" s="81"/>
      <c r="E249" s="81">
        <v>127.72799999999999</v>
      </c>
      <c r="F249" s="81">
        <v>512</v>
      </c>
      <c r="G249" s="11">
        <f t="shared" si="10"/>
        <v>384.27199999999999</v>
      </c>
      <c r="H249" s="11">
        <f>IFERROR(IF(Yearending&gt;B248,'5. Historical demand'!F249-'5. Historical demand'!C249-'5. Historical demand'!D249,""),"")</f>
        <v>219.89999999999998</v>
      </c>
      <c r="I249" s="11">
        <f t="shared" si="11"/>
        <v>164.37200000000001</v>
      </c>
    </row>
    <row r="250" spans="2:9">
      <c r="B250" s="192">
        <f t="shared" si="9"/>
        <v>45681</v>
      </c>
      <c r="C250" s="81">
        <v>292.10000000000002</v>
      </c>
      <c r="D250" s="81"/>
      <c r="E250" s="81">
        <v>130.64999999999998</v>
      </c>
      <c r="F250" s="81">
        <v>512</v>
      </c>
      <c r="G250" s="11">
        <f t="shared" si="10"/>
        <v>381.35</v>
      </c>
      <c r="H250" s="11">
        <f>IFERROR(IF(Yearending&gt;B249,'5. Historical demand'!F250-'5. Historical demand'!C250-'5. Historical demand'!D250,""),"")</f>
        <v>219.89999999999998</v>
      </c>
      <c r="I250" s="11">
        <f t="shared" si="11"/>
        <v>161.45000000000005</v>
      </c>
    </row>
    <row r="251" spans="2:9">
      <c r="B251" s="192">
        <f t="shared" si="9"/>
        <v>45682</v>
      </c>
      <c r="C251" s="81">
        <v>292.10000000000002</v>
      </c>
      <c r="D251" s="81"/>
      <c r="E251" s="81">
        <v>134.452</v>
      </c>
      <c r="F251" s="81">
        <v>512</v>
      </c>
      <c r="G251" s="11">
        <f t="shared" si="10"/>
        <v>377.548</v>
      </c>
      <c r="H251" s="11">
        <f>IFERROR(IF(Yearending&gt;B250,'5. Historical demand'!F251-'5. Historical demand'!C251-'5. Historical demand'!D251,""),"")</f>
        <v>219.89999999999998</v>
      </c>
      <c r="I251" s="11">
        <f t="shared" si="11"/>
        <v>157.64800000000002</v>
      </c>
    </row>
    <row r="252" spans="2:9">
      <c r="B252" s="192">
        <f t="shared" si="9"/>
        <v>45683</v>
      </c>
      <c r="C252" s="81">
        <v>292.10000000000002</v>
      </c>
      <c r="D252" s="81"/>
      <c r="E252" s="81">
        <v>132.62200000000001</v>
      </c>
      <c r="F252" s="81">
        <v>512</v>
      </c>
      <c r="G252" s="11">
        <f t="shared" si="10"/>
        <v>379.37799999999999</v>
      </c>
      <c r="H252" s="11">
        <f>IFERROR(IF(Yearending&gt;B251,'5. Historical demand'!F252-'5. Historical demand'!C252-'5. Historical demand'!D252,""),"")</f>
        <v>219.89999999999998</v>
      </c>
      <c r="I252" s="11">
        <f t="shared" si="11"/>
        <v>159.47800000000001</v>
      </c>
    </row>
    <row r="253" spans="2:9">
      <c r="B253" s="192">
        <f t="shared" si="9"/>
        <v>45684</v>
      </c>
      <c r="C253" s="81">
        <v>292.10000000000002</v>
      </c>
      <c r="D253" s="81"/>
      <c r="E253" s="81">
        <v>147.00299999999999</v>
      </c>
      <c r="F253" s="81">
        <v>512</v>
      </c>
      <c r="G253" s="11">
        <f t="shared" si="10"/>
        <v>364.99700000000001</v>
      </c>
      <c r="H253" s="11">
        <f>IFERROR(IF(Yearending&gt;B252,'5. Historical demand'!F253-'5. Historical demand'!C253-'5. Historical demand'!D253,""),"")</f>
        <v>219.89999999999998</v>
      </c>
      <c r="I253" s="11">
        <f t="shared" si="11"/>
        <v>145.09700000000004</v>
      </c>
    </row>
    <row r="254" spans="2:9">
      <c r="B254" s="192">
        <f t="shared" si="9"/>
        <v>45685</v>
      </c>
      <c r="C254" s="81">
        <v>292.10000000000002</v>
      </c>
      <c r="D254" s="81"/>
      <c r="E254" s="81">
        <v>130.26</v>
      </c>
      <c r="F254" s="81">
        <v>512</v>
      </c>
      <c r="G254" s="11">
        <f t="shared" si="10"/>
        <v>381.74</v>
      </c>
      <c r="H254" s="11">
        <f>IFERROR(IF(Yearending&gt;B253,'5. Historical demand'!F254-'5. Historical demand'!C254-'5. Historical demand'!D254,""),"")</f>
        <v>219.89999999999998</v>
      </c>
      <c r="I254" s="11">
        <f t="shared" si="11"/>
        <v>161.84000000000003</v>
      </c>
    </row>
    <row r="255" spans="2:9">
      <c r="B255" s="192">
        <f t="shared" si="9"/>
        <v>45686</v>
      </c>
      <c r="C255" s="81">
        <v>292.10000000000002</v>
      </c>
      <c r="D255" s="81"/>
      <c r="E255" s="81">
        <v>120.97</v>
      </c>
      <c r="F255" s="81">
        <v>512</v>
      </c>
      <c r="G255" s="11">
        <f t="shared" si="10"/>
        <v>391.03</v>
      </c>
      <c r="H255" s="11">
        <f>IFERROR(IF(Yearending&gt;B254,'5. Historical demand'!F255-'5. Historical demand'!C255-'5. Historical demand'!D255,""),"")</f>
        <v>219.89999999999998</v>
      </c>
      <c r="I255" s="11">
        <f t="shared" si="11"/>
        <v>171.13000000000002</v>
      </c>
    </row>
    <row r="256" spans="2:9">
      <c r="B256" s="192">
        <f t="shared" si="9"/>
        <v>45687</v>
      </c>
      <c r="C256" s="81">
        <v>292.10000000000002</v>
      </c>
      <c r="D256" s="81"/>
      <c r="E256" s="81">
        <v>109.551</v>
      </c>
      <c r="F256" s="81">
        <v>512</v>
      </c>
      <c r="G256" s="11">
        <f t="shared" si="10"/>
        <v>402.44900000000001</v>
      </c>
      <c r="H256" s="11">
        <f>IFERROR(IF(Yearending&gt;B255,'5. Historical demand'!F256-'5. Historical demand'!C256-'5. Historical demand'!D256,""),"")</f>
        <v>219.89999999999998</v>
      </c>
      <c r="I256" s="11">
        <f t="shared" si="11"/>
        <v>182.54900000000004</v>
      </c>
    </row>
    <row r="257" spans="2:9">
      <c r="B257" s="192">
        <f t="shared" si="9"/>
        <v>45688</v>
      </c>
      <c r="C257" s="81">
        <v>292.10000000000002</v>
      </c>
      <c r="D257" s="81"/>
      <c r="E257" s="81">
        <v>110.63</v>
      </c>
      <c r="F257" s="81">
        <v>512</v>
      </c>
      <c r="G257" s="11">
        <f t="shared" si="10"/>
        <v>401.37</v>
      </c>
      <c r="H257" s="11">
        <f>IFERROR(IF(Yearending&gt;B256,'5. Historical demand'!F257-'5. Historical demand'!C257-'5. Historical demand'!D257,""),"")</f>
        <v>219.89999999999998</v>
      </c>
      <c r="I257" s="11">
        <f t="shared" si="11"/>
        <v>181.47000000000003</v>
      </c>
    </row>
    <row r="258" spans="2:9">
      <c r="B258" s="192">
        <f t="shared" si="9"/>
        <v>45689</v>
      </c>
      <c r="C258" s="81">
        <v>292.10000000000002</v>
      </c>
      <c r="D258" s="81"/>
      <c r="E258" s="81">
        <v>162.09699999999998</v>
      </c>
      <c r="F258" s="81">
        <v>512</v>
      </c>
      <c r="G258" s="11">
        <f t="shared" si="10"/>
        <v>349.90300000000002</v>
      </c>
      <c r="H258" s="11">
        <f>IFERROR(IF(Yearending&gt;B257,'5. Historical demand'!F258-'5. Historical demand'!C258-'5. Historical demand'!D258,""),"")</f>
        <v>219.89999999999998</v>
      </c>
      <c r="I258" s="11">
        <f t="shared" si="11"/>
        <v>130.00300000000004</v>
      </c>
    </row>
    <row r="259" spans="2:9">
      <c r="B259" s="192">
        <f t="shared" si="9"/>
        <v>45690</v>
      </c>
      <c r="C259" s="81">
        <v>292.10000000000002</v>
      </c>
      <c r="D259" s="81"/>
      <c r="E259" s="81">
        <v>166.23899999999998</v>
      </c>
      <c r="F259" s="81">
        <v>512</v>
      </c>
      <c r="G259" s="11">
        <f t="shared" si="10"/>
        <v>345.76100000000002</v>
      </c>
      <c r="H259" s="11">
        <f>IFERROR(IF(Yearending&gt;B258,'5. Historical demand'!F259-'5. Historical demand'!C259-'5. Historical demand'!D259,""),"")</f>
        <v>219.89999999999998</v>
      </c>
      <c r="I259" s="11">
        <f t="shared" si="11"/>
        <v>125.86100000000005</v>
      </c>
    </row>
    <row r="260" spans="2:9">
      <c r="B260" s="192">
        <f t="shared" si="9"/>
        <v>45691</v>
      </c>
      <c r="C260" s="81">
        <v>292.10000000000002</v>
      </c>
      <c r="D260" s="81"/>
      <c r="E260" s="81">
        <v>233.79899999999998</v>
      </c>
      <c r="F260" s="81">
        <v>512</v>
      </c>
      <c r="G260" s="11">
        <f t="shared" si="10"/>
        <v>278.20100000000002</v>
      </c>
      <c r="H260" s="11">
        <f>IFERROR(IF(Yearending&gt;B259,'5. Historical demand'!F260-'5. Historical demand'!C260-'5. Historical demand'!D260,""),"")</f>
        <v>219.89999999999998</v>
      </c>
      <c r="I260" s="11">
        <f t="shared" si="11"/>
        <v>58.301000000000045</v>
      </c>
    </row>
    <row r="261" spans="2:9">
      <c r="B261" s="192">
        <f t="shared" si="9"/>
        <v>45692</v>
      </c>
      <c r="C261" s="81">
        <v>292.10000000000002</v>
      </c>
      <c r="D261" s="81"/>
      <c r="E261" s="81">
        <v>189.709</v>
      </c>
      <c r="F261" s="81">
        <v>512</v>
      </c>
      <c r="G261" s="11">
        <f t="shared" si="10"/>
        <v>322.291</v>
      </c>
      <c r="H261" s="11">
        <f>IFERROR(IF(Yearending&gt;B260,'5. Historical demand'!F261-'5. Historical demand'!C261-'5. Historical demand'!D261,""),"")</f>
        <v>219.89999999999998</v>
      </c>
      <c r="I261" s="11">
        <f t="shared" si="11"/>
        <v>102.39100000000002</v>
      </c>
    </row>
    <row r="262" spans="2:9">
      <c r="B262" s="192">
        <f t="shared" si="9"/>
        <v>45693</v>
      </c>
      <c r="C262" s="81">
        <v>292.10000000000002</v>
      </c>
      <c r="D262" s="81"/>
      <c r="E262" s="81">
        <v>137.15899999999999</v>
      </c>
      <c r="F262" s="81">
        <v>512</v>
      </c>
      <c r="G262" s="11">
        <f t="shared" si="10"/>
        <v>374.84100000000001</v>
      </c>
      <c r="H262" s="11">
        <f>IFERROR(IF(Yearending&gt;B261,'5. Historical demand'!F262-'5. Historical demand'!C262-'5. Historical demand'!D262,""),"")</f>
        <v>219.89999999999998</v>
      </c>
      <c r="I262" s="11">
        <f t="shared" si="11"/>
        <v>154.94100000000003</v>
      </c>
    </row>
    <row r="263" spans="2:9">
      <c r="B263" s="192">
        <f t="shared" si="9"/>
        <v>45694</v>
      </c>
      <c r="C263" s="81">
        <v>292.10000000000002</v>
      </c>
      <c r="D263" s="81"/>
      <c r="E263" s="81">
        <v>128.25200000000001</v>
      </c>
      <c r="F263" s="81">
        <v>512</v>
      </c>
      <c r="G263" s="11">
        <f t="shared" si="10"/>
        <v>383.74799999999999</v>
      </c>
      <c r="H263" s="11">
        <f>IFERROR(IF(Yearending&gt;B262,'5. Historical demand'!F263-'5. Historical demand'!C263-'5. Historical demand'!D263,""),"")</f>
        <v>219.89999999999998</v>
      </c>
      <c r="I263" s="11">
        <f t="shared" si="11"/>
        <v>163.84800000000001</v>
      </c>
    </row>
    <row r="264" spans="2:9">
      <c r="B264" s="192">
        <f t="shared" si="9"/>
        <v>45695</v>
      </c>
      <c r="C264" s="81">
        <v>292.10000000000002</v>
      </c>
      <c r="D264" s="81"/>
      <c r="E264" s="81">
        <v>141.899</v>
      </c>
      <c r="F264" s="81">
        <v>512</v>
      </c>
      <c r="G264" s="11">
        <f t="shared" si="10"/>
        <v>370.101</v>
      </c>
      <c r="H264" s="11">
        <f>IFERROR(IF(Yearending&gt;B263,'5. Historical demand'!F264-'5. Historical demand'!C264-'5. Historical demand'!D264,""),"")</f>
        <v>219.89999999999998</v>
      </c>
      <c r="I264" s="11">
        <f t="shared" si="11"/>
        <v>150.20100000000002</v>
      </c>
    </row>
    <row r="265" spans="2:9">
      <c r="B265" s="192">
        <f t="shared" si="9"/>
        <v>45696</v>
      </c>
      <c r="C265" s="81">
        <v>292.10000000000002</v>
      </c>
      <c r="D265" s="81"/>
      <c r="E265" s="81">
        <v>126.79900000000001</v>
      </c>
      <c r="F265" s="81">
        <v>512</v>
      </c>
      <c r="G265" s="11">
        <f t="shared" si="10"/>
        <v>385.20100000000002</v>
      </c>
      <c r="H265" s="11">
        <f>IFERROR(IF(Yearending&gt;B264,'5. Historical demand'!F265-'5. Historical demand'!C265-'5. Historical demand'!D265,""),"")</f>
        <v>219.89999999999998</v>
      </c>
      <c r="I265" s="11">
        <f t="shared" si="11"/>
        <v>165.30100000000002</v>
      </c>
    </row>
    <row r="266" spans="2:9">
      <c r="B266" s="192">
        <f t="shared" si="9"/>
        <v>45697</v>
      </c>
      <c r="C266" s="81">
        <v>292.10000000000002</v>
      </c>
      <c r="D266" s="81"/>
      <c r="E266" s="81">
        <v>93.88600000000001</v>
      </c>
      <c r="F266" s="81">
        <v>512</v>
      </c>
      <c r="G266" s="11">
        <f t="shared" si="10"/>
        <v>418.11399999999998</v>
      </c>
      <c r="H266" s="11">
        <f>IFERROR(IF(Yearending&gt;B265,'5. Historical demand'!F266-'5. Historical demand'!C266-'5. Historical demand'!D266,""),"")</f>
        <v>219.89999999999998</v>
      </c>
      <c r="I266" s="11">
        <f t="shared" si="11"/>
        <v>198.214</v>
      </c>
    </row>
    <row r="267" spans="2:9">
      <c r="B267" s="192">
        <f t="shared" si="9"/>
        <v>45698</v>
      </c>
      <c r="C267" s="81">
        <v>292.10000000000002</v>
      </c>
      <c r="D267" s="81"/>
      <c r="E267" s="81">
        <v>114.63</v>
      </c>
      <c r="F267" s="81">
        <v>512</v>
      </c>
      <c r="G267" s="11">
        <f t="shared" si="10"/>
        <v>397.37</v>
      </c>
      <c r="H267" s="11">
        <f>IFERROR(IF(Yearending&gt;B266,'5. Historical demand'!F267-'5. Historical demand'!C267-'5. Historical demand'!D267,""),"")</f>
        <v>219.89999999999998</v>
      </c>
      <c r="I267" s="11">
        <f t="shared" si="11"/>
        <v>177.47000000000003</v>
      </c>
    </row>
    <row r="268" spans="2:9">
      <c r="B268" s="192">
        <f t="shared" si="9"/>
        <v>45699</v>
      </c>
      <c r="C268" s="81">
        <v>292.10000000000002</v>
      </c>
      <c r="D268" s="81"/>
      <c r="E268" s="81">
        <v>165.529</v>
      </c>
      <c r="F268" s="81">
        <v>512</v>
      </c>
      <c r="G268" s="11">
        <f t="shared" si="10"/>
        <v>346.471</v>
      </c>
      <c r="H268" s="11">
        <f>IFERROR(IF(Yearending&gt;B267,'5. Historical demand'!F268-'5. Historical demand'!C268-'5. Historical demand'!D268,""),"")</f>
        <v>219.89999999999998</v>
      </c>
      <c r="I268" s="11">
        <f t="shared" si="11"/>
        <v>126.57100000000003</v>
      </c>
    </row>
    <row r="269" spans="2:9">
      <c r="B269" s="192">
        <f t="shared" si="9"/>
        <v>45700</v>
      </c>
      <c r="C269" s="81">
        <v>292.10000000000002</v>
      </c>
      <c r="D269" s="81"/>
      <c r="E269" s="81">
        <v>216.029</v>
      </c>
      <c r="F269" s="81">
        <v>512</v>
      </c>
      <c r="G269" s="11">
        <f t="shared" si="10"/>
        <v>295.971</v>
      </c>
      <c r="H269" s="11">
        <f>IFERROR(IF(Yearending&gt;B268,'5. Historical demand'!F269-'5. Historical demand'!C269-'5. Historical demand'!D269,""),"")</f>
        <v>219.89999999999998</v>
      </c>
      <c r="I269" s="11">
        <f t="shared" si="11"/>
        <v>76.071000000000026</v>
      </c>
    </row>
    <row r="270" spans="2:9">
      <c r="B270" s="192">
        <f t="shared" si="9"/>
        <v>45701</v>
      </c>
      <c r="C270" s="81">
        <v>292.10000000000002</v>
      </c>
      <c r="D270" s="81"/>
      <c r="E270" s="81">
        <v>132.31700000000001</v>
      </c>
      <c r="F270" s="81">
        <v>512</v>
      </c>
      <c r="G270" s="11">
        <f t="shared" si="10"/>
        <v>379.68299999999999</v>
      </c>
      <c r="H270" s="11">
        <f>IFERROR(IF(Yearending&gt;B269,'5. Historical demand'!F270-'5. Historical demand'!C270-'5. Historical demand'!D270,""),"")</f>
        <v>219.89999999999998</v>
      </c>
      <c r="I270" s="11">
        <f t="shared" si="11"/>
        <v>159.78300000000002</v>
      </c>
    </row>
    <row r="271" spans="2:9">
      <c r="B271" s="192">
        <f t="shared" si="9"/>
        <v>45702</v>
      </c>
      <c r="C271" s="81">
        <v>292.10000000000002</v>
      </c>
      <c r="D271" s="81"/>
      <c r="E271" s="81">
        <v>128.941</v>
      </c>
      <c r="F271" s="81">
        <v>512</v>
      </c>
      <c r="G271" s="11">
        <f t="shared" si="10"/>
        <v>383.05899999999997</v>
      </c>
      <c r="H271" s="11">
        <f>IFERROR(IF(Yearending&gt;B270,'5. Historical demand'!F271-'5. Historical demand'!C271-'5. Historical demand'!D271,""),"")</f>
        <v>219.89999999999998</v>
      </c>
      <c r="I271" s="11">
        <f t="shared" si="11"/>
        <v>163.15900000000002</v>
      </c>
    </row>
    <row r="272" spans="2:9">
      <c r="B272" s="192">
        <f t="shared" si="9"/>
        <v>45703</v>
      </c>
      <c r="C272" s="81">
        <v>292.10000000000002</v>
      </c>
      <c r="D272" s="81"/>
      <c r="E272" s="81">
        <v>139.36099999999999</v>
      </c>
      <c r="F272" s="81">
        <v>512</v>
      </c>
      <c r="G272" s="11">
        <f t="shared" si="10"/>
        <v>372.63900000000001</v>
      </c>
      <c r="H272" s="11">
        <f>IFERROR(IF(Yearending&gt;B271,'5. Historical demand'!F272-'5. Historical demand'!C272-'5. Historical demand'!D272,""),"")</f>
        <v>219.89999999999998</v>
      </c>
      <c r="I272" s="11">
        <f t="shared" si="11"/>
        <v>152.73900000000003</v>
      </c>
    </row>
    <row r="273" spans="2:9">
      <c r="B273" s="192">
        <f t="shared" si="9"/>
        <v>45704</v>
      </c>
      <c r="C273" s="81">
        <v>292.10000000000002</v>
      </c>
      <c r="D273" s="81"/>
      <c r="E273" s="81">
        <v>130.464</v>
      </c>
      <c r="F273" s="81">
        <v>512</v>
      </c>
      <c r="G273" s="11">
        <f t="shared" si="10"/>
        <v>381.536</v>
      </c>
      <c r="H273" s="11">
        <f>IFERROR(IF(Yearending&gt;B272,'5. Historical demand'!F273-'5. Historical demand'!C273-'5. Historical demand'!D273,""),"")</f>
        <v>219.89999999999998</v>
      </c>
      <c r="I273" s="11">
        <f t="shared" si="11"/>
        <v>161.63600000000002</v>
      </c>
    </row>
    <row r="274" spans="2:9">
      <c r="B274" s="192">
        <f t="shared" si="9"/>
        <v>45705</v>
      </c>
      <c r="C274" s="81">
        <v>292.10000000000002</v>
      </c>
      <c r="D274" s="81"/>
      <c r="E274" s="81">
        <v>125.53900000000002</v>
      </c>
      <c r="F274" s="81">
        <v>512</v>
      </c>
      <c r="G274" s="11">
        <f t="shared" si="10"/>
        <v>386.46100000000001</v>
      </c>
      <c r="H274" s="11">
        <f>IFERROR(IF(Yearending&gt;B273,'5. Historical demand'!F274-'5. Historical demand'!C274-'5. Historical demand'!D274,""),"")</f>
        <v>219.89999999999998</v>
      </c>
      <c r="I274" s="11">
        <f t="shared" si="11"/>
        <v>166.56100000000001</v>
      </c>
    </row>
    <row r="275" spans="2:9">
      <c r="B275" s="192">
        <f t="shared" si="9"/>
        <v>45706</v>
      </c>
      <c r="C275" s="81">
        <v>292.10000000000002</v>
      </c>
      <c r="D275" s="81"/>
      <c r="E275" s="81">
        <v>129.94</v>
      </c>
      <c r="F275" s="81">
        <v>512</v>
      </c>
      <c r="G275" s="11">
        <f t="shared" si="10"/>
        <v>382.06</v>
      </c>
      <c r="H275" s="11">
        <f>IFERROR(IF(Yearending&gt;B274,'5. Historical demand'!F275-'5. Historical demand'!C275-'5. Historical demand'!D275,""),"")</f>
        <v>219.89999999999998</v>
      </c>
      <c r="I275" s="11">
        <f t="shared" si="11"/>
        <v>162.16000000000003</v>
      </c>
    </row>
    <row r="276" spans="2:9">
      <c r="B276" s="192">
        <f t="shared" si="9"/>
        <v>45707</v>
      </c>
      <c r="C276" s="81">
        <v>292.10000000000002</v>
      </c>
      <c r="D276" s="81"/>
      <c r="E276" s="81">
        <v>123.37</v>
      </c>
      <c r="F276" s="81">
        <v>512</v>
      </c>
      <c r="G276" s="11">
        <f t="shared" si="10"/>
        <v>388.63</v>
      </c>
      <c r="H276" s="11">
        <f>IFERROR(IF(Yearending&gt;B275,'5. Historical demand'!F276-'5. Historical demand'!C276-'5. Historical demand'!D276,""),"")</f>
        <v>219.89999999999998</v>
      </c>
      <c r="I276" s="11">
        <f t="shared" si="11"/>
        <v>168.73000000000002</v>
      </c>
    </row>
    <row r="277" spans="2:9">
      <c r="B277" s="192">
        <f t="shared" si="9"/>
        <v>45708</v>
      </c>
      <c r="C277" s="81">
        <v>292.10000000000002</v>
      </c>
      <c r="D277" s="81"/>
      <c r="E277" s="81">
        <v>153.93700000000001</v>
      </c>
      <c r="F277" s="81">
        <v>512</v>
      </c>
      <c r="G277" s="11">
        <f t="shared" si="10"/>
        <v>358.06299999999999</v>
      </c>
      <c r="H277" s="11">
        <f>IFERROR(IF(Yearending&gt;B276,'5. Historical demand'!F277-'5. Historical demand'!C277-'5. Historical demand'!D277,""),"")</f>
        <v>219.89999999999998</v>
      </c>
      <c r="I277" s="11">
        <f t="shared" si="11"/>
        <v>138.16300000000001</v>
      </c>
    </row>
    <row r="278" spans="2:9">
      <c r="B278" s="192">
        <f t="shared" si="9"/>
        <v>45709</v>
      </c>
      <c r="C278" s="81">
        <v>292.10000000000002</v>
      </c>
      <c r="D278" s="81"/>
      <c r="E278" s="81">
        <v>175.946</v>
      </c>
      <c r="F278" s="81">
        <v>512</v>
      </c>
      <c r="G278" s="11">
        <f t="shared" si="10"/>
        <v>336.05399999999997</v>
      </c>
      <c r="H278" s="11">
        <f>IFERROR(IF(Yearending&gt;B277,'5. Historical demand'!F278-'5. Historical demand'!C278-'5. Historical demand'!D278,""),"")</f>
        <v>219.89999999999998</v>
      </c>
      <c r="I278" s="11">
        <f t="shared" si="11"/>
        <v>116.15400000000002</v>
      </c>
    </row>
    <row r="279" spans="2:9">
      <c r="B279" s="192">
        <f t="shared" si="9"/>
        <v>45710</v>
      </c>
      <c r="C279" s="81">
        <v>292.10000000000002</v>
      </c>
      <c r="D279" s="81"/>
      <c r="E279" s="81">
        <v>172.33499999999998</v>
      </c>
      <c r="F279" s="81">
        <v>512</v>
      </c>
      <c r="G279" s="11">
        <f t="shared" si="10"/>
        <v>339.66500000000002</v>
      </c>
      <c r="H279" s="11">
        <f>IFERROR(IF(Yearending&gt;B278,'5. Historical demand'!F279-'5. Historical demand'!C279-'5. Historical demand'!D279,""),"")</f>
        <v>219.89999999999998</v>
      </c>
      <c r="I279" s="11">
        <f t="shared" si="11"/>
        <v>119.76500000000004</v>
      </c>
    </row>
    <row r="280" spans="2:9">
      <c r="B280" s="192">
        <f t="shared" si="9"/>
        <v>45711</v>
      </c>
      <c r="C280" s="81">
        <v>292.10000000000002</v>
      </c>
      <c r="D280" s="81"/>
      <c r="E280" s="81">
        <v>141.18700000000001</v>
      </c>
      <c r="F280" s="81">
        <v>512</v>
      </c>
      <c r="G280" s="11">
        <f t="shared" si="10"/>
        <v>370.81299999999999</v>
      </c>
      <c r="H280" s="11">
        <f>IFERROR(IF(Yearending&gt;B279,'5. Historical demand'!F280-'5. Historical demand'!C280-'5. Historical demand'!D280,""),"")</f>
        <v>219.89999999999998</v>
      </c>
      <c r="I280" s="11">
        <f t="shared" si="11"/>
        <v>150.91300000000001</v>
      </c>
    </row>
    <row r="281" spans="2:9">
      <c r="B281" s="192">
        <f t="shared" si="9"/>
        <v>45712</v>
      </c>
      <c r="C281" s="81">
        <v>292.10000000000002</v>
      </c>
      <c r="D281" s="81"/>
      <c r="E281" s="81">
        <v>152.184</v>
      </c>
      <c r="F281" s="81">
        <v>512</v>
      </c>
      <c r="G281" s="11">
        <f t="shared" si="10"/>
        <v>359.81600000000003</v>
      </c>
      <c r="H281" s="11">
        <f>IFERROR(IF(Yearending&gt;B280,'5. Historical demand'!F281-'5. Historical demand'!C281-'5. Historical demand'!D281,""),"")</f>
        <v>219.89999999999998</v>
      </c>
      <c r="I281" s="11">
        <f t="shared" si="11"/>
        <v>139.91600000000003</v>
      </c>
    </row>
    <row r="282" spans="2:9">
      <c r="B282" s="192">
        <f t="shared" si="9"/>
        <v>45713</v>
      </c>
      <c r="C282" s="81">
        <v>292.10000000000002</v>
      </c>
      <c r="D282" s="81"/>
      <c r="E282" s="81">
        <v>249.178</v>
      </c>
      <c r="F282" s="81">
        <v>512</v>
      </c>
      <c r="G282" s="11">
        <f t="shared" si="10"/>
        <v>262.822</v>
      </c>
      <c r="H282" s="11">
        <f>IFERROR(IF(Yearending&gt;B281,'5. Historical demand'!F282-'5. Historical demand'!C282-'5. Historical demand'!D282,""),"")</f>
        <v>219.89999999999998</v>
      </c>
      <c r="I282" s="11">
        <f t="shared" si="11"/>
        <v>42.922000000000025</v>
      </c>
    </row>
    <row r="283" spans="2:9">
      <c r="B283" s="192">
        <f t="shared" si="9"/>
        <v>45714</v>
      </c>
      <c r="C283" s="81">
        <v>292.10000000000002</v>
      </c>
      <c r="D283" s="81"/>
      <c r="E283" s="81">
        <v>335.05799999999999</v>
      </c>
      <c r="F283" s="81">
        <v>512</v>
      </c>
      <c r="G283" s="11">
        <f t="shared" si="10"/>
        <v>176.94200000000001</v>
      </c>
      <c r="H283" s="11">
        <f>IFERROR(IF(Yearending&gt;B282,'5. Historical demand'!F283-'5. Historical demand'!C283-'5. Historical demand'!D283,""),"")</f>
        <v>219.89999999999998</v>
      </c>
      <c r="I283" s="11">
        <f t="shared" si="11"/>
        <v>-42.95799999999997</v>
      </c>
    </row>
    <row r="284" spans="2:9">
      <c r="B284" s="192">
        <f t="shared" si="9"/>
        <v>45715</v>
      </c>
      <c r="C284" s="81">
        <v>292.10000000000002</v>
      </c>
      <c r="D284" s="81"/>
      <c r="E284" s="81">
        <v>236.49299999999999</v>
      </c>
      <c r="F284" s="81">
        <v>512</v>
      </c>
      <c r="G284" s="11">
        <f t="shared" si="10"/>
        <v>275.50700000000001</v>
      </c>
      <c r="H284" s="11">
        <f>IFERROR(IF(Yearending&gt;B283,'5. Historical demand'!F284-'5. Historical demand'!C284-'5. Historical demand'!D284,""),"")</f>
        <v>219.89999999999998</v>
      </c>
      <c r="I284" s="11">
        <f t="shared" si="11"/>
        <v>55.607000000000028</v>
      </c>
    </row>
    <row r="285" spans="2:9">
      <c r="B285" s="192">
        <f t="shared" si="9"/>
        <v>45716</v>
      </c>
      <c r="C285" s="81">
        <v>292.10000000000002</v>
      </c>
      <c r="D285" s="81"/>
      <c r="E285" s="81">
        <v>314.21000000000004</v>
      </c>
      <c r="F285" s="81">
        <v>512</v>
      </c>
      <c r="G285" s="11">
        <f t="shared" si="10"/>
        <v>197.78999999999996</v>
      </c>
      <c r="H285" s="11">
        <f>IFERROR(IF(Yearending&gt;B284,'5. Historical demand'!F285-'5. Historical demand'!C285-'5. Historical demand'!D285,""),"")</f>
        <v>219.89999999999998</v>
      </c>
      <c r="I285" s="11">
        <f t="shared" si="11"/>
        <v>-22.110000000000014</v>
      </c>
    </row>
    <row r="286" spans="2:9">
      <c r="B286" s="192">
        <f t="shared" si="9"/>
        <v>45717</v>
      </c>
      <c r="C286" s="81">
        <v>292.10000000000002</v>
      </c>
      <c r="D286" s="81"/>
      <c r="E286" s="81">
        <v>165.41</v>
      </c>
      <c r="F286" s="81">
        <v>512</v>
      </c>
      <c r="G286" s="11">
        <f t="shared" si="10"/>
        <v>346.59000000000003</v>
      </c>
      <c r="H286" s="11">
        <f>IFERROR(IF(Yearending&gt;B285,'5. Historical demand'!F286-'5. Historical demand'!C286-'5. Historical demand'!D286,""),"")</f>
        <v>219.89999999999998</v>
      </c>
      <c r="I286" s="11">
        <f t="shared" si="11"/>
        <v>126.69000000000003</v>
      </c>
    </row>
    <row r="287" spans="2:9">
      <c r="B287" s="192">
        <f t="shared" si="9"/>
        <v>45718</v>
      </c>
      <c r="C287" s="81">
        <v>292.10000000000002</v>
      </c>
      <c r="D287" s="81"/>
      <c r="E287" s="81">
        <v>158.916</v>
      </c>
      <c r="F287" s="81">
        <v>512</v>
      </c>
      <c r="G287" s="11">
        <f t="shared" si="10"/>
        <v>353.084</v>
      </c>
      <c r="H287" s="11">
        <f>IFERROR(IF(Yearending&gt;B286,'5. Historical demand'!F287-'5. Historical demand'!C287-'5. Historical demand'!D287,""),"")</f>
        <v>219.89999999999998</v>
      </c>
      <c r="I287" s="11">
        <f t="shared" si="11"/>
        <v>133.18400000000003</v>
      </c>
    </row>
    <row r="288" spans="2:9">
      <c r="B288" s="192">
        <f t="shared" si="9"/>
        <v>45719</v>
      </c>
      <c r="C288" s="81">
        <v>292.10000000000002</v>
      </c>
      <c r="D288" s="81"/>
      <c r="E288" s="81">
        <v>146.411</v>
      </c>
      <c r="F288" s="81">
        <v>512</v>
      </c>
      <c r="G288" s="11">
        <f t="shared" si="10"/>
        <v>365.589</v>
      </c>
      <c r="H288" s="11">
        <f>IFERROR(IF(Yearending&gt;B287,'5. Historical demand'!F288-'5. Historical demand'!C288-'5. Historical demand'!D288,""),"")</f>
        <v>219.89999999999998</v>
      </c>
      <c r="I288" s="11">
        <f t="shared" si="11"/>
        <v>145.68900000000002</v>
      </c>
    </row>
    <row r="289" spans="2:9">
      <c r="B289" s="192">
        <f t="shared" si="9"/>
        <v>45720</v>
      </c>
      <c r="C289" s="81">
        <v>292.10000000000002</v>
      </c>
      <c r="D289" s="81"/>
      <c r="E289" s="81">
        <v>157.51900000000001</v>
      </c>
      <c r="F289" s="81">
        <v>512</v>
      </c>
      <c r="G289" s="11">
        <f t="shared" si="10"/>
        <v>354.48099999999999</v>
      </c>
      <c r="H289" s="11">
        <f>IFERROR(IF(Yearending&gt;B288,'5. Historical demand'!F289-'5. Historical demand'!C289-'5. Historical demand'!D289,""),"")</f>
        <v>219.89999999999998</v>
      </c>
      <c r="I289" s="11">
        <f t="shared" si="11"/>
        <v>134.58100000000002</v>
      </c>
    </row>
    <row r="290" spans="2:9">
      <c r="B290" s="192">
        <f t="shared" si="9"/>
        <v>45721</v>
      </c>
      <c r="C290" s="81">
        <v>292.10000000000002</v>
      </c>
      <c r="D290" s="81"/>
      <c r="E290" s="81">
        <v>123.645</v>
      </c>
      <c r="F290" s="81">
        <v>512</v>
      </c>
      <c r="G290" s="11">
        <f t="shared" si="10"/>
        <v>388.35500000000002</v>
      </c>
      <c r="H290" s="11">
        <f>IFERROR(IF(Yearending&gt;B289,'5. Historical demand'!F290-'5. Historical demand'!C290-'5. Historical demand'!D290,""),"")</f>
        <v>219.89999999999998</v>
      </c>
      <c r="I290" s="11">
        <f t="shared" si="11"/>
        <v>168.45500000000004</v>
      </c>
    </row>
    <row r="291" spans="2:9">
      <c r="B291" s="192">
        <f t="shared" si="9"/>
        <v>45722</v>
      </c>
      <c r="C291" s="81">
        <v>292.10000000000002</v>
      </c>
      <c r="D291" s="81"/>
      <c r="E291" s="81">
        <v>133.887</v>
      </c>
      <c r="F291" s="81">
        <v>512</v>
      </c>
      <c r="G291" s="11">
        <f t="shared" si="10"/>
        <v>378.113</v>
      </c>
      <c r="H291" s="11">
        <f>IFERROR(IF(Yearending&gt;B290,'5. Historical demand'!F291-'5. Historical demand'!C291-'5. Historical demand'!D291,""),"")</f>
        <v>219.89999999999998</v>
      </c>
      <c r="I291" s="11">
        <f t="shared" si="11"/>
        <v>158.21300000000002</v>
      </c>
    </row>
    <row r="292" spans="2:9">
      <c r="B292" s="192">
        <f t="shared" si="9"/>
        <v>45723</v>
      </c>
      <c r="C292" s="81">
        <v>292.10000000000002</v>
      </c>
      <c r="D292" s="81"/>
      <c r="E292" s="81">
        <v>121.47999999999999</v>
      </c>
      <c r="F292" s="81">
        <v>512</v>
      </c>
      <c r="G292" s="11">
        <f t="shared" si="10"/>
        <v>390.52</v>
      </c>
      <c r="H292" s="11">
        <f>IFERROR(IF(Yearending&gt;B291,'5. Historical demand'!F292-'5. Historical demand'!C292-'5. Historical demand'!D292,""),"")</f>
        <v>219.89999999999998</v>
      </c>
      <c r="I292" s="11">
        <f t="shared" si="11"/>
        <v>170.62000000000003</v>
      </c>
    </row>
    <row r="293" spans="2:9">
      <c r="B293" s="192">
        <f t="shared" si="9"/>
        <v>45724</v>
      </c>
      <c r="C293" s="81">
        <v>292.10000000000002</v>
      </c>
      <c r="D293" s="81"/>
      <c r="E293" s="81">
        <v>224.53100000000001</v>
      </c>
      <c r="F293" s="81">
        <v>512</v>
      </c>
      <c r="G293" s="11">
        <f t="shared" si="10"/>
        <v>287.46899999999999</v>
      </c>
      <c r="H293" s="11">
        <f>IFERROR(IF(Yearending&gt;B292,'5. Historical demand'!F293-'5. Historical demand'!C293-'5. Historical demand'!D293,""),"")</f>
        <v>219.89999999999998</v>
      </c>
      <c r="I293" s="11">
        <f t="shared" si="11"/>
        <v>67.569000000000017</v>
      </c>
    </row>
    <row r="294" spans="2:9">
      <c r="B294" s="192">
        <f t="shared" si="9"/>
        <v>45725</v>
      </c>
      <c r="C294" s="81">
        <v>292.10000000000002</v>
      </c>
      <c r="D294" s="81"/>
      <c r="E294" s="81">
        <v>166</v>
      </c>
      <c r="F294" s="81">
        <v>512</v>
      </c>
      <c r="G294" s="11">
        <f t="shared" si="10"/>
        <v>346</v>
      </c>
      <c r="H294" s="11">
        <f>IFERROR(IF(Yearending&gt;B293,'5. Historical demand'!F294-'5. Historical demand'!C294-'5. Historical demand'!D294,""),"")</f>
        <v>219.89999999999998</v>
      </c>
      <c r="I294" s="11">
        <f t="shared" si="11"/>
        <v>126.10000000000002</v>
      </c>
    </row>
    <row r="295" spans="2:9">
      <c r="B295" s="192">
        <f t="shared" si="9"/>
        <v>45726</v>
      </c>
      <c r="C295" s="81">
        <v>292.10000000000002</v>
      </c>
      <c r="D295" s="81"/>
      <c r="E295" s="81">
        <v>173.196</v>
      </c>
      <c r="F295" s="81">
        <v>512</v>
      </c>
      <c r="G295" s="11">
        <f t="shared" si="10"/>
        <v>338.80399999999997</v>
      </c>
      <c r="H295" s="11">
        <f>IFERROR(IF(Yearending&gt;B294,'5. Historical demand'!F295-'5. Historical demand'!C295-'5. Historical demand'!D295,""),"")</f>
        <v>219.89999999999998</v>
      </c>
      <c r="I295" s="11">
        <f t="shared" si="11"/>
        <v>118.90400000000002</v>
      </c>
    </row>
    <row r="296" spans="2:9">
      <c r="B296" s="192">
        <f t="shared" si="9"/>
        <v>45727</v>
      </c>
      <c r="C296" s="81">
        <v>292.10000000000002</v>
      </c>
      <c r="D296" s="81"/>
      <c r="E296" s="81">
        <v>158.74</v>
      </c>
      <c r="F296" s="81">
        <v>512</v>
      </c>
      <c r="G296" s="11">
        <f t="shared" si="10"/>
        <v>353.26</v>
      </c>
      <c r="H296" s="11">
        <f>IFERROR(IF(Yearending&gt;B295,'5. Historical demand'!F296-'5. Historical demand'!C296-'5. Historical demand'!D296,""),"")</f>
        <v>219.89999999999998</v>
      </c>
      <c r="I296" s="11">
        <f t="shared" si="11"/>
        <v>133.36000000000001</v>
      </c>
    </row>
    <row r="297" spans="2:9">
      <c r="B297" s="192">
        <f t="shared" si="9"/>
        <v>45728</v>
      </c>
      <c r="C297" s="81">
        <v>292.10000000000002</v>
      </c>
      <c r="D297" s="81"/>
      <c r="E297" s="81">
        <v>173.51300000000001</v>
      </c>
      <c r="F297" s="81">
        <v>512</v>
      </c>
      <c r="G297" s="11">
        <f t="shared" si="10"/>
        <v>338.48699999999997</v>
      </c>
      <c r="H297" s="11">
        <f>IFERROR(IF(Yearending&gt;B296,'5. Historical demand'!F297-'5. Historical demand'!C297-'5. Historical demand'!D297,""),"")</f>
        <v>219.89999999999998</v>
      </c>
      <c r="I297" s="11">
        <f t="shared" si="11"/>
        <v>118.58700000000002</v>
      </c>
    </row>
    <row r="298" spans="2:9">
      <c r="B298" s="192">
        <f t="shared" si="9"/>
        <v>45729</v>
      </c>
      <c r="C298" s="81">
        <v>292.10000000000002</v>
      </c>
      <c r="D298" s="81"/>
      <c r="E298" s="81">
        <v>195.20100000000002</v>
      </c>
      <c r="F298" s="81">
        <v>512</v>
      </c>
      <c r="G298" s="11">
        <f t="shared" si="10"/>
        <v>316.79899999999998</v>
      </c>
      <c r="H298" s="11">
        <f>IFERROR(IF(Yearending&gt;B297,'5. Historical demand'!F298-'5. Historical demand'!C298-'5. Historical demand'!D298,""),"")</f>
        <v>219.89999999999998</v>
      </c>
      <c r="I298" s="11">
        <f t="shared" si="11"/>
        <v>96.899000000000001</v>
      </c>
    </row>
    <row r="299" spans="2:9">
      <c r="B299" s="192">
        <f t="shared" si="9"/>
        <v>45730</v>
      </c>
      <c r="C299" s="81">
        <v>292.10000000000002</v>
      </c>
      <c r="D299" s="81"/>
      <c r="E299" s="81">
        <v>156.75200000000001</v>
      </c>
      <c r="F299" s="81">
        <v>512</v>
      </c>
      <c r="G299" s="11">
        <f t="shared" si="10"/>
        <v>355.24799999999999</v>
      </c>
      <c r="H299" s="11">
        <f>IFERROR(IF(Yearending&gt;B298,'5. Historical demand'!F299-'5. Historical demand'!C299-'5. Historical demand'!D299,""),"")</f>
        <v>219.89999999999998</v>
      </c>
      <c r="I299" s="11">
        <f t="shared" si="11"/>
        <v>135.34800000000001</v>
      </c>
    </row>
    <row r="300" spans="2:9">
      <c r="B300" s="192">
        <f t="shared" ref="B300:B363" si="12">IFERROR(IF(Yearending&gt;B299, B299+1, ""),"")</f>
        <v>45731</v>
      </c>
      <c r="C300" s="81">
        <v>292.10000000000002</v>
      </c>
      <c r="D300" s="81"/>
      <c r="E300" s="81">
        <v>163.41500000000002</v>
      </c>
      <c r="F300" s="81">
        <v>512</v>
      </c>
      <c r="G300" s="11">
        <f t="shared" ref="G300:G363" si="13">IFERROR(IF(Yearending&gt;B299,F300-E300,""),"")</f>
        <v>348.58499999999998</v>
      </c>
      <c r="H300" s="11">
        <f>IFERROR(IF(Yearending&gt;B299,'5. Historical demand'!F300-'5. Historical demand'!C300-'5. Historical demand'!D300,""),"")</f>
        <v>219.89999999999998</v>
      </c>
      <c r="I300" s="11">
        <f t="shared" ref="I300:I363" si="14">IFERROR(IF(Yearending&gt;B299,C300+D300-E300,""),"")</f>
        <v>128.685</v>
      </c>
    </row>
    <row r="301" spans="2:9">
      <c r="B301" s="192">
        <f t="shared" si="12"/>
        <v>45732</v>
      </c>
      <c r="C301" s="81">
        <v>292.10000000000002</v>
      </c>
      <c r="D301" s="81"/>
      <c r="E301" s="81">
        <v>127.09400000000001</v>
      </c>
      <c r="F301" s="81">
        <v>512</v>
      </c>
      <c r="G301" s="11">
        <f t="shared" si="13"/>
        <v>384.90600000000001</v>
      </c>
      <c r="H301" s="11">
        <f>IFERROR(IF(Yearending&gt;B300,'5. Historical demand'!F301-'5. Historical demand'!C301-'5. Historical demand'!D301,""),"")</f>
        <v>219.89999999999998</v>
      </c>
      <c r="I301" s="11">
        <f t="shared" si="14"/>
        <v>165.00600000000003</v>
      </c>
    </row>
    <row r="302" spans="2:9">
      <c r="B302" s="192">
        <f t="shared" si="12"/>
        <v>45733</v>
      </c>
      <c r="C302" s="81">
        <v>292.10000000000002</v>
      </c>
      <c r="D302" s="81"/>
      <c r="E302" s="81">
        <v>128.94799999999998</v>
      </c>
      <c r="F302" s="81">
        <v>512</v>
      </c>
      <c r="G302" s="11">
        <f t="shared" si="13"/>
        <v>383.05200000000002</v>
      </c>
      <c r="H302" s="11">
        <f>IFERROR(IF(Yearending&gt;B301,'5. Historical demand'!F302-'5. Historical demand'!C302-'5. Historical demand'!D302,""),"")</f>
        <v>219.89999999999998</v>
      </c>
      <c r="I302" s="11">
        <f t="shared" si="14"/>
        <v>163.15200000000004</v>
      </c>
    </row>
    <row r="303" spans="2:9">
      <c r="B303" s="192">
        <f t="shared" si="12"/>
        <v>45734</v>
      </c>
      <c r="C303" s="81">
        <v>292.10000000000002</v>
      </c>
      <c r="D303" s="81"/>
      <c r="E303" s="81">
        <v>242.40499999999997</v>
      </c>
      <c r="F303" s="81">
        <v>512</v>
      </c>
      <c r="G303" s="11">
        <f t="shared" si="13"/>
        <v>269.59500000000003</v>
      </c>
      <c r="H303" s="11">
        <f>IFERROR(IF(Yearending&gt;B302,'5. Historical demand'!F303-'5. Historical demand'!C303-'5. Historical demand'!D303,""),"")</f>
        <v>219.89999999999998</v>
      </c>
      <c r="I303" s="11">
        <f t="shared" si="14"/>
        <v>49.69500000000005</v>
      </c>
    </row>
    <row r="304" spans="2:9">
      <c r="B304" s="192">
        <f t="shared" si="12"/>
        <v>45735</v>
      </c>
      <c r="C304" s="81">
        <v>292.10000000000002</v>
      </c>
      <c r="D304" s="81"/>
      <c r="E304" s="81">
        <v>133.89699999999999</v>
      </c>
      <c r="F304" s="81">
        <v>512</v>
      </c>
      <c r="G304" s="11">
        <f t="shared" si="13"/>
        <v>378.10300000000001</v>
      </c>
      <c r="H304" s="11">
        <f>IFERROR(IF(Yearending&gt;B303,'5. Historical demand'!F304-'5. Historical demand'!C304-'5. Historical demand'!D304,""),"")</f>
        <v>219.89999999999998</v>
      </c>
      <c r="I304" s="11">
        <f t="shared" si="14"/>
        <v>158.20300000000003</v>
      </c>
    </row>
    <row r="305" spans="2:9">
      <c r="B305" s="192">
        <f t="shared" si="12"/>
        <v>45736</v>
      </c>
      <c r="C305" s="81">
        <v>292.10000000000002</v>
      </c>
      <c r="D305" s="81"/>
      <c r="E305" s="81">
        <v>129.84399999999999</v>
      </c>
      <c r="F305" s="81">
        <v>512</v>
      </c>
      <c r="G305" s="11">
        <f t="shared" si="13"/>
        <v>382.15600000000001</v>
      </c>
      <c r="H305" s="11">
        <f>IFERROR(IF(Yearending&gt;B304,'5. Historical demand'!F305-'5. Historical demand'!C305-'5. Historical demand'!D305,""),"")</f>
        <v>219.89999999999998</v>
      </c>
      <c r="I305" s="11">
        <f t="shared" si="14"/>
        <v>162.25600000000003</v>
      </c>
    </row>
    <row r="306" spans="2:9">
      <c r="B306" s="192">
        <f t="shared" si="12"/>
        <v>45737</v>
      </c>
      <c r="C306" s="81">
        <v>292.10000000000002</v>
      </c>
      <c r="D306" s="81"/>
      <c r="E306" s="81">
        <v>123.161</v>
      </c>
      <c r="F306" s="81">
        <v>512</v>
      </c>
      <c r="G306" s="11">
        <f t="shared" si="13"/>
        <v>388.839</v>
      </c>
      <c r="H306" s="11">
        <f>IFERROR(IF(Yearending&gt;B305,'5. Historical demand'!F306-'5. Historical demand'!C306-'5. Historical demand'!D306,""),"")</f>
        <v>219.89999999999998</v>
      </c>
      <c r="I306" s="11">
        <f t="shared" si="14"/>
        <v>168.93900000000002</v>
      </c>
    </row>
    <row r="307" spans="2:9">
      <c r="B307" s="192">
        <f t="shared" si="12"/>
        <v>45738</v>
      </c>
      <c r="C307" s="81">
        <v>292.10000000000002</v>
      </c>
      <c r="D307" s="81"/>
      <c r="E307" s="81">
        <v>131.22800000000001</v>
      </c>
      <c r="F307" s="81">
        <v>512</v>
      </c>
      <c r="G307" s="11">
        <f t="shared" si="13"/>
        <v>380.77199999999999</v>
      </c>
      <c r="H307" s="11">
        <f>IFERROR(IF(Yearending&gt;B306,'5. Historical demand'!F307-'5. Historical demand'!C307-'5. Historical demand'!D307,""),"")</f>
        <v>219.89999999999998</v>
      </c>
      <c r="I307" s="11">
        <f t="shared" si="14"/>
        <v>160.87200000000001</v>
      </c>
    </row>
    <row r="308" spans="2:9">
      <c r="B308" s="192">
        <f t="shared" si="12"/>
        <v>45739</v>
      </c>
      <c r="C308" s="81">
        <v>292.10000000000002</v>
      </c>
      <c r="D308" s="81"/>
      <c r="E308" s="81">
        <v>124.577</v>
      </c>
      <c r="F308" s="81">
        <v>512</v>
      </c>
      <c r="G308" s="11">
        <f t="shared" si="13"/>
        <v>387.423</v>
      </c>
      <c r="H308" s="11">
        <f>IFERROR(IF(Yearending&gt;B307,'5. Historical demand'!F308-'5. Historical demand'!C308-'5. Historical demand'!D308,""),"")</f>
        <v>219.89999999999998</v>
      </c>
      <c r="I308" s="11">
        <f t="shared" si="14"/>
        <v>167.52300000000002</v>
      </c>
    </row>
    <row r="309" spans="2:9">
      <c r="B309" s="192">
        <f t="shared" si="12"/>
        <v>45740</v>
      </c>
      <c r="C309" s="81">
        <v>292.10000000000002</v>
      </c>
      <c r="D309" s="81"/>
      <c r="E309" s="81">
        <v>115.538</v>
      </c>
      <c r="F309" s="81">
        <v>512</v>
      </c>
      <c r="G309" s="11">
        <f t="shared" si="13"/>
        <v>396.46199999999999</v>
      </c>
      <c r="H309" s="11">
        <f>IFERROR(IF(Yearending&gt;B308,'5. Historical demand'!F309-'5. Historical demand'!C309-'5. Historical demand'!D309,""),"")</f>
        <v>219.89999999999998</v>
      </c>
      <c r="I309" s="11">
        <f t="shared" si="14"/>
        <v>176.56200000000001</v>
      </c>
    </row>
    <row r="310" spans="2:9">
      <c r="B310" s="192">
        <f t="shared" si="12"/>
        <v>45741</v>
      </c>
      <c r="C310" s="81">
        <v>292.10000000000002</v>
      </c>
      <c r="D310" s="81"/>
      <c r="E310" s="81">
        <v>125.907</v>
      </c>
      <c r="F310" s="81">
        <v>512</v>
      </c>
      <c r="G310" s="11">
        <f t="shared" si="13"/>
        <v>386.09300000000002</v>
      </c>
      <c r="H310" s="11">
        <f>IFERROR(IF(Yearending&gt;B309,'5. Historical demand'!F310-'5. Historical demand'!C310-'5. Historical demand'!D310,""),"")</f>
        <v>219.89999999999998</v>
      </c>
      <c r="I310" s="11">
        <f t="shared" si="14"/>
        <v>166.19300000000004</v>
      </c>
    </row>
    <row r="311" spans="2:9">
      <c r="B311" s="192">
        <f t="shared" si="12"/>
        <v>45742</v>
      </c>
      <c r="C311" s="81">
        <v>292.10000000000002</v>
      </c>
      <c r="D311" s="81"/>
      <c r="E311" s="81">
        <v>122.666</v>
      </c>
      <c r="F311" s="81">
        <v>512</v>
      </c>
      <c r="G311" s="11">
        <f t="shared" si="13"/>
        <v>389.334</v>
      </c>
      <c r="H311" s="11">
        <f>IFERROR(IF(Yearending&gt;B310,'5. Historical demand'!F311-'5. Historical demand'!C311-'5. Historical demand'!D311,""),"")</f>
        <v>219.89999999999998</v>
      </c>
      <c r="I311" s="11">
        <f t="shared" si="14"/>
        <v>169.43400000000003</v>
      </c>
    </row>
    <row r="312" spans="2:9">
      <c r="B312" s="192">
        <f t="shared" si="12"/>
        <v>45743</v>
      </c>
      <c r="C312" s="81">
        <v>292.10000000000002</v>
      </c>
      <c r="D312" s="81"/>
      <c r="E312" s="81">
        <v>144.404</v>
      </c>
      <c r="F312" s="81">
        <v>512</v>
      </c>
      <c r="G312" s="11">
        <f t="shared" si="13"/>
        <v>367.596</v>
      </c>
      <c r="H312" s="11">
        <f>IFERROR(IF(Yearending&gt;B311,'5. Historical demand'!F312-'5. Historical demand'!C312-'5. Historical demand'!D312,""),"")</f>
        <v>219.89999999999998</v>
      </c>
      <c r="I312" s="11">
        <f t="shared" si="14"/>
        <v>147.69600000000003</v>
      </c>
    </row>
    <row r="313" spans="2:9">
      <c r="B313" s="192">
        <f t="shared" si="12"/>
        <v>45744</v>
      </c>
      <c r="C313" s="81">
        <v>292.10000000000002</v>
      </c>
      <c r="D313" s="81"/>
      <c r="E313" s="81">
        <v>150.55000000000001</v>
      </c>
      <c r="F313" s="81">
        <v>512</v>
      </c>
      <c r="G313" s="11">
        <f t="shared" si="13"/>
        <v>361.45</v>
      </c>
      <c r="H313" s="11">
        <f>IFERROR(IF(Yearending&gt;B312,'5. Historical demand'!F313-'5. Historical demand'!C313-'5. Historical demand'!D313,""),"")</f>
        <v>219.89999999999998</v>
      </c>
      <c r="I313" s="11">
        <f t="shared" si="14"/>
        <v>141.55000000000001</v>
      </c>
    </row>
    <row r="314" spans="2:9">
      <c r="B314" s="192">
        <f t="shared" si="12"/>
        <v>45745</v>
      </c>
      <c r="C314" s="81">
        <v>292.10000000000002</v>
      </c>
      <c r="D314" s="81"/>
      <c r="E314" s="81">
        <v>126.59699999999999</v>
      </c>
      <c r="F314" s="81">
        <v>512</v>
      </c>
      <c r="G314" s="11">
        <f t="shared" si="13"/>
        <v>385.40300000000002</v>
      </c>
      <c r="H314" s="11">
        <f>IFERROR(IF(Yearending&gt;B313,'5. Historical demand'!F314-'5. Historical demand'!C314-'5. Historical demand'!D314,""),"")</f>
        <v>219.89999999999998</v>
      </c>
      <c r="I314" s="11">
        <f t="shared" si="14"/>
        <v>165.50300000000004</v>
      </c>
    </row>
    <row r="315" spans="2:9">
      <c r="B315" s="192">
        <f t="shared" si="12"/>
        <v>45746</v>
      </c>
      <c r="C315" s="81">
        <v>292.10000000000002</v>
      </c>
      <c r="D315" s="81"/>
      <c r="E315" s="81">
        <v>121.877</v>
      </c>
      <c r="F315" s="81">
        <v>512</v>
      </c>
      <c r="G315" s="11">
        <f t="shared" si="13"/>
        <v>390.12299999999999</v>
      </c>
      <c r="H315" s="11">
        <f>IFERROR(IF(Yearending&gt;B314,'5. Historical demand'!F315-'5. Historical demand'!C315-'5. Historical demand'!D315,""),"")</f>
        <v>219.89999999999998</v>
      </c>
      <c r="I315" s="11">
        <f t="shared" si="14"/>
        <v>170.22300000000001</v>
      </c>
    </row>
    <row r="316" spans="2:9">
      <c r="B316" s="192">
        <f t="shared" si="12"/>
        <v>45747</v>
      </c>
      <c r="C316" s="81">
        <v>292.10000000000002</v>
      </c>
      <c r="D316" s="81"/>
      <c r="E316" s="81">
        <v>122.357</v>
      </c>
      <c r="F316" s="81">
        <v>512</v>
      </c>
      <c r="G316" s="11">
        <f t="shared" si="13"/>
        <v>389.64300000000003</v>
      </c>
      <c r="H316" s="11">
        <f>IFERROR(IF(Yearending&gt;B315,'5. Historical demand'!F316-'5. Historical demand'!C316-'5. Historical demand'!D316,""),"")</f>
        <v>219.89999999999998</v>
      </c>
      <c r="I316" s="11">
        <f t="shared" si="14"/>
        <v>169.74300000000002</v>
      </c>
    </row>
    <row r="317" spans="2:9">
      <c r="B317" s="192">
        <f t="shared" si="12"/>
        <v>45748</v>
      </c>
      <c r="C317" s="81">
        <v>344.1</v>
      </c>
      <c r="D317" s="81"/>
      <c r="E317" s="81">
        <v>84.539999999999992</v>
      </c>
      <c r="F317" s="81">
        <v>512</v>
      </c>
      <c r="G317" s="11">
        <f t="shared" si="13"/>
        <v>427.46000000000004</v>
      </c>
      <c r="H317" s="11">
        <f>IFERROR(IF(Yearending&gt;B316,'5. Historical demand'!F317-'5. Historical demand'!C317-'5. Historical demand'!D317,""),"")</f>
        <v>167.89999999999998</v>
      </c>
      <c r="I317" s="11">
        <f t="shared" si="14"/>
        <v>259.56000000000006</v>
      </c>
    </row>
    <row r="318" spans="2:9">
      <c r="B318" s="192">
        <f t="shared" si="12"/>
        <v>45749</v>
      </c>
      <c r="C318" s="81">
        <v>344.1</v>
      </c>
      <c r="D318" s="81"/>
      <c r="E318" s="81">
        <v>118.85300000000001</v>
      </c>
      <c r="F318" s="81">
        <v>512</v>
      </c>
      <c r="G318" s="11">
        <f t="shared" si="13"/>
        <v>393.14699999999999</v>
      </c>
      <c r="H318" s="11">
        <f>IFERROR(IF(Yearending&gt;B317,'5. Historical demand'!F318-'5. Historical demand'!C318-'5. Historical demand'!D318,""),"")</f>
        <v>167.89999999999998</v>
      </c>
      <c r="I318" s="11">
        <f t="shared" si="14"/>
        <v>225.24700000000001</v>
      </c>
    </row>
    <row r="319" spans="2:9">
      <c r="B319" s="192">
        <f t="shared" si="12"/>
        <v>45750</v>
      </c>
      <c r="C319" s="81">
        <v>344.1</v>
      </c>
      <c r="D319" s="81"/>
      <c r="E319" s="81">
        <v>136.41800000000001</v>
      </c>
      <c r="F319" s="81">
        <v>512</v>
      </c>
      <c r="G319" s="11">
        <f t="shared" si="13"/>
        <v>375.58199999999999</v>
      </c>
      <c r="H319" s="11">
        <f>IFERROR(IF(Yearending&gt;B318,'5. Historical demand'!F319-'5. Historical demand'!C319-'5. Historical demand'!D319,""),"")</f>
        <v>167.89999999999998</v>
      </c>
      <c r="I319" s="11">
        <f t="shared" si="14"/>
        <v>207.68200000000002</v>
      </c>
    </row>
    <row r="320" spans="2:9">
      <c r="B320" s="192">
        <f t="shared" si="12"/>
        <v>45751</v>
      </c>
      <c r="C320" s="81">
        <v>344.1</v>
      </c>
      <c r="D320" s="81"/>
      <c r="E320" s="81">
        <v>213.827</v>
      </c>
      <c r="F320" s="81">
        <v>512</v>
      </c>
      <c r="G320" s="11">
        <f t="shared" si="13"/>
        <v>298.173</v>
      </c>
      <c r="H320" s="11">
        <f>IFERROR(IF(Yearending&gt;B319,'5. Historical demand'!F320-'5. Historical demand'!C320-'5. Historical demand'!D320,""),"")</f>
        <v>167.89999999999998</v>
      </c>
      <c r="I320" s="11">
        <f t="shared" si="14"/>
        <v>130.27300000000002</v>
      </c>
    </row>
    <row r="321" spans="2:9">
      <c r="B321" s="192">
        <f t="shared" si="12"/>
        <v>45752</v>
      </c>
      <c r="C321" s="81">
        <v>344.1</v>
      </c>
      <c r="D321" s="81"/>
      <c r="E321" s="81">
        <v>189.05700000000002</v>
      </c>
      <c r="F321" s="81">
        <v>512</v>
      </c>
      <c r="G321" s="11">
        <f t="shared" si="13"/>
        <v>322.94299999999998</v>
      </c>
      <c r="H321" s="11">
        <f>IFERROR(IF(Yearending&gt;B320,'5. Historical demand'!F321-'5. Historical demand'!C321-'5. Historical demand'!D321,""),"")</f>
        <v>167.89999999999998</v>
      </c>
      <c r="I321" s="11">
        <f t="shared" si="14"/>
        <v>155.04300000000001</v>
      </c>
    </row>
    <row r="322" spans="2:9">
      <c r="B322" s="192">
        <f t="shared" si="12"/>
        <v>45753</v>
      </c>
      <c r="C322" s="81">
        <v>344.1</v>
      </c>
      <c r="D322" s="81"/>
      <c r="E322" s="81">
        <v>153.50200000000001</v>
      </c>
      <c r="F322" s="81">
        <v>512</v>
      </c>
      <c r="G322" s="11">
        <f t="shared" si="13"/>
        <v>358.49799999999999</v>
      </c>
      <c r="H322" s="11">
        <f>IFERROR(IF(Yearending&gt;B321,'5. Historical demand'!F322-'5. Historical demand'!C322-'5. Historical demand'!D322,""),"")</f>
        <v>167.89999999999998</v>
      </c>
      <c r="I322" s="11">
        <f t="shared" si="14"/>
        <v>190.59800000000001</v>
      </c>
    </row>
    <row r="323" spans="2:9">
      <c r="B323" s="192">
        <f t="shared" si="12"/>
        <v>45754</v>
      </c>
      <c r="C323" s="81">
        <v>344.1</v>
      </c>
      <c r="D323" s="81"/>
      <c r="E323" s="81">
        <v>267.25599999999997</v>
      </c>
      <c r="F323" s="81">
        <v>512</v>
      </c>
      <c r="G323" s="11">
        <f t="shared" si="13"/>
        <v>244.74400000000003</v>
      </c>
      <c r="H323" s="11">
        <f>IFERROR(IF(Yearending&gt;B322,'5. Historical demand'!F323-'5. Historical demand'!C323-'5. Historical demand'!D323,""),"")</f>
        <v>167.89999999999998</v>
      </c>
      <c r="I323" s="11">
        <f t="shared" si="14"/>
        <v>76.844000000000051</v>
      </c>
    </row>
    <row r="324" spans="2:9">
      <c r="B324" s="192">
        <f t="shared" si="12"/>
        <v>45755</v>
      </c>
      <c r="C324" s="81">
        <v>344.1</v>
      </c>
      <c r="D324" s="81"/>
      <c r="E324" s="81">
        <v>193.58300000000003</v>
      </c>
      <c r="F324" s="81">
        <v>512</v>
      </c>
      <c r="G324" s="11">
        <f t="shared" si="13"/>
        <v>318.41699999999997</v>
      </c>
      <c r="H324" s="11">
        <f>IFERROR(IF(Yearending&gt;B323,'5. Historical demand'!F324-'5. Historical demand'!C324-'5. Historical demand'!D324,""),"")</f>
        <v>167.89999999999998</v>
      </c>
      <c r="I324" s="11">
        <f t="shared" si="14"/>
        <v>150.517</v>
      </c>
    </row>
    <row r="325" spans="2:9">
      <c r="B325" s="192">
        <f t="shared" si="12"/>
        <v>45756</v>
      </c>
      <c r="C325" s="81">
        <v>344.1</v>
      </c>
      <c r="D325" s="81"/>
      <c r="E325" s="81">
        <v>176.99799999999999</v>
      </c>
      <c r="F325" s="81">
        <v>512</v>
      </c>
      <c r="G325" s="11">
        <f t="shared" si="13"/>
        <v>335.00200000000001</v>
      </c>
      <c r="H325" s="11">
        <f>IFERROR(IF(Yearending&gt;B324,'5. Historical demand'!F325-'5. Historical demand'!C325-'5. Historical demand'!D325,""),"")</f>
        <v>167.89999999999998</v>
      </c>
      <c r="I325" s="11">
        <f t="shared" si="14"/>
        <v>167.10200000000003</v>
      </c>
    </row>
    <row r="326" spans="2:9">
      <c r="B326" s="192">
        <f t="shared" si="12"/>
        <v>45757</v>
      </c>
      <c r="C326" s="81">
        <v>344.1</v>
      </c>
      <c r="D326" s="81"/>
      <c r="E326" s="81">
        <v>129.23599999999999</v>
      </c>
      <c r="F326" s="81">
        <v>512</v>
      </c>
      <c r="G326" s="11">
        <f t="shared" si="13"/>
        <v>382.76400000000001</v>
      </c>
      <c r="H326" s="11">
        <f>IFERROR(IF(Yearending&gt;B325,'5. Historical demand'!F326-'5. Historical demand'!C326-'5. Historical demand'!D326,""),"")</f>
        <v>167.89999999999998</v>
      </c>
      <c r="I326" s="11">
        <f t="shared" si="14"/>
        <v>214.86400000000003</v>
      </c>
    </row>
    <row r="327" spans="2:9">
      <c r="B327" s="192">
        <f t="shared" si="12"/>
        <v>45758</v>
      </c>
      <c r="C327" s="81">
        <v>344.1</v>
      </c>
      <c r="D327" s="81"/>
      <c r="E327" s="81">
        <v>100.836</v>
      </c>
      <c r="F327" s="81">
        <v>512</v>
      </c>
      <c r="G327" s="11">
        <f t="shared" si="13"/>
        <v>411.16399999999999</v>
      </c>
      <c r="H327" s="11">
        <f>IFERROR(IF(Yearending&gt;B326,'5. Historical demand'!F327-'5. Historical demand'!C327-'5. Historical demand'!D327,""),"")</f>
        <v>167.89999999999998</v>
      </c>
      <c r="I327" s="11">
        <f t="shared" si="14"/>
        <v>243.26400000000001</v>
      </c>
    </row>
    <row r="328" spans="2:9">
      <c r="B328" s="192">
        <f t="shared" si="12"/>
        <v>45759</v>
      </c>
      <c r="C328" s="81">
        <v>344.1</v>
      </c>
      <c r="D328" s="81"/>
      <c r="E328" s="81">
        <v>160.68899999999999</v>
      </c>
      <c r="F328" s="81">
        <v>512</v>
      </c>
      <c r="G328" s="11">
        <f t="shared" si="13"/>
        <v>351.31100000000004</v>
      </c>
      <c r="H328" s="11">
        <f>IFERROR(IF(Yearending&gt;B327,'5. Historical demand'!F328-'5. Historical demand'!C328-'5. Historical demand'!D328,""),"")</f>
        <v>167.89999999999998</v>
      </c>
      <c r="I328" s="11">
        <f t="shared" si="14"/>
        <v>183.41100000000003</v>
      </c>
    </row>
    <row r="329" spans="2:9">
      <c r="B329" s="192">
        <f t="shared" si="12"/>
        <v>45760</v>
      </c>
      <c r="C329" s="81">
        <v>344.1</v>
      </c>
      <c r="D329" s="81"/>
      <c r="E329" s="81">
        <v>117.13500000000001</v>
      </c>
      <c r="F329" s="81">
        <v>512</v>
      </c>
      <c r="G329" s="11">
        <f t="shared" si="13"/>
        <v>394.86500000000001</v>
      </c>
      <c r="H329" s="11">
        <f>IFERROR(IF(Yearending&gt;B328,'5. Historical demand'!F329-'5. Historical demand'!C329-'5. Historical demand'!D329,""),"")</f>
        <v>167.89999999999998</v>
      </c>
      <c r="I329" s="11">
        <f t="shared" si="14"/>
        <v>226.96500000000003</v>
      </c>
    </row>
    <row r="330" spans="2:9">
      <c r="B330" s="192">
        <f t="shared" si="12"/>
        <v>45761</v>
      </c>
      <c r="C330" s="81">
        <v>344.1</v>
      </c>
      <c r="D330" s="81"/>
      <c r="E330" s="81">
        <v>91.515999999999991</v>
      </c>
      <c r="F330" s="81">
        <v>512</v>
      </c>
      <c r="G330" s="11">
        <f t="shared" si="13"/>
        <v>420.48400000000004</v>
      </c>
      <c r="H330" s="11">
        <f>IFERROR(IF(Yearending&gt;B329,'5. Historical demand'!F330-'5. Historical demand'!C330-'5. Historical demand'!D330,""),"")</f>
        <v>167.89999999999998</v>
      </c>
      <c r="I330" s="11">
        <f t="shared" si="14"/>
        <v>252.58400000000003</v>
      </c>
    </row>
    <row r="331" spans="2:9">
      <c r="B331" s="192">
        <f t="shared" si="12"/>
        <v>45762</v>
      </c>
      <c r="C331" s="81">
        <v>344.1</v>
      </c>
      <c r="D331" s="81"/>
      <c r="E331" s="81">
        <v>145.27699999999999</v>
      </c>
      <c r="F331" s="81">
        <v>512</v>
      </c>
      <c r="G331" s="11">
        <f t="shared" si="13"/>
        <v>366.72300000000001</v>
      </c>
      <c r="H331" s="11">
        <f>IFERROR(IF(Yearending&gt;B330,'5. Historical demand'!F331-'5. Historical demand'!C331-'5. Historical demand'!D331,""),"")</f>
        <v>167.89999999999998</v>
      </c>
      <c r="I331" s="11">
        <f t="shared" si="14"/>
        <v>198.82300000000004</v>
      </c>
    </row>
    <row r="332" spans="2:9">
      <c r="B332" s="192">
        <f t="shared" si="12"/>
        <v>45763</v>
      </c>
      <c r="C332" s="81">
        <v>344.1</v>
      </c>
      <c r="D332" s="81"/>
      <c r="E332" s="81">
        <v>136.70600000000002</v>
      </c>
      <c r="F332" s="81">
        <v>512</v>
      </c>
      <c r="G332" s="11">
        <f t="shared" si="13"/>
        <v>375.29399999999998</v>
      </c>
      <c r="H332" s="11">
        <f>IFERROR(IF(Yearending&gt;B331,'5. Historical demand'!F332-'5. Historical demand'!C332-'5. Historical demand'!D332,""),"")</f>
        <v>167.89999999999998</v>
      </c>
      <c r="I332" s="11">
        <f t="shared" si="14"/>
        <v>207.39400000000001</v>
      </c>
    </row>
    <row r="333" spans="2:9">
      <c r="B333" s="192">
        <f t="shared" si="12"/>
        <v>45764</v>
      </c>
      <c r="C333" s="81">
        <v>344.1</v>
      </c>
      <c r="D333" s="81"/>
      <c r="E333" s="81">
        <v>156.73699999999999</v>
      </c>
      <c r="F333" s="81">
        <v>512</v>
      </c>
      <c r="G333" s="11">
        <f t="shared" si="13"/>
        <v>355.26300000000003</v>
      </c>
      <c r="H333" s="11">
        <f>IFERROR(IF(Yearending&gt;B332,'5. Historical demand'!F333-'5. Historical demand'!C333-'5. Historical demand'!D333,""),"")</f>
        <v>167.89999999999998</v>
      </c>
      <c r="I333" s="11">
        <f t="shared" si="14"/>
        <v>187.36300000000003</v>
      </c>
    </row>
    <row r="334" spans="2:9">
      <c r="B334" s="192">
        <f t="shared" si="12"/>
        <v>45765</v>
      </c>
      <c r="C334" s="81">
        <v>344.1</v>
      </c>
      <c r="D334" s="81"/>
      <c r="E334" s="81">
        <v>78.399000000000001</v>
      </c>
      <c r="F334" s="81">
        <v>512</v>
      </c>
      <c r="G334" s="11">
        <f t="shared" si="13"/>
        <v>433.601</v>
      </c>
      <c r="H334" s="11">
        <f>IFERROR(IF(Yearending&gt;B333,'5. Historical demand'!F334-'5. Historical demand'!C334-'5. Historical demand'!D334,""),"")</f>
        <v>167.89999999999998</v>
      </c>
      <c r="I334" s="11">
        <f t="shared" si="14"/>
        <v>265.70100000000002</v>
      </c>
    </row>
    <row r="335" spans="2:9">
      <c r="B335" s="192">
        <f t="shared" si="12"/>
        <v>45766</v>
      </c>
      <c r="C335" s="81">
        <v>344.1</v>
      </c>
      <c r="D335" s="81"/>
      <c r="E335" s="81">
        <v>75.775000000000006</v>
      </c>
      <c r="F335" s="81">
        <v>512</v>
      </c>
      <c r="G335" s="11">
        <f t="shared" si="13"/>
        <v>436.22500000000002</v>
      </c>
      <c r="H335" s="11">
        <f>IFERROR(IF(Yearending&gt;B334,'5. Historical demand'!F335-'5. Historical demand'!C335-'5. Historical demand'!D335,""),"")</f>
        <v>167.89999999999998</v>
      </c>
      <c r="I335" s="11">
        <f t="shared" si="14"/>
        <v>268.32500000000005</v>
      </c>
    </row>
    <row r="336" spans="2:9">
      <c r="B336" s="192">
        <f t="shared" si="12"/>
        <v>45767</v>
      </c>
      <c r="C336" s="81">
        <v>344.1</v>
      </c>
      <c r="D336" s="81"/>
      <c r="E336" s="81">
        <v>76.921999999999997</v>
      </c>
      <c r="F336" s="81">
        <v>512</v>
      </c>
      <c r="G336" s="11">
        <f t="shared" si="13"/>
        <v>435.07799999999997</v>
      </c>
      <c r="H336" s="11">
        <f>IFERROR(IF(Yearending&gt;B335,'5. Historical demand'!F336-'5. Historical demand'!C336-'5. Historical demand'!D336,""),"")</f>
        <v>167.89999999999998</v>
      </c>
      <c r="I336" s="11">
        <f t="shared" si="14"/>
        <v>267.178</v>
      </c>
    </row>
    <row r="337" spans="2:9">
      <c r="B337" s="192">
        <f t="shared" si="12"/>
        <v>45768</v>
      </c>
      <c r="C337" s="81">
        <v>344.1</v>
      </c>
      <c r="D337" s="81"/>
      <c r="E337" s="81">
        <v>95.679000000000002</v>
      </c>
      <c r="F337" s="81">
        <v>512</v>
      </c>
      <c r="G337" s="11">
        <f t="shared" si="13"/>
        <v>416.32100000000003</v>
      </c>
      <c r="H337" s="11">
        <f>IFERROR(IF(Yearending&gt;B336,'5. Historical demand'!F337-'5. Historical demand'!C337-'5. Historical demand'!D337,""),"")</f>
        <v>167.89999999999998</v>
      </c>
      <c r="I337" s="11">
        <f t="shared" si="14"/>
        <v>248.42100000000002</v>
      </c>
    </row>
    <row r="338" spans="2:9">
      <c r="B338" s="192">
        <f t="shared" si="12"/>
        <v>45769</v>
      </c>
      <c r="C338" s="81">
        <v>344.1</v>
      </c>
      <c r="D338" s="81"/>
      <c r="E338" s="81">
        <v>94.106999999999999</v>
      </c>
      <c r="F338" s="81">
        <v>512</v>
      </c>
      <c r="G338" s="11">
        <f t="shared" si="13"/>
        <v>417.89300000000003</v>
      </c>
      <c r="H338" s="11">
        <f>IFERROR(IF(Yearending&gt;B337,'5. Historical demand'!F338-'5. Historical demand'!C338-'5. Historical demand'!D338,""),"")</f>
        <v>167.89999999999998</v>
      </c>
      <c r="I338" s="11">
        <f t="shared" si="14"/>
        <v>249.99300000000002</v>
      </c>
    </row>
    <row r="339" spans="2:9">
      <c r="B339" s="192">
        <f t="shared" si="12"/>
        <v>45770</v>
      </c>
      <c r="C339" s="81">
        <v>344.1</v>
      </c>
      <c r="D339" s="81"/>
      <c r="E339" s="81">
        <v>101.45400000000001</v>
      </c>
      <c r="F339" s="81">
        <v>512</v>
      </c>
      <c r="G339" s="11">
        <f t="shared" si="13"/>
        <v>410.54599999999999</v>
      </c>
      <c r="H339" s="11">
        <f>IFERROR(IF(Yearending&gt;B338,'5. Historical demand'!F339-'5. Historical demand'!C339-'5. Historical demand'!D339,""),"")</f>
        <v>167.89999999999998</v>
      </c>
      <c r="I339" s="11">
        <f t="shared" si="14"/>
        <v>242.64600000000002</v>
      </c>
    </row>
    <row r="340" spans="2:9">
      <c r="B340" s="192">
        <f t="shared" si="12"/>
        <v>45771</v>
      </c>
      <c r="C340" s="81">
        <v>344.1</v>
      </c>
      <c r="D340" s="81"/>
      <c r="E340" s="81">
        <v>182.517</v>
      </c>
      <c r="F340" s="81">
        <v>512</v>
      </c>
      <c r="G340" s="11">
        <f t="shared" si="13"/>
        <v>329.483</v>
      </c>
      <c r="H340" s="11">
        <f>IFERROR(IF(Yearending&gt;B339,'5. Historical demand'!F340-'5. Historical demand'!C340-'5. Historical demand'!D340,""),"")</f>
        <v>167.89999999999998</v>
      </c>
      <c r="I340" s="11">
        <f t="shared" si="14"/>
        <v>161.58300000000003</v>
      </c>
    </row>
    <row r="341" spans="2:9">
      <c r="B341" s="192">
        <f t="shared" si="12"/>
        <v>45772</v>
      </c>
      <c r="C341" s="81">
        <v>344.1</v>
      </c>
      <c r="D341" s="81"/>
      <c r="E341" s="81">
        <v>123.815</v>
      </c>
      <c r="F341" s="81">
        <v>512</v>
      </c>
      <c r="G341" s="11">
        <f t="shared" si="13"/>
        <v>388.185</v>
      </c>
      <c r="H341" s="11">
        <f>IFERROR(IF(Yearending&gt;B340,'5. Historical demand'!F341-'5. Historical demand'!C341-'5. Historical demand'!D341,""),"")</f>
        <v>167.89999999999998</v>
      </c>
      <c r="I341" s="11">
        <f t="shared" si="14"/>
        <v>220.28500000000003</v>
      </c>
    </row>
    <row r="342" spans="2:9">
      <c r="B342" s="192">
        <f t="shared" si="12"/>
        <v>45773</v>
      </c>
      <c r="C342" s="81">
        <v>344.1</v>
      </c>
      <c r="D342" s="81"/>
      <c r="E342" s="81">
        <v>117.13500000000001</v>
      </c>
      <c r="F342" s="81">
        <v>512</v>
      </c>
      <c r="G342" s="11">
        <f t="shared" si="13"/>
        <v>394.86500000000001</v>
      </c>
      <c r="H342" s="11">
        <f>IFERROR(IF(Yearending&gt;B341,'5. Historical demand'!F342-'5. Historical demand'!C342-'5. Historical demand'!D342,""),"")</f>
        <v>167.89999999999998</v>
      </c>
      <c r="I342" s="11">
        <f t="shared" si="14"/>
        <v>226.96500000000003</v>
      </c>
    </row>
    <row r="343" spans="2:9">
      <c r="B343" s="192">
        <f t="shared" si="12"/>
        <v>45774</v>
      </c>
      <c r="C343" s="81">
        <v>344.1</v>
      </c>
      <c r="D343" s="81"/>
      <c r="E343" s="81">
        <v>131.16300000000001</v>
      </c>
      <c r="F343" s="81">
        <v>512</v>
      </c>
      <c r="G343" s="11">
        <f t="shared" si="13"/>
        <v>380.83699999999999</v>
      </c>
      <c r="H343" s="11">
        <f>IFERROR(IF(Yearending&gt;B342,'5. Historical demand'!F343-'5. Historical demand'!C343-'5. Historical demand'!D343,""),"")</f>
        <v>167.89999999999998</v>
      </c>
      <c r="I343" s="11">
        <f t="shared" si="14"/>
        <v>212.93700000000001</v>
      </c>
    </row>
    <row r="344" spans="2:9">
      <c r="B344" s="192">
        <f t="shared" si="12"/>
        <v>45775</v>
      </c>
      <c r="C344" s="81">
        <v>344.1</v>
      </c>
      <c r="D344" s="81"/>
      <c r="E344" s="81">
        <v>171.119</v>
      </c>
      <c r="F344" s="81">
        <v>512</v>
      </c>
      <c r="G344" s="11">
        <f t="shared" si="13"/>
        <v>340.88099999999997</v>
      </c>
      <c r="H344" s="11">
        <f>IFERROR(IF(Yearending&gt;B343,'5. Historical demand'!F344-'5. Historical demand'!C344-'5. Historical demand'!D344,""),"")</f>
        <v>167.89999999999998</v>
      </c>
      <c r="I344" s="11">
        <f t="shared" si="14"/>
        <v>172.98100000000002</v>
      </c>
    </row>
    <row r="345" spans="2:9">
      <c r="B345" s="192">
        <f t="shared" si="12"/>
        <v>45776</v>
      </c>
      <c r="C345" s="81">
        <v>344.1</v>
      </c>
      <c r="D345" s="81"/>
      <c r="E345" s="81">
        <v>157.74099999999999</v>
      </c>
      <c r="F345" s="81">
        <v>512</v>
      </c>
      <c r="G345" s="11">
        <f t="shared" si="13"/>
        <v>354.25900000000001</v>
      </c>
      <c r="H345" s="11">
        <f>IFERROR(IF(Yearending&gt;B344,'5. Historical demand'!F345-'5. Historical demand'!C345-'5. Historical demand'!D345,""),"")</f>
        <v>167.89999999999998</v>
      </c>
      <c r="I345" s="11">
        <f t="shared" si="14"/>
        <v>186.35900000000004</v>
      </c>
    </row>
    <row r="346" spans="2:9">
      <c r="B346" s="192">
        <f t="shared" si="12"/>
        <v>45777</v>
      </c>
      <c r="C346" s="81">
        <v>344.1</v>
      </c>
      <c r="D346" s="81"/>
      <c r="E346" s="81">
        <v>253.82900000000001</v>
      </c>
      <c r="F346" s="81">
        <v>512</v>
      </c>
      <c r="G346" s="11">
        <f t="shared" si="13"/>
        <v>258.17099999999999</v>
      </c>
      <c r="H346" s="11">
        <f>IFERROR(IF(Yearending&gt;B345,'5. Historical demand'!F346-'5. Historical demand'!C346-'5. Historical demand'!D346,""),"")</f>
        <v>167.89999999999998</v>
      </c>
      <c r="I346" s="11">
        <f t="shared" si="14"/>
        <v>90.271000000000015</v>
      </c>
    </row>
    <row r="347" spans="2:9">
      <c r="B347" s="192">
        <f t="shared" si="12"/>
        <v>45778</v>
      </c>
      <c r="C347" s="81">
        <v>489.1</v>
      </c>
      <c r="D347" s="81"/>
      <c r="E347" s="81">
        <v>363.55700000000002</v>
      </c>
      <c r="F347" s="81">
        <v>512</v>
      </c>
      <c r="G347" s="11">
        <f t="shared" si="13"/>
        <v>148.44299999999998</v>
      </c>
      <c r="H347" s="11">
        <f>IFERROR(IF(Yearending&gt;B346,'5. Historical demand'!F347-'5. Historical demand'!C347-'5. Historical demand'!D347,""),"")</f>
        <v>22.899999999999977</v>
      </c>
      <c r="I347" s="11">
        <f t="shared" si="14"/>
        <v>125.54300000000001</v>
      </c>
    </row>
    <row r="348" spans="2:9">
      <c r="B348" s="192">
        <f t="shared" si="12"/>
        <v>45779</v>
      </c>
      <c r="C348" s="81">
        <v>489.1</v>
      </c>
      <c r="D348" s="81"/>
      <c r="E348" s="81">
        <v>363.36500000000001</v>
      </c>
      <c r="F348" s="81">
        <v>512</v>
      </c>
      <c r="G348" s="11">
        <f t="shared" si="13"/>
        <v>148.63499999999999</v>
      </c>
      <c r="H348" s="11">
        <f>IFERROR(IF(Yearending&gt;B347,'5. Historical demand'!F348-'5. Historical demand'!C348-'5. Historical demand'!D348,""),"")</f>
        <v>22.899999999999977</v>
      </c>
      <c r="I348" s="11">
        <f t="shared" si="14"/>
        <v>125.73500000000001</v>
      </c>
    </row>
    <row r="349" spans="2:9">
      <c r="B349" s="192">
        <f t="shared" si="12"/>
        <v>45780</v>
      </c>
      <c r="C349" s="81">
        <v>489.1</v>
      </c>
      <c r="D349" s="81"/>
      <c r="E349" s="81">
        <v>322.30200000000002</v>
      </c>
      <c r="F349" s="81">
        <v>512</v>
      </c>
      <c r="G349" s="11">
        <f t="shared" si="13"/>
        <v>189.69799999999998</v>
      </c>
      <c r="H349" s="11">
        <f>IFERROR(IF(Yearending&gt;B348,'5. Historical demand'!F349-'5. Historical demand'!C349-'5. Historical demand'!D349,""),"")</f>
        <v>22.899999999999977</v>
      </c>
      <c r="I349" s="11">
        <f t="shared" si="14"/>
        <v>166.798</v>
      </c>
    </row>
    <row r="350" spans="2:9">
      <c r="B350" s="192">
        <f t="shared" si="12"/>
        <v>45781</v>
      </c>
      <c r="C350" s="81">
        <v>489.1</v>
      </c>
      <c r="D350" s="81"/>
      <c r="E350" s="81">
        <v>312.90800000000002</v>
      </c>
      <c r="F350" s="81">
        <v>512</v>
      </c>
      <c r="G350" s="11">
        <f t="shared" si="13"/>
        <v>199.09199999999998</v>
      </c>
      <c r="H350" s="11">
        <f>IFERROR(IF(Yearending&gt;B349,'5. Historical demand'!F350-'5. Historical demand'!C350-'5. Historical demand'!D350,""),"")</f>
        <v>22.899999999999977</v>
      </c>
      <c r="I350" s="11">
        <f t="shared" si="14"/>
        <v>176.19200000000001</v>
      </c>
    </row>
    <row r="351" spans="2:9">
      <c r="B351" s="192">
        <f t="shared" si="12"/>
        <v>45782</v>
      </c>
      <c r="C351" s="81">
        <v>489.1</v>
      </c>
      <c r="D351" s="81"/>
      <c r="E351" s="81">
        <v>263.64599999999996</v>
      </c>
      <c r="F351" s="81">
        <v>512</v>
      </c>
      <c r="G351" s="11">
        <f t="shared" si="13"/>
        <v>248.35400000000004</v>
      </c>
      <c r="H351" s="11">
        <f>IFERROR(IF(Yearending&gt;B350,'5. Historical demand'!F351-'5. Historical demand'!C351-'5. Historical demand'!D351,""),"")</f>
        <v>22.899999999999977</v>
      </c>
      <c r="I351" s="11">
        <f t="shared" si="14"/>
        <v>225.45400000000006</v>
      </c>
    </row>
    <row r="352" spans="2:9">
      <c r="B352" s="192">
        <f t="shared" si="12"/>
        <v>45783</v>
      </c>
      <c r="C352" s="81">
        <v>489.1</v>
      </c>
      <c r="D352" s="81"/>
      <c r="E352" s="81">
        <v>245.54000000000002</v>
      </c>
      <c r="F352" s="81">
        <v>512</v>
      </c>
      <c r="G352" s="11">
        <f t="shared" si="13"/>
        <v>266.45999999999998</v>
      </c>
      <c r="H352" s="11">
        <f>IFERROR(IF(Yearending&gt;B351,'5. Historical demand'!F352-'5. Historical demand'!C352-'5. Historical demand'!D352,""),"")</f>
        <v>22.899999999999977</v>
      </c>
      <c r="I352" s="11">
        <f t="shared" si="14"/>
        <v>243.56</v>
      </c>
    </row>
    <row r="353" spans="2:9">
      <c r="B353" s="192">
        <f t="shared" si="12"/>
        <v>45784</v>
      </c>
      <c r="C353" s="81">
        <v>489.1</v>
      </c>
      <c r="D353" s="81"/>
      <c r="E353" s="81">
        <v>278.05200000000002</v>
      </c>
      <c r="F353" s="81">
        <v>512</v>
      </c>
      <c r="G353" s="11">
        <f t="shared" si="13"/>
        <v>233.94799999999998</v>
      </c>
      <c r="H353" s="11">
        <f>IFERROR(IF(Yearending&gt;B352,'5. Historical demand'!F353-'5. Historical demand'!C353-'5. Historical demand'!D353,""),"")</f>
        <v>22.899999999999977</v>
      </c>
      <c r="I353" s="11">
        <f t="shared" si="14"/>
        <v>211.048</v>
      </c>
    </row>
    <row r="354" spans="2:9">
      <c r="B354" s="192">
        <f t="shared" si="12"/>
        <v>45785</v>
      </c>
      <c r="C354" s="81">
        <v>489.1</v>
      </c>
      <c r="D354" s="81"/>
      <c r="E354" s="81">
        <v>349.68799999999999</v>
      </c>
      <c r="F354" s="81">
        <v>512</v>
      </c>
      <c r="G354" s="11">
        <f t="shared" si="13"/>
        <v>162.31200000000001</v>
      </c>
      <c r="H354" s="11">
        <f>IFERROR(IF(Yearending&gt;B353,'5. Historical demand'!F354-'5. Historical demand'!C354-'5. Historical demand'!D354,""),"")</f>
        <v>22.899999999999977</v>
      </c>
      <c r="I354" s="11">
        <f t="shared" si="14"/>
        <v>139.41200000000003</v>
      </c>
    </row>
    <row r="355" spans="2:9">
      <c r="B355" s="192">
        <f t="shared" si="12"/>
        <v>45786</v>
      </c>
      <c r="C355" s="81">
        <v>489.1</v>
      </c>
      <c r="D355" s="81"/>
      <c r="E355" s="81">
        <v>340.97800000000001</v>
      </c>
      <c r="F355" s="81">
        <v>512</v>
      </c>
      <c r="G355" s="11">
        <f t="shared" si="13"/>
        <v>171.02199999999999</v>
      </c>
      <c r="H355" s="11">
        <f>IFERROR(IF(Yearending&gt;B354,'5. Historical demand'!F355-'5. Historical demand'!C355-'5. Historical demand'!D355,""),"")</f>
        <v>22.899999999999977</v>
      </c>
      <c r="I355" s="11">
        <f t="shared" si="14"/>
        <v>148.12200000000001</v>
      </c>
    </row>
    <row r="356" spans="2:9">
      <c r="B356" s="192">
        <f t="shared" si="12"/>
        <v>45787</v>
      </c>
      <c r="C356" s="81">
        <v>489.1</v>
      </c>
      <c r="D356" s="81"/>
      <c r="E356" s="81">
        <v>255.41899999999998</v>
      </c>
      <c r="F356" s="81">
        <v>512</v>
      </c>
      <c r="G356" s="11">
        <f t="shared" si="13"/>
        <v>256.58100000000002</v>
      </c>
      <c r="H356" s="11">
        <f>IFERROR(IF(Yearending&gt;B355,'5. Historical demand'!F356-'5. Historical demand'!C356-'5. Historical demand'!D356,""),"")</f>
        <v>22.899999999999977</v>
      </c>
      <c r="I356" s="11">
        <f t="shared" si="14"/>
        <v>233.68100000000004</v>
      </c>
    </row>
    <row r="357" spans="2:9">
      <c r="B357" s="192">
        <f t="shared" si="12"/>
        <v>45788</v>
      </c>
      <c r="C357" s="81">
        <v>489.1</v>
      </c>
      <c r="D357" s="81"/>
      <c r="E357" s="81">
        <v>217.79900000000001</v>
      </c>
      <c r="F357" s="81">
        <v>512</v>
      </c>
      <c r="G357" s="11">
        <f t="shared" si="13"/>
        <v>294.20100000000002</v>
      </c>
      <c r="H357" s="11">
        <f>IFERROR(IF(Yearending&gt;B356,'5. Historical demand'!F357-'5. Historical demand'!C357-'5. Historical demand'!D357,""),"")</f>
        <v>22.899999999999977</v>
      </c>
      <c r="I357" s="11">
        <f t="shared" si="14"/>
        <v>271.30100000000004</v>
      </c>
    </row>
    <row r="358" spans="2:9">
      <c r="B358" s="192">
        <f t="shared" si="12"/>
        <v>45789</v>
      </c>
      <c r="C358" s="81">
        <v>489.1</v>
      </c>
      <c r="D358" s="81"/>
      <c r="E358" s="81">
        <v>240.02700000000002</v>
      </c>
      <c r="F358" s="81">
        <v>512</v>
      </c>
      <c r="G358" s="11">
        <f t="shared" si="13"/>
        <v>271.97299999999996</v>
      </c>
      <c r="H358" s="11">
        <f>IFERROR(IF(Yearending&gt;B357,'5. Historical demand'!F358-'5. Historical demand'!C358-'5. Historical demand'!D358,""),"")</f>
        <v>22.899999999999977</v>
      </c>
      <c r="I358" s="11">
        <f t="shared" si="14"/>
        <v>249.07300000000001</v>
      </c>
    </row>
    <row r="359" spans="2:9">
      <c r="B359" s="192">
        <f t="shared" si="12"/>
        <v>45790</v>
      </c>
      <c r="C359" s="81">
        <v>489.1</v>
      </c>
      <c r="D359" s="81"/>
      <c r="E359" s="81">
        <v>469.62599999999998</v>
      </c>
      <c r="F359" s="81">
        <v>512</v>
      </c>
      <c r="G359" s="11">
        <f t="shared" si="13"/>
        <v>42.374000000000024</v>
      </c>
      <c r="H359" s="11">
        <f>IFERROR(IF(Yearending&gt;B358,'5. Historical demand'!F359-'5. Historical demand'!C359-'5. Historical demand'!D359,""),"")</f>
        <v>22.899999999999977</v>
      </c>
      <c r="I359" s="11">
        <f t="shared" si="14"/>
        <v>19.474000000000046</v>
      </c>
    </row>
    <row r="360" spans="2:9">
      <c r="B360" s="192">
        <f t="shared" si="12"/>
        <v>45791</v>
      </c>
      <c r="C360" s="81">
        <v>489.1</v>
      </c>
      <c r="D360" s="81"/>
      <c r="E360" s="81">
        <v>320.57900000000001</v>
      </c>
      <c r="F360" s="81">
        <v>512</v>
      </c>
      <c r="G360" s="11">
        <f t="shared" si="13"/>
        <v>191.42099999999999</v>
      </c>
      <c r="H360" s="11">
        <f>IFERROR(IF(Yearending&gt;B359,'5. Historical demand'!F360-'5. Historical demand'!C360-'5. Historical demand'!D360,""),"")</f>
        <v>22.899999999999977</v>
      </c>
      <c r="I360" s="11">
        <f t="shared" si="14"/>
        <v>168.52100000000002</v>
      </c>
    </row>
    <row r="361" spans="2:9">
      <c r="B361" s="192">
        <f t="shared" si="12"/>
        <v>45792</v>
      </c>
      <c r="C361" s="81">
        <v>489.1</v>
      </c>
      <c r="D361" s="81"/>
      <c r="E361" s="81">
        <v>298.32599999999996</v>
      </c>
      <c r="F361" s="81">
        <v>512</v>
      </c>
      <c r="G361" s="11">
        <f t="shared" si="13"/>
        <v>213.67400000000004</v>
      </c>
      <c r="H361" s="11">
        <f>IFERROR(IF(Yearending&gt;B360,'5. Historical demand'!F361-'5. Historical demand'!C361-'5. Historical demand'!D361,""),"")</f>
        <v>22.899999999999977</v>
      </c>
      <c r="I361" s="11">
        <f t="shared" si="14"/>
        <v>190.77400000000006</v>
      </c>
    </row>
    <row r="362" spans="2:9">
      <c r="B362" s="192">
        <f t="shared" si="12"/>
        <v>45793</v>
      </c>
      <c r="C362" s="81">
        <v>489.1</v>
      </c>
      <c r="D362" s="81"/>
      <c r="E362" s="81">
        <v>384.92</v>
      </c>
      <c r="F362" s="81">
        <v>512</v>
      </c>
      <c r="G362" s="11">
        <f t="shared" si="13"/>
        <v>127.07999999999998</v>
      </c>
      <c r="H362" s="11">
        <f>IFERROR(IF(Yearending&gt;B361,'5. Historical demand'!F362-'5. Historical demand'!C362-'5. Historical demand'!D362,""),"")</f>
        <v>22.899999999999977</v>
      </c>
      <c r="I362" s="11">
        <f t="shared" si="14"/>
        <v>104.18</v>
      </c>
    </row>
    <row r="363" spans="2:9">
      <c r="B363" s="192">
        <f t="shared" si="12"/>
        <v>45794</v>
      </c>
      <c r="C363" s="81">
        <v>489.1</v>
      </c>
      <c r="D363" s="81"/>
      <c r="E363" s="81">
        <v>364.27099999999996</v>
      </c>
      <c r="F363" s="81">
        <v>512</v>
      </c>
      <c r="G363" s="11">
        <f t="shared" si="13"/>
        <v>147.72900000000004</v>
      </c>
      <c r="H363" s="11">
        <f>IFERROR(IF(Yearending&gt;B362,'5. Historical demand'!F363-'5. Historical demand'!C363-'5. Historical demand'!D363,""),"")</f>
        <v>22.899999999999977</v>
      </c>
      <c r="I363" s="11">
        <f t="shared" si="14"/>
        <v>124.82900000000006</v>
      </c>
    </row>
    <row r="364" spans="2:9">
      <c r="B364" s="192">
        <f t="shared" ref="B364:B408" si="15">IFERROR(IF(Yearending&gt;B363, B363+1, ""),"")</f>
        <v>45795</v>
      </c>
      <c r="C364" s="81">
        <v>489.1</v>
      </c>
      <c r="D364" s="81"/>
      <c r="E364" s="81">
        <v>469.42</v>
      </c>
      <c r="F364" s="81">
        <v>512</v>
      </c>
      <c r="G364" s="11">
        <f t="shared" ref="G364:G408" si="16">IFERROR(IF(Yearending&gt;B363,F364-E364,""),"")</f>
        <v>42.579999999999984</v>
      </c>
      <c r="H364" s="11">
        <f>IFERROR(IF(Yearending&gt;B363,'5. Historical demand'!F364-'5. Historical demand'!C364-'5. Historical demand'!D364,""),"")</f>
        <v>22.899999999999977</v>
      </c>
      <c r="I364" s="11">
        <f t="shared" ref="I364:I408" si="17">IFERROR(IF(Yearending&gt;B363,C364+D364-E364,""),"")</f>
        <v>19.680000000000007</v>
      </c>
    </row>
    <row r="365" spans="2:9">
      <c r="B365" s="192">
        <f t="shared" si="15"/>
        <v>45796</v>
      </c>
      <c r="C365" s="81">
        <v>489.1</v>
      </c>
      <c r="D365" s="81"/>
      <c r="E365" s="81">
        <v>484.88</v>
      </c>
      <c r="F365" s="81">
        <v>512</v>
      </c>
      <c r="G365" s="11">
        <f t="shared" si="16"/>
        <v>27.120000000000005</v>
      </c>
      <c r="H365" s="11">
        <f>IFERROR(IF(Yearending&gt;B364,'5. Historical demand'!F365-'5. Historical demand'!C365-'5. Historical demand'!D365,""),"")</f>
        <v>22.899999999999977</v>
      </c>
      <c r="I365" s="11">
        <f t="shared" si="17"/>
        <v>4.2200000000000273</v>
      </c>
    </row>
    <row r="366" spans="2:9">
      <c r="B366" s="192">
        <f t="shared" si="15"/>
        <v>45797</v>
      </c>
      <c r="C366" s="81">
        <v>489.1</v>
      </c>
      <c r="D366" s="81"/>
      <c r="E366" s="81">
        <v>521.33000000000004</v>
      </c>
      <c r="F366" s="81">
        <v>512</v>
      </c>
      <c r="G366" s="11">
        <f t="shared" si="16"/>
        <v>-9.3300000000000409</v>
      </c>
      <c r="H366" s="11">
        <f>IFERROR(IF(Yearending&gt;B365,'5. Historical demand'!F366-'5. Historical demand'!C366-'5. Historical demand'!D366,""),"")</f>
        <v>22.899999999999977</v>
      </c>
      <c r="I366" s="11">
        <f t="shared" si="17"/>
        <v>-32.230000000000018</v>
      </c>
    </row>
    <row r="367" spans="2:9">
      <c r="B367" s="192">
        <f t="shared" si="15"/>
        <v>45798</v>
      </c>
      <c r="C367" s="81">
        <v>489.1</v>
      </c>
      <c r="D367" s="81"/>
      <c r="E367" s="81">
        <v>569.88599999999997</v>
      </c>
      <c r="F367" s="81">
        <v>512</v>
      </c>
      <c r="G367" s="11">
        <f t="shared" si="16"/>
        <v>-57.885999999999967</v>
      </c>
      <c r="H367" s="11">
        <f>IFERROR(IF(Yearending&gt;B366,'5. Historical demand'!F367-'5. Historical demand'!C367-'5. Historical demand'!D367,""),"")</f>
        <v>22.899999999999977</v>
      </c>
      <c r="I367" s="11">
        <f t="shared" si="17"/>
        <v>-80.785999999999945</v>
      </c>
    </row>
    <row r="368" spans="2:9">
      <c r="B368" s="192">
        <f t="shared" si="15"/>
        <v>45799</v>
      </c>
      <c r="C368" s="81">
        <v>489.1</v>
      </c>
      <c r="D368" s="81"/>
      <c r="E368" s="81">
        <v>463.57600000000002</v>
      </c>
      <c r="F368" s="81">
        <v>512</v>
      </c>
      <c r="G368" s="11">
        <f t="shared" si="16"/>
        <v>48.423999999999978</v>
      </c>
      <c r="H368" s="11">
        <f>IFERROR(IF(Yearending&gt;B367,'5. Historical demand'!F368-'5. Historical demand'!C368-'5. Historical demand'!D368,""),"")</f>
        <v>22.899999999999977</v>
      </c>
      <c r="I368" s="11">
        <f t="shared" si="17"/>
        <v>25.524000000000001</v>
      </c>
    </row>
    <row r="369" spans="2:9">
      <c r="B369" s="192">
        <f t="shared" si="15"/>
        <v>45800</v>
      </c>
      <c r="C369" s="81">
        <v>489.1</v>
      </c>
      <c r="D369" s="81"/>
      <c r="E369" s="81">
        <v>430.60599999999999</v>
      </c>
      <c r="F369" s="81">
        <v>512</v>
      </c>
      <c r="G369" s="11">
        <f t="shared" si="16"/>
        <v>81.394000000000005</v>
      </c>
      <c r="H369" s="11">
        <f>IFERROR(IF(Yearending&gt;B368,'5. Historical demand'!F369-'5. Historical demand'!C369-'5. Historical demand'!D369,""),"")</f>
        <v>22.899999999999977</v>
      </c>
      <c r="I369" s="11">
        <f t="shared" si="17"/>
        <v>58.494000000000028</v>
      </c>
    </row>
    <row r="370" spans="2:9">
      <c r="B370" s="192">
        <f t="shared" si="15"/>
        <v>45801</v>
      </c>
      <c r="C370" s="81">
        <v>489.1</v>
      </c>
      <c r="D370" s="81"/>
      <c r="E370" s="81">
        <v>370.62599999999998</v>
      </c>
      <c r="F370" s="81">
        <v>512</v>
      </c>
      <c r="G370" s="11">
        <f t="shared" si="16"/>
        <v>141.37400000000002</v>
      </c>
      <c r="H370" s="11">
        <f>IFERROR(IF(Yearending&gt;B369,'5. Historical demand'!F370-'5. Historical demand'!C370-'5. Historical demand'!D370,""),"")</f>
        <v>22.899999999999977</v>
      </c>
      <c r="I370" s="11">
        <f t="shared" si="17"/>
        <v>118.47400000000005</v>
      </c>
    </row>
    <row r="371" spans="2:9">
      <c r="B371" s="192">
        <f t="shared" si="15"/>
        <v>45802</v>
      </c>
      <c r="C371" s="81">
        <v>489.1</v>
      </c>
      <c r="D371" s="81"/>
      <c r="E371" s="81">
        <v>369.78100000000001</v>
      </c>
      <c r="F371" s="81">
        <v>512</v>
      </c>
      <c r="G371" s="11">
        <f t="shared" si="16"/>
        <v>142.21899999999999</v>
      </c>
      <c r="H371" s="11">
        <f>IFERROR(IF(Yearending&gt;B370,'5. Historical demand'!F371-'5. Historical demand'!C371-'5. Historical demand'!D371,""),"")</f>
        <v>22.899999999999977</v>
      </c>
      <c r="I371" s="11">
        <f t="shared" si="17"/>
        <v>119.31900000000002</v>
      </c>
    </row>
    <row r="372" spans="2:9">
      <c r="B372" s="192">
        <f t="shared" si="15"/>
        <v>45803</v>
      </c>
      <c r="C372" s="81">
        <v>489.1</v>
      </c>
      <c r="D372" s="81"/>
      <c r="E372" s="81">
        <v>341.64400000000001</v>
      </c>
      <c r="F372" s="81">
        <v>512</v>
      </c>
      <c r="G372" s="11">
        <f t="shared" si="16"/>
        <v>170.35599999999999</v>
      </c>
      <c r="H372" s="11">
        <f>IFERROR(IF(Yearending&gt;B371,'5. Historical demand'!F372-'5. Historical demand'!C372-'5. Historical demand'!D372,""),"")</f>
        <v>22.899999999999977</v>
      </c>
      <c r="I372" s="11">
        <f t="shared" si="17"/>
        <v>147.45600000000002</v>
      </c>
    </row>
    <row r="373" spans="2:9">
      <c r="B373" s="192">
        <f t="shared" si="15"/>
        <v>45804</v>
      </c>
      <c r="C373" s="81">
        <v>489.1</v>
      </c>
      <c r="D373" s="81"/>
      <c r="E373" s="81">
        <v>452.85499999999996</v>
      </c>
      <c r="F373" s="81">
        <v>512</v>
      </c>
      <c r="G373" s="11">
        <f t="shared" si="16"/>
        <v>59.145000000000039</v>
      </c>
      <c r="H373" s="11">
        <f>IFERROR(IF(Yearending&gt;B372,'5. Historical demand'!F373-'5. Historical demand'!C373-'5. Historical demand'!D373,""),"")</f>
        <v>22.899999999999977</v>
      </c>
      <c r="I373" s="11">
        <f t="shared" si="17"/>
        <v>36.245000000000061</v>
      </c>
    </row>
    <row r="374" spans="2:9">
      <c r="B374" s="192">
        <f t="shared" si="15"/>
        <v>45805</v>
      </c>
      <c r="C374" s="81">
        <v>489.1</v>
      </c>
      <c r="D374" s="81"/>
      <c r="E374" s="81">
        <v>448.06700000000001</v>
      </c>
      <c r="F374" s="81">
        <v>512</v>
      </c>
      <c r="G374" s="11">
        <f t="shared" si="16"/>
        <v>63.932999999999993</v>
      </c>
      <c r="H374" s="11">
        <f>IFERROR(IF(Yearending&gt;B373,'5. Historical demand'!F374-'5. Historical demand'!C374-'5. Historical demand'!D374,""),"")</f>
        <v>22.899999999999977</v>
      </c>
      <c r="I374" s="11">
        <f t="shared" si="17"/>
        <v>41.033000000000015</v>
      </c>
    </row>
    <row r="375" spans="2:9">
      <c r="B375" s="192">
        <f t="shared" si="15"/>
        <v>45806</v>
      </c>
      <c r="C375" s="81">
        <v>489.1</v>
      </c>
      <c r="D375" s="81"/>
      <c r="E375" s="81">
        <v>439.61400000000003</v>
      </c>
      <c r="F375" s="81">
        <v>512</v>
      </c>
      <c r="G375" s="11">
        <f t="shared" si="16"/>
        <v>72.385999999999967</v>
      </c>
      <c r="H375" s="11">
        <f>IFERROR(IF(Yearending&gt;B374,'5. Historical demand'!F375-'5. Historical demand'!C375-'5. Historical demand'!D375,""),"")</f>
        <v>22.899999999999977</v>
      </c>
      <c r="I375" s="11">
        <f t="shared" si="17"/>
        <v>49.48599999999999</v>
      </c>
    </row>
    <row r="376" spans="2:9">
      <c r="B376" s="192">
        <f t="shared" si="15"/>
        <v>45807</v>
      </c>
      <c r="C376" s="81">
        <v>489.1</v>
      </c>
      <c r="D376" s="81"/>
      <c r="E376" s="81">
        <v>516.73500000000001</v>
      </c>
      <c r="F376" s="81">
        <v>512</v>
      </c>
      <c r="G376" s="11">
        <f t="shared" si="16"/>
        <v>-4.7350000000000136</v>
      </c>
      <c r="H376" s="11">
        <f>IFERROR(IF(Yearending&gt;B375,'5. Historical demand'!F376-'5. Historical demand'!C376-'5. Historical demand'!D376,""),"")</f>
        <v>22.899999999999977</v>
      </c>
      <c r="I376" s="11">
        <f t="shared" si="17"/>
        <v>-27.634999999999991</v>
      </c>
    </row>
    <row r="377" spans="2:9">
      <c r="B377" s="192">
        <f t="shared" si="15"/>
        <v>45808</v>
      </c>
      <c r="C377" s="81">
        <v>489.1</v>
      </c>
      <c r="D377" s="81"/>
      <c r="E377" s="81">
        <v>500.79700000000003</v>
      </c>
      <c r="F377" s="81">
        <v>512</v>
      </c>
      <c r="G377" s="11">
        <f t="shared" si="16"/>
        <v>11.202999999999975</v>
      </c>
      <c r="H377" s="11">
        <f>IFERROR(IF(Yearending&gt;B376,'5. Historical demand'!F377-'5. Historical demand'!C377-'5. Historical demand'!D377,""),"")</f>
        <v>22.899999999999977</v>
      </c>
      <c r="I377" s="11">
        <f t="shared" si="17"/>
        <v>-11.697000000000003</v>
      </c>
    </row>
    <row r="378" spans="2:9">
      <c r="B378" s="192">
        <f t="shared" si="15"/>
        <v>45809</v>
      </c>
      <c r="C378" s="81">
        <v>489.1</v>
      </c>
      <c r="D378" s="81"/>
      <c r="E378" s="81">
        <v>531.75599999999997</v>
      </c>
      <c r="F378" s="81">
        <v>512</v>
      </c>
      <c r="G378" s="11">
        <f t="shared" si="16"/>
        <v>-19.755999999999972</v>
      </c>
      <c r="H378" s="11">
        <f>IFERROR(IF(Yearending&gt;B377,'5. Historical demand'!F378-'5. Historical demand'!C378-'5. Historical demand'!D378,""),"")</f>
        <v>22.899999999999977</v>
      </c>
      <c r="I378" s="11">
        <f t="shared" si="17"/>
        <v>-42.655999999999949</v>
      </c>
    </row>
    <row r="379" spans="2:9">
      <c r="B379" s="192">
        <f t="shared" si="15"/>
        <v>45810</v>
      </c>
      <c r="C379" s="81">
        <v>489.1</v>
      </c>
      <c r="D379" s="81"/>
      <c r="E379" s="81">
        <v>561.928</v>
      </c>
      <c r="F379" s="81">
        <v>512</v>
      </c>
      <c r="G379" s="11">
        <f t="shared" si="16"/>
        <v>-49.927999999999997</v>
      </c>
      <c r="H379" s="11">
        <f>IFERROR(IF(Yearending&gt;B378,'5. Historical demand'!F379-'5. Historical demand'!C379-'5. Historical demand'!D379,""),"")</f>
        <v>22.899999999999977</v>
      </c>
      <c r="I379" s="11">
        <f t="shared" si="17"/>
        <v>-72.827999999999975</v>
      </c>
    </row>
    <row r="380" spans="2:9">
      <c r="B380" s="192">
        <f t="shared" si="15"/>
        <v>45811</v>
      </c>
      <c r="C380" s="81">
        <v>489.1</v>
      </c>
      <c r="D380" s="81"/>
      <c r="E380" s="81">
        <v>563.48</v>
      </c>
      <c r="F380" s="81">
        <v>512</v>
      </c>
      <c r="G380" s="11">
        <f t="shared" si="16"/>
        <v>-51.480000000000018</v>
      </c>
      <c r="H380" s="11">
        <f>IFERROR(IF(Yearending&gt;B379,'5. Historical demand'!F380-'5. Historical demand'!C380-'5. Historical demand'!D380,""),"")</f>
        <v>22.899999999999977</v>
      </c>
      <c r="I380" s="11">
        <f t="shared" si="17"/>
        <v>-74.38</v>
      </c>
    </row>
    <row r="381" spans="2:9">
      <c r="B381" s="192">
        <f t="shared" si="15"/>
        <v>45812</v>
      </c>
      <c r="C381" s="81">
        <v>489.1</v>
      </c>
      <c r="D381" s="81"/>
      <c r="E381" s="81">
        <v>574.39</v>
      </c>
      <c r="F381" s="81">
        <v>512</v>
      </c>
      <c r="G381" s="11">
        <f t="shared" si="16"/>
        <v>-62.389999999999986</v>
      </c>
      <c r="H381" s="11">
        <f>IFERROR(IF(Yearending&gt;B380,'5. Historical demand'!F381-'5. Historical demand'!C381-'5. Historical demand'!D381,""),"")</f>
        <v>22.899999999999977</v>
      </c>
      <c r="I381" s="11">
        <f t="shared" si="17"/>
        <v>-85.289999999999964</v>
      </c>
    </row>
    <row r="382" spans="2:9">
      <c r="B382" s="192">
        <f t="shared" si="15"/>
        <v>45813</v>
      </c>
      <c r="C382" s="81">
        <v>489.1</v>
      </c>
      <c r="D382" s="81"/>
      <c r="E382" s="81">
        <v>575.35599999999999</v>
      </c>
      <c r="F382" s="81">
        <v>512</v>
      </c>
      <c r="G382" s="11">
        <f t="shared" si="16"/>
        <v>-63.355999999999995</v>
      </c>
      <c r="H382" s="11">
        <f>IFERROR(IF(Yearending&gt;B381,'5. Historical demand'!F382-'5. Historical demand'!C382-'5. Historical demand'!D382,""),"")</f>
        <v>22.899999999999977</v>
      </c>
      <c r="I382" s="11">
        <f t="shared" si="17"/>
        <v>-86.255999999999972</v>
      </c>
    </row>
    <row r="383" spans="2:9">
      <c r="B383" s="192">
        <f t="shared" si="15"/>
        <v>45814</v>
      </c>
      <c r="C383" s="81">
        <v>489.1</v>
      </c>
      <c r="D383" s="81"/>
      <c r="E383" s="81">
        <v>527.66899999999998</v>
      </c>
      <c r="F383" s="81">
        <v>512</v>
      </c>
      <c r="G383" s="11">
        <f t="shared" si="16"/>
        <v>-15.668999999999983</v>
      </c>
      <c r="H383" s="11">
        <f>IFERROR(IF(Yearending&gt;B382,'5. Historical demand'!F383-'5. Historical demand'!C383-'5. Historical demand'!D383,""),"")</f>
        <v>22.899999999999977</v>
      </c>
      <c r="I383" s="11">
        <f t="shared" si="17"/>
        <v>-38.56899999999996</v>
      </c>
    </row>
    <row r="384" spans="2:9">
      <c r="B384" s="192">
        <f t="shared" si="15"/>
        <v>45815</v>
      </c>
      <c r="C384" s="81">
        <v>489.1</v>
      </c>
      <c r="D384" s="81"/>
      <c r="E384" s="81">
        <v>523.58799999999997</v>
      </c>
      <c r="F384" s="81">
        <v>512</v>
      </c>
      <c r="G384" s="11">
        <f t="shared" si="16"/>
        <v>-11.587999999999965</v>
      </c>
      <c r="H384" s="11">
        <f>IFERROR(IF(Yearending&gt;B383,'5. Historical demand'!F384-'5. Historical demand'!C384-'5. Historical demand'!D384,""),"")</f>
        <v>22.899999999999977</v>
      </c>
      <c r="I384" s="11">
        <f t="shared" si="17"/>
        <v>-34.487999999999943</v>
      </c>
    </row>
    <row r="385" spans="2:9">
      <c r="B385" s="192">
        <f t="shared" si="15"/>
        <v>45816</v>
      </c>
      <c r="C385" s="81">
        <v>489.1</v>
      </c>
      <c r="D385" s="81"/>
      <c r="E385" s="81">
        <v>642.37199999999996</v>
      </c>
      <c r="F385" s="81">
        <v>512</v>
      </c>
      <c r="G385" s="11">
        <f t="shared" si="16"/>
        <v>-130.37199999999996</v>
      </c>
      <c r="H385" s="11">
        <f>IFERROR(IF(Yearending&gt;B384,'5. Historical demand'!F385-'5. Historical demand'!C385-'5. Historical demand'!D385,""),"")</f>
        <v>22.899999999999977</v>
      </c>
      <c r="I385" s="11">
        <f t="shared" si="17"/>
        <v>-153.27199999999993</v>
      </c>
    </row>
    <row r="386" spans="2:9">
      <c r="B386" s="192">
        <f t="shared" si="15"/>
        <v>45817</v>
      </c>
      <c r="C386" s="81">
        <v>489.1</v>
      </c>
      <c r="D386" s="81"/>
      <c r="E386" s="81">
        <v>663.94299999999998</v>
      </c>
      <c r="F386" s="81">
        <v>512</v>
      </c>
      <c r="G386" s="11">
        <f t="shared" si="16"/>
        <v>-151.94299999999998</v>
      </c>
      <c r="H386" s="11">
        <f>IFERROR(IF(Yearending&gt;B385,'5. Historical demand'!F386-'5. Historical demand'!C386-'5. Historical demand'!D386,""),"")</f>
        <v>22.899999999999977</v>
      </c>
      <c r="I386" s="11">
        <f t="shared" si="17"/>
        <v>-174.84299999999996</v>
      </c>
    </row>
    <row r="387" spans="2:9">
      <c r="B387" s="192">
        <f t="shared" si="15"/>
        <v>45818</v>
      </c>
      <c r="C387" s="81">
        <v>489.1</v>
      </c>
      <c r="D387" s="81"/>
      <c r="E387" s="81">
        <v>595.66</v>
      </c>
      <c r="F387" s="81">
        <v>512</v>
      </c>
      <c r="G387" s="11">
        <f t="shared" si="16"/>
        <v>-83.659999999999968</v>
      </c>
      <c r="H387" s="11">
        <f>IFERROR(IF(Yearending&gt;B386,'5. Historical demand'!F387-'5. Historical demand'!C387-'5. Historical demand'!D387,""),"")</f>
        <v>22.899999999999977</v>
      </c>
      <c r="I387" s="11">
        <f t="shared" si="17"/>
        <v>-106.55999999999995</v>
      </c>
    </row>
    <row r="388" spans="2:9">
      <c r="B388" s="192">
        <f t="shared" si="15"/>
        <v>45819</v>
      </c>
      <c r="C388" s="81">
        <v>489.1</v>
      </c>
      <c r="D388" s="81"/>
      <c r="E388" s="81">
        <v>638.60199999999998</v>
      </c>
      <c r="F388" s="81">
        <v>512</v>
      </c>
      <c r="G388" s="11">
        <f t="shared" si="16"/>
        <v>-126.60199999999998</v>
      </c>
      <c r="H388" s="11">
        <f>IFERROR(IF(Yearending&gt;B387,'5. Historical demand'!F388-'5. Historical demand'!C388-'5. Historical demand'!D388,""),"")</f>
        <v>22.899999999999977</v>
      </c>
      <c r="I388" s="11">
        <f t="shared" si="17"/>
        <v>-149.50199999999995</v>
      </c>
    </row>
    <row r="389" spans="2:9">
      <c r="B389" s="192">
        <f t="shared" si="15"/>
        <v>45820</v>
      </c>
      <c r="C389" s="81">
        <v>489.1</v>
      </c>
      <c r="D389" s="81"/>
      <c r="E389" s="81">
        <v>535.41599999999994</v>
      </c>
      <c r="F389" s="81">
        <v>512</v>
      </c>
      <c r="G389" s="11">
        <f t="shared" si="16"/>
        <v>-23.41599999999994</v>
      </c>
      <c r="H389" s="11">
        <f>IFERROR(IF(Yearending&gt;B388,'5. Historical demand'!F389-'5. Historical demand'!C389-'5. Historical demand'!D389,""),"")</f>
        <v>22.899999999999977</v>
      </c>
      <c r="I389" s="11">
        <f t="shared" si="17"/>
        <v>-46.315999999999917</v>
      </c>
    </row>
    <row r="390" spans="2:9">
      <c r="B390" s="192">
        <f t="shared" si="15"/>
        <v>45821</v>
      </c>
      <c r="C390" s="81">
        <v>489.1</v>
      </c>
      <c r="D390" s="81"/>
      <c r="E390" s="81">
        <v>572.87900000000002</v>
      </c>
      <c r="F390" s="81">
        <v>512</v>
      </c>
      <c r="G390" s="11">
        <f t="shared" si="16"/>
        <v>-60.879000000000019</v>
      </c>
      <c r="H390" s="11">
        <f>IFERROR(IF(Yearending&gt;B389,'5. Historical demand'!F390-'5. Historical demand'!C390-'5. Historical demand'!D390,""),"")</f>
        <v>22.899999999999977</v>
      </c>
      <c r="I390" s="11">
        <f t="shared" si="17"/>
        <v>-83.778999999999996</v>
      </c>
    </row>
    <row r="391" spans="2:9">
      <c r="B391" s="192">
        <f t="shared" si="15"/>
        <v>45822</v>
      </c>
      <c r="C391" s="81">
        <v>489.1</v>
      </c>
      <c r="D391" s="81"/>
      <c r="E391" s="81">
        <v>457.01400000000001</v>
      </c>
      <c r="F391" s="81">
        <v>512</v>
      </c>
      <c r="G391" s="11">
        <f t="shared" si="16"/>
        <v>54.98599999999999</v>
      </c>
      <c r="H391" s="11">
        <f>IFERROR(IF(Yearending&gt;B390,'5. Historical demand'!F391-'5. Historical demand'!C391-'5. Historical demand'!D391,""),"")</f>
        <v>22.899999999999977</v>
      </c>
      <c r="I391" s="11">
        <f t="shared" si="17"/>
        <v>32.086000000000013</v>
      </c>
    </row>
    <row r="392" spans="2:9">
      <c r="B392" s="192">
        <f t="shared" si="15"/>
        <v>45823</v>
      </c>
      <c r="C392" s="81">
        <v>489.1</v>
      </c>
      <c r="D392" s="81"/>
      <c r="E392" s="81">
        <v>506.959</v>
      </c>
      <c r="F392" s="81">
        <v>512</v>
      </c>
      <c r="G392" s="11">
        <f t="shared" si="16"/>
        <v>5.0409999999999968</v>
      </c>
      <c r="H392" s="11">
        <f>IFERROR(IF(Yearending&gt;B391,'5. Historical demand'!F392-'5. Historical demand'!C392-'5. Historical demand'!D392,""),"")</f>
        <v>22.899999999999977</v>
      </c>
      <c r="I392" s="11">
        <f t="shared" si="17"/>
        <v>-17.85899999999998</v>
      </c>
    </row>
    <row r="393" spans="2:9">
      <c r="B393" s="192">
        <f t="shared" si="15"/>
        <v>45824</v>
      </c>
      <c r="C393" s="81">
        <v>489.1</v>
      </c>
      <c r="D393" s="81"/>
      <c r="E393" s="81">
        <v>468.41499999999996</v>
      </c>
      <c r="F393" s="81">
        <v>512</v>
      </c>
      <c r="G393" s="11">
        <f t="shared" si="16"/>
        <v>43.585000000000036</v>
      </c>
      <c r="H393" s="11">
        <f>IFERROR(IF(Yearending&gt;B392,'5. Historical demand'!F393-'5. Historical demand'!C393-'5. Historical demand'!D393,""),"")</f>
        <v>22.899999999999977</v>
      </c>
      <c r="I393" s="11">
        <f t="shared" si="17"/>
        <v>20.685000000000059</v>
      </c>
    </row>
    <row r="394" spans="2:9">
      <c r="B394" s="192">
        <f t="shared" si="15"/>
        <v>45825</v>
      </c>
      <c r="C394" s="81">
        <v>489.1</v>
      </c>
      <c r="D394" s="81"/>
      <c r="E394" s="81">
        <v>422.56700000000001</v>
      </c>
      <c r="F394" s="81">
        <v>512</v>
      </c>
      <c r="G394" s="11">
        <f t="shared" si="16"/>
        <v>89.432999999999993</v>
      </c>
      <c r="H394" s="11">
        <f>IFERROR(IF(Yearending&gt;B393,'5. Historical demand'!F394-'5. Historical demand'!C394-'5. Historical demand'!D394,""),"")</f>
        <v>22.899999999999977</v>
      </c>
      <c r="I394" s="11">
        <f t="shared" si="17"/>
        <v>66.533000000000015</v>
      </c>
    </row>
    <row r="395" spans="2:9">
      <c r="B395" s="192">
        <f t="shared" si="15"/>
        <v>45826</v>
      </c>
      <c r="C395" s="81">
        <v>489.1</v>
      </c>
      <c r="D395" s="81"/>
      <c r="E395" s="81">
        <v>565.92200000000003</v>
      </c>
      <c r="F395" s="81">
        <v>512</v>
      </c>
      <c r="G395" s="11">
        <f t="shared" si="16"/>
        <v>-53.922000000000025</v>
      </c>
      <c r="H395" s="11">
        <f>IFERROR(IF(Yearending&gt;B394,'5. Historical demand'!F395-'5. Historical demand'!C395-'5. Historical demand'!D395,""),"")</f>
        <v>22.899999999999977</v>
      </c>
      <c r="I395" s="11">
        <f t="shared" si="17"/>
        <v>-76.822000000000003</v>
      </c>
    </row>
    <row r="396" spans="2:9">
      <c r="B396" s="192">
        <f t="shared" si="15"/>
        <v>45827</v>
      </c>
      <c r="C396" s="81">
        <v>489.1</v>
      </c>
      <c r="D396" s="81"/>
      <c r="E396" s="81">
        <v>556.99599999999998</v>
      </c>
      <c r="F396" s="81">
        <v>512</v>
      </c>
      <c r="G396" s="11">
        <f t="shared" si="16"/>
        <v>-44.995999999999981</v>
      </c>
      <c r="H396" s="11">
        <f>IFERROR(IF(Yearending&gt;B395,'5. Historical demand'!F396-'5. Historical demand'!C396-'5. Historical demand'!D396,""),"")</f>
        <v>22.899999999999977</v>
      </c>
      <c r="I396" s="11">
        <f t="shared" si="17"/>
        <v>-67.895999999999958</v>
      </c>
    </row>
    <row r="397" spans="2:9">
      <c r="B397" s="192">
        <f t="shared" si="15"/>
        <v>45828</v>
      </c>
      <c r="C397" s="81">
        <v>489.1</v>
      </c>
      <c r="D397" s="81"/>
      <c r="E397" s="81">
        <v>482.233</v>
      </c>
      <c r="F397" s="81">
        <v>512</v>
      </c>
      <c r="G397" s="11">
        <f t="shared" si="16"/>
        <v>29.766999999999996</v>
      </c>
      <c r="H397" s="11">
        <f>IFERROR(IF(Yearending&gt;B396,'5. Historical demand'!F397-'5. Historical demand'!C397-'5. Historical demand'!D397,""),"")</f>
        <v>22.899999999999977</v>
      </c>
      <c r="I397" s="11">
        <f t="shared" si="17"/>
        <v>6.8670000000000186</v>
      </c>
    </row>
    <row r="398" spans="2:9">
      <c r="B398" s="192">
        <f t="shared" si="15"/>
        <v>45829</v>
      </c>
      <c r="C398" s="81">
        <v>489.1</v>
      </c>
      <c r="D398" s="81"/>
      <c r="E398" s="81">
        <v>454.37900000000002</v>
      </c>
      <c r="F398" s="81">
        <v>512</v>
      </c>
      <c r="G398" s="11">
        <f t="shared" si="16"/>
        <v>57.620999999999981</v>
      </c>
      <c r="H398" s="11">
        <f>IFERROR(IF(Yearending&gt;B397,'5. Historical demand'!F398-'5. Historical demand'!C398-'5. Historical demand'!D398,""),"")</f>
        <v>22.899999999999977</v>
      </c>
      <c r="I398" s="11">
        <f t="shared" si="17"/>
        <v>34.721000000000004</v>
      </c>
    </row>
    <row r="399" spans="2:9">
      <c r="B399" s="192">
        <f t="shared" si="15"/>
        <v>45830</v>
      </c>
      <c r="C399" s="81">
        <v>489.1</v>
      </c>
      <c r="D399" s="81"/>
      <c r="E399" s="81">
        <v>458.29200000000003</v>
      </c>
      <c r="F399" s="81">
        <v>512</v>
      </c>
      <c r="G399" s="11">
        <f t="shared" si="16"/>
        <v>53.70799999999997</v>
      </c>
      <c r="H399" s="11">
        <f>IFERROR(IF(Yearending&gt;B398,'5. Historical demand'!F399-'5. Historical demand'!C399-'5. Historical demand'!D399,""),"")</f>
        <v>22.899999999999977</v>
      </c>
      <c r="I399" s="11">
        <f t="shared" si="17"/>
        <v>30.807999999999993</v>
      </c>
    </row>
    <row r="400" spans="2:9">
      <c r="B400" s="192">
        <f t="shared" si="15"/>
        <v>45831</v>
      </c>
      <c r="C400" s="81">
        <v>489.1</v>
      </c>
      <c r="D400" s="81"/>
      <c r="E400" s="81">
        <v>410.65600000000001</v>
      </c>
      <c r="F400" s="81">
        <v>512</v>
      </c>
      <c r="G400" s="11">
        <f t="shared" si="16"/>
        <v>101.34399999999999</v>
      </c>
      <c r="H400" s="11">
        <f>IFERROR(IF(Yearending&gt;B399,'5. Historical demand'!F400-'5. Historical demand'!C400-'5. Historical demand'!D400,""),"")</f>
        <v>22.899999999999977</v>
      </c>
      <c r="I400" s="11">
        <f t="shared" si="17"/>
        <v>78.444000000000017</v>
      </c>
    </row>
    <row r="401" spans="2:9">
      <c r="B401" s="192">
        <f t="shared" si="15"/>
        <v>45832</v>
      </c>
      <c r="C401" s="81">
        <v>489.1</v>
      </c>
      <c r="D401" s="81"/>
      <c r="E401" s="81">
        <v>376.50700000000001</v>
      </c>
      <c r="F401" s="81">
        <v>512</v>
      </c>
      <c r="G401" s="11">
        <f t="shared" si="16"/>
        <v>135.49299999999999</v>
      </c>
      <c r="H401" s="11">
        <f>IFERROR(IF(Yearending&gt;B400,'5. Historical demand'!F401-'5. Historical demand'!C401-'5. Historical demand'!D401,""),"")</f>
        <v>22.899999999999977</v>
      </c>
      <c r="I401" s="11">
        <f t="shared" si="17"/>
        <v>112.59300000000002</v>
      </c>
    </row>
    <row r="402" spans="2:9">
      <c r="B402" s="192">
        <f t="shared" si="15"/>
        <v>45833</v>
      </c>
      <c r="C402" s="81">
        <v>489.1</v>
      </c>
      <c r="D402" s="81"/>
      <c r="E402" s="81">
        <v>479.81099999999998</v>
      </c>
      <c r="F402" s="81">
        <v>512</v>
      </c>
      <c r="G402" s="11">
        <f t="shared" si="16"/>
        <v>32.189000000000021</v>
      </c>
      <c r="H402" s="11">
        <f>IFERROR(IF(Yearending&gt;B401,'5. Historical demand'!F402-'5. Historical demand'!C402-'5. Historical demand'!D402,""),"")</f>
        <v>22.899999999999977</v>
      </c>
      <c r="I402" s="11">
        <f t="shared" si="17"/>
        <v>9.2890000000000441</v>
      </c>
    </row>
    <row r="403" spans="2:9">
      <c r="B403" s="192">
        <f t="shared" si="15"/>
        <v>45834</v>
      </c>
      <c r="C403" s="81">
        <v>489.1</v>
      </c>
      <c r="D403" s="81"/>
      <c r="E403" s="81">
        <v>630.25</v>
      </c>
      <c r="F403" s="81">
        <v>512</v>
      </c>
      <c r="G403" s="11">
        <f t="shared" si="16"/>
        <v>-118.25</v>
      </c>
      <c r="H403" s="11">
        <f>IFERROR(IF(Yearending&gt;B402,'5. Historical demand'!F403-'5. Historical demand'!C403-'5. Historical demand'!D403,""),"")</f>
        <v>22.899999999999977</v>
      </c>
      <c r="I403" s="11">
        <f t="shared" si="17"/>
        <v>-141.14999999999998</v>
      </c>
    </row>
    <row r="404" spans="2:9">
      <c r="B404" s="192">
        <f t="shared" si="15"/>
        <v>45835</v>
      </c>
      <c r="C404" s="81">
        <v>489.1</v>
      </c>
      <c r="D404" s="81"/>
      <c r="E404" s="81">
        <v>699.226</v>
      </c>
      <c r="F404" s="81">
        <v>512</v>
      </c>
      <c r="G404" s="11">
        <f t="shared" si="16"/>
        <v>-187.226</v>
      </c>
      <c r="H404" s="11">
        <f>IFERROR(IF(Yearending&gt;B403,'5. Historical demand'!F404-'5. Historical demand'!C404-'5. Historical demand'!D404,""),"")</f>
        <v>22.899999999999977</v>
      </c>
      <c r="I404" s="11">
        <f t="shared" si="17"/>
        <v>-210.12599999999998</v>
      </c>
    </row>
    <row r="405" spans="2:9">
      <c r="B405" s="192">
        <f t="shared" si="15"/>
        <v>45836</v>
      </c>
      <c r="C405" s="81">
        <v>489.1</v>
      </c>
      <c r="D405" s="81"/>
      <c r="E405" s="81">
        <v>461.834</v>
      </c>
      <c r="F405" s="81">
        <v>512</v>
      </c>
      <c r="G405" s="11">
        <f t="shared" si="16"/>
        <v>50.165999999999997</v>
      </c>
      <c r="H405" s="11">
        <f>IFERROR(IF(Yearending&gt;B404,'5. Historical demand'!F405-'5. Historical demand'!C405-'5. Historical demand'!D405,""),"")</f>
        <v>22.899999999999977</v>
      </c>
      <c r="I405" s="11">
        <f t="shared" si="17"/>
        <v>27.26600000000002</v>
      </c>
    </row>
    <row r="406" spans="2:9">
      <c r="B406" s="192">
        <f t="shared" si="15"/>
        <v>45837</v>
      </c>
      <c r="C406" s="81">
        <v>489.1</v>
      </c>
      <c r="D406" s="81"/>
      <c r="E406" s="81">
        <v>552.51700000000005</v>
      </c>
      <c r="F406" s="81">
        <v>512</v>
      </c>
      <c r="G406" s="11">
        <f t="shared" si="16"/>
        <v>-40.517000000000053</v>
      </c>
      <c r="H406" s="11">
        <f>IFERROR(IF(Yearending&gt;B405,'5. Historical demand'!F406-'5. Historical demand'!C406-'5. Historical demand'!D406,""),"")</f>
        <v>22.899999999999977</v>
      </c>
      <c r="I406" s="11">
        <f t="shared" si="17"/>
        <v>-63.41700000000003</v>
      </c>
    </row>
    <row r="407" spans="2:9">
      <c r="B407" s="192">
        <f t="shared" si="15"/>
        <v>45838</v>
      </c>
      <c r="C407" s="81">
        <v>489.1</v>
      </c>
      <c r="D407" s="81"/>
      <c r="E407" s="81">
        <v>570.70100000000002</v>
      </c>
      <c r="F407" s="81">
        <v>512</v>
      </c>
      <c r="G407" s="11">
        <f t="shared" si="16"/>
        <v>-58.701000000000022</v>
      </c>
      <c r="H407" s="11">
        <f>IFERROR(IF(Yearending&gt;B406,'5. Historical demand'!F407-'5. Historical demand'!C407-'5. Historical demand'!D407,""),"")</f>
        <v>22.899999999999977</v>
      </c>
      <c r="I407" s="11">
        <f t="shared" si="17"/>
        <v>-81.600999999999999</v>
      </c>
    </row>
    <row r="408" spans="2:9">
      <c r="B408" s="192" t="str">
        <f t="shared" si="15"/>
        <v/>
      </c>
      <c r="C408" s="81"/>
      <c r="D408" s="81"/>
      <c r="E408" s="81"/>
      <c r="F408" s="81"/>
      <c r="G408" s="11" t="str">
        <f t="shared" si="16"/>
        <v/>
      </c>
      <c r="H408" s="11" t="str">
        <f>IFERROR(IF(Yearending&gt;B407,'5. Historical demand'!F408-'5. Historical demand'!C408-'5. Historical demand'!D408,""),"")</f>
        <v/>
      </c>
      <c r="I408" s="11"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47B8-FC48-4959-A082-87C9464BAFE3}">
  <sheetPr>
    <tabColor theme="9" tint="0.79998168889431442"/>
  </sheetPr>
  <dimension ref="A1"/>
  <sheetViews>
    <sheetView showGridLines="0" workbookViewId="0"/>
  </sheetViews>
  <sheetFormatPr defaultRowHeight="12.75"/>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28515625" defaultRowHeight="12.75"/>
  <cols>
    <col min="1" max="1" width="11.7109375" style="190" customWidth="1"/>
    <col min="2" max="2" width="57.7109375" style="190" customWidth="1"/>
    <col min="3" max="3" width="44.7109375" style="190" customWidth="1"/>
    <col min="4" max="11" width="39" style="190" customWidth="1"/>
    <col min="12" max="16384" width="9.28515625" style="190"/>
  </cols>
  <sheetData>
    <row r="1" spans="1:4" ht="20.25">
      <c r="A1" s="191"/>
      <c r="B1" s="135" t="s">
        <v>53</v>
      </c>
      <c r="C1" s="135"/>
    </row>
    <row r="2" spans="1:4" ht="20.25">
      <c r="A2" s="191"/>
      <c r="B2" s="135" t="str">
        <f>IF(Tradingname=0," ",Tradingname)</f>
        <v>APA (SWQP) PTY LIMITED</v>
      </c>
      <c r="C2" s="135"/>
    </row>
    <row r="3" spans="1:4" ht="20.25">
      <c r="B3" s="135" t="s">
        <v>30</v>
      </c>
      <c r="C3" s="99">
        <f>IF(Yearending=0, "0/01/2000", Yearending)</f>
        <v>45838</v>
      </c>
    </row>
    <row r="4" spans="1:4" ht="20.25">
      <c r="B4" s="91" t="s">
        <v>402</v>
      </c>
      <c r="C4" s="91"/>
    </row>
    <row r="5" spans="1:4">
      <c r="B5" s="190" t="s">
        <v>403</v>
      </c>
    </row>
    <row r="6" spans="1:4" ht="15.75">
      <c r="B6" s="189"/>
    </row>
    <row r="7" spans="1:4" ht="12.75" customHeight="1">
      <c r="B7" s="409" t="s">
        <v>404</v>
      </c>
      <c r="C7" s="409"/>
      <c r="D7" s="409"/>
    </row>
    <row r="8" spans="1:4" ht="12.75" customHeight="1">
      <c r="B8" s="409"/>
      <c r="C8" s="409"/>
      <c r="D8" s="409"/>
    </row>
    <row r="9" spans="1:4" ht="12.75" customHeight="1">
      <c r="B9" s="409"/>
      <c r="C9" s="409"/>
      <c r="D9" s="409"/>
    </row>
    <row r="10" spans="1:4" ht="12.75" customHeight="1">
      <c r="B10" s="409"/>
      <c r="C10" s="409"/>
      <c r="D10" s="409"/>
    </row>
    <row r="11" spans="1:4" ht="12.75" customHeight="1">
      <c r="B11" s="409"/>
      <c r="C11" s="409"/>
      <c r="D11" s="409"/>
    </row>
    <row r="12" spans="1:4" ht="12.75" customHeight="1">
      <c r="B12" s="409"/>
      <c r="C12" s="409"/>
      <c r="D12" s="409"/>
    </row>
    <row r="13" spans="1:4" ht="12.75" customHeight="1">
      <c r="B13" s="409"/>
      <c r="C13" s="409"/>
      <c r="D13" s="409"/>
    </row>
    <row r="16" spans="1:4" ht="12.75" customHeight="1">
      <c r="B16" s="189" t="s">
        <v>405</v>
      </c>
    </row>
    <row r="17" spans="2:5" ht="12.75" customHeight="1">
      <c r="B17" s="189"/>
    </row>
    <row r="18" spans="2:5">
      <c r="B18" s="404" t="s">
        <v>406</v>
      </c>
      <c r="C18" s="406"/>
      <c r="D18" s="404" t="s">
        <v>407</v>
      </c>
      <c r="E18" s="406"/>
    </row>
    <row r="19" spans="2:5">
      <c r="B19" s="444" t="s">
        <v>114</v>
      </c>
      <c r="C19" s="302" t="s">
        <v>408</v>
      </c>
      <c r="D19" s="448" t="s">
        <v>114</v>
      </c>
      <c r="E19" s="446" t="s">
        <v>164</v>
      </c>
    </row>
    <row r="20" spans="2:5">
      <c r="B20" s="445"/>
      <c r="C20" s="111" t="s">
        <v>164</v>
      </c>
      <c r="D20" s="449"/>
      <c r="E20" s="447"/>
    </row>
    <row r="21" spans="2:5">
      <c r="B21" s="112" t="s">
        <v>78</v>
      </c>
      <c r="C21" s="199">
        <v>0.71166803518897592</v>
      </c>
      <c r="D21" s="188" t="s">
        <v>409</v>
      </c>
      <c r="E21" s="199">
        <v>4.4600000000000001E-2</v>
      </c>
    </row>
    <row r="22" spans="2:5">
      <c r="B22" s="112" t="s">
        <v>80</v>
      </c>
      <c r="C22" s="199">
        <v>0</v>
      </c>
      <c r="D22" s="188" t="s">
        <v>410</v>
      </c>
      <c r="E22" s="198">
        <v>0.6</v>
      </c>
    </row>
    <row r="23" spans="2:5">
      <c r="B23" s="112" t="s">
        <v>81</v>
      </c>
      <c r="C23" s="199">
        <v>2.3467361034123601E-3</v>
      </c>
      <c r="D23" s="188" t="s">
        <v>411</v>
      </c>
      <c r="E23" s="198">
        <v>0.3</v>
      </c>
    </row>
    <row r="24" spans="2:5">
      <c r="B24" s="112" t="s">
        <v>82</v>
      </c>
      <c r="C24" s="199">
        <v>0.23648342090703153</v>
      </c>
      <c r="D24" s="188" t="s">
        <v>412</v>
      </c>
      <c r="E24" s="198">
        <v>0.56999999999999995</v>
      </c>
    </row>
    <row r="25" spans="2:5">
      <c r="B25" s="194" t="s">
        <v>83</v>
      </c>
      <c r="C25" s="199">
        <v>1.7200634293060772E-3</v>
      </c>
      <c r="D25" s="187" t="s">
        <v>413</v>
      </c>
      <c r="E25" s="199">
        <v>4.99E-2</v>
      </c>
    </row>
    <row r="26" spans="2:5">
      <c r="B26" s="112" t="s">
        <v>84</v>
      </c>
      <c r="C26" s="199">
        <v>8.9922682094745239E-5</v>
      </c>
      <c r="D26" s="14"/>
      <c r="E26" s="14"/>
    </row>
    <row r="27" spans="2:5">
      <c r="B27" s="112" t="s">
        <v>85</v>
      </c>
      <c r="C27" s="199">
        <v>6.4256161547245018E-3</v>
      </c>
      <c r="D27" s="14"/>
      <c r="E27" s="14"/>
    </row>
    <row r="28" spans="2:5">
      <c r="B28" s="112" t="s">
        <v>86</v>
      </c>
      <c r="C28" s="199">
        <v>6.2199455452398593E-4</v>
      </c>
      <c r="D28" s="14"/>
      <c r="E28" s="14"/>
    </row>
    <row r="29" spans="2:5">
      <c r="B29" s="112" t="s">
        <v>88</v>
      </c>
      <c r="C29" s="199">
        <v>1.4050869052520912E-3</v>
      </c>
      <c r="D29" s="14"/>
      <c r="E29" s="14"/>
    </row>
    <row r="30" spans="2:5">
      <c r="B30" s="112" t="s">
        <v>90</v>
      </c>
      <c r="C30" s="199">
        <v>3.9239124074678867E-2</v>
      </c>
      <c r="D30" s="14"/>
      <c r="E30" s="14"/>
    </row>
    <row r="31" spans="2:5">
      <c r="B31" s="186" t="s">
        <v>56</v>
      </c>
      <c r="C31" s="118">
        <f>SUM(C21:C30)</f>
        <v>1</v>
      </c>
      <c r="D31" s="14"/>
      <c r="E31" s="14"/>
    </row>
    <row r="34" spans="2:8" ht="15.75">
      <c r="B34" s="189" t="s">
        <v>414</v>
      </c>
      <c r="C34" s="189"/>
    </row>
    <row r="36" spans="2:8">
      <c r="B36" s="185"/>
      <c r="C36" s="185"/>
      <c r="D36" s="185" t="s">
        <v>415</v>
      </c>
      <c r="E36" s="185" t="s">
        <v>416</v>
      </c>
      <c r="F36" s="185" t="s">
        <v>417</v>
      </c>
      <c r="G36" s="185" t="s">
        <v>74</v>
      </c>
      <c r="H36" s="185" t="s">
        <v>75</v>
      </c>
    </row>
    <row r="37" spans="2:8">
      <c r="B37" s="431" t="s">
        <v>78</v>
      </c>
      <c r="C37" s="185" t="s">
        <v>76</v>
      </c>
      <c r="D37" s="184">
        <f>MIN(C64:D64)</f>
        <v>0.16571729134496579</v>
      </c>
      <c r="E37" s="184">
        <f>MIN(E64:G64)</f>
        <v>0.31153684957449346</v>
      </c>
      <c r="F37" s="184">
        <f>MIN(H64,J64)+MIN(I64,K64)</f>
        <v>0.40766485120878226</v>
      </c>
      <c r="G37" s="184">
        <f t="shared" ref="G37:G56" si="0">SUM(D37:F37)</f>
        <v>0.88491899212824154</v>
      </c>
      <c r="H37" s="443" t="s">
        <v>79</v>
      </c>
    </row>
    <row r="38" spans="2:8">
      <c r="B38" s="432"/>
      <c r="C38" s="185" t="s">
        <v>77</v>
      </c>
      <c r="D38" s="184">
        <f>MAX(C64:D64)</f>
        <v>0.34942469074743926</v>
      </c>
      <c r="E38" s="184">
        <f>MAX(E64:G64)</f>
        <v>0.36197627898345663</v>
      </c>
      <c r="F38" s="184">
        <f>MAX(H64,J64)+MAX(I64,K64)</f>
        <v>0.63838312348131299</v>
      </c>
      <c r="G38" s="184">
        <f t="shared" si="0"/>
        <v>1.3497840932122087</v>
      </c>
      <c r="H38" s="443"/>
    </row>
    <row r="39" spans="2:8">
      <c r="B39" s="431" t="s">
        <v>80</v>
      </c>
      <c r="C39" s="185" t="s">
        <v>76</v>
      </c>
      <c r="D39" s="184">
        <f>MIN(C65:D65)</f>
        <v>0</v>
      </c>
      <c r="E39" s="184">
        <f>MIN(E65:G65)</f>
        <v>0</v>
      </c>
      <c r="F39" s="184">
        <f>MIN(H65,J65)+MIN(I65,K65)</f>
        <v>0</v>
      </c>
      <c r="G39" s="184">
        <f t="shared" si="0"/>
        <v>0</v>
      </c>
      <c r="H39" s="443" t="s">
        <v>79</v>
      </c>
    </row>
    <row r="40" spans="2:8">
      <c r="B40" s="432"/>
      <c r="C40" s="185" t="s">
        <v>77</v>
      </c>
      <c r="D40" s="184">
        <f>MAX(C65:D65)</f>
        <v>0</v>
      </c>
      <c r="E40" s="184">
        <f>MAX(E65:G65)</f>
        <v>0</v>
      </c>
      <c r="F40" s="184">
        <f>MAX(H65,J65)+MAX(I65,K65)</f>
        <v>0</v>
      </c>
      <c r="G40" s="184">
        <f t="shared" si="0"/>
        <v>0</v>
      </c>
      <c r="H40" s="443"/>
    </row>
    <row r="41" spans="2:8">
      <c r="B41" s="431" t="s">
        <v>81</v>
      </c>
      <c r="C41" s="185" t="s">
        <v>76</v>
      </c>
      <c r="D41" s="184">
        <f>MIN(C66:D66)</f>
        <v>0</v>
      </c>
      <c r="E41" s="184">
        <f>MIN(E66:G66)</f>
        <v>0</v>
      </c>
      <c r="F41" s="184">
        <f>MIN(H66,J66)+MIN(I66,K66)</f>
        <v>0</v>
      </c>
      <c r="G41" s="184">
        <f t="shared" si="0"/>
        <v>0</v>
      </c>
      <c r="H41" s="443" t="s">
        <v>79</v>
      </c>
    </row>
    <row r="42" spans="2:8">
      <c r="B42" s="432"/>
      <c r="C42" s="185" t="s">
        <v>77</v>
      </c>
      <c r="D42" s="184">
        <f>MAX(C66:D66)</f>
        <v>0</v>
      </c>
      <c r="E42" s="184">
        <f>MAX(E66:G66)</f>
        <v>0</v>
      </c>
      <c r="F42" s="184">
        <f>MAX(H66,J66)+MAX(I66,K66)</f>
        <v>0</v>
      </c>
      <c r="G42" s="184">
        <f t="shared" si="0"/>
        <v>0</v>
      </c>
      <c r="H42" s="443"/>
    </row>
    <row r="43" spans="2:8">
      <c r="B43" s="431" t="s">
        <v>82</v>
      </c>
      <c r="C43" s="185" t="s">
        <v>76</v>
      </c>
      <c r="D43" s="184">
        <f>MIN(C67:D67)</f>
        <v>0</v>
      </c>
      <c r="E43" s="184">
        <f>MIN(E67:G67)</f>
        <v>0</v>
      </c>
      <c r="F43" s="184">
        <f>MIN(H67,J67)+MIN(I67,K67)</f>
        <v>0</v>
      </c>
      <c r="G43" s="184">
        <f t="shared" si="0"/>
        <v>0</v>
      </c>
      <c r="H43" s="443" t="s">
        <v>79</v>
      </c>
    </row>
    <row r="44" spans="2:8">
      <c r="B44" s="432"/>
      <c r="C44" s="185" t="s">
        <v>77</v>
      </c>
      <c r="D44" s="184">
        <f>MAX(C67:D67)</f>
        <v>0</v>
      </c>
      <c r="E44" s="184">
        <f>MAX(E67:G67)</f>
        <v>0</v>
      </c>
      <c r="F44" s="184">
        <f>MAX(H67,J67)+MAX(I67,K67)</f>
        <v>0</v>
      </c>
      <c r="G44" s="184">
        <f t="shared" si="0"/>
        <v>0</v>
      </c>
      <c r="H44" s="443"/>
    </row>
    <row r="45" spans="2:8">
      <c r="B45" s="431" t="s">
        <v>83</v>
      </c>
      <c r="C45" s="185" t="s">
        <v>76</v>
      </c>
      <c r="D45" s="184">
        <f>MIN(C68:D68)</f>
        <v>0</v>
      </c>
      <c r="E45" s="184">
        <f>MIN(E68:G68)</f>
        <v>0</v>
      </c>
      <c r="F45" s="184">
        <f>MIN(H68,J68)+MIN(I68,K68)</f>
        <v>0</v>
      </c>
      <c r="G45" s="184">
        <f t="shared" si="0"/>
        <v>0</v>
      </c>
      <c r="H45" s="443" t="s">
        <v>79</v>
      </c>
    </row>
    <row r="46" spans="2:8">
      <c r="B46" s="432"/>
      <c r="C46" s="185" t="s">
        <v>77</v>
      </c>
      <c r="D46" s="184">
        <f>MAX(C68:D68)</f>
        <v>0</v>
      </c>
      <c r="E46" s="184">
        <f>MAX(E68:G68)</f>
        <v>0</v>
      </c>
      <c r="F46" s="184">
        <f>MAX(H68,J68)+MAX(I68,K68)</f>
        <v>0</v>
      </c>
      <c r="G46" s="184">
        <f t="shared" si="0"/>
        <v>0</v>
      </c>
      <c r="H46" s="443"/>
    </row>
    <row r="47" spans="2:8">
      <c r="B47" s="431" t="s">
        <v>84</v>
      </c>
      <c r="C47" s="185" t="s">
        <v>76</v>
      </c>
      <c r="D47" s="184">
        <f>MIN(C69:D69)</f>
        <v>0</v>
      </c>
      <c r="E47" s="184">
        <f>MIN(E69:G69)</f>
        <v>0</v>
      </c>
      <c r="F47" s="184">
        <f>MIN(H69,J69)+MIN(I69,K69)</f>
        <v>0</v>
      </c>
      <c r="G47" s="184">
        <f t="shared" si="0"/>
        <v>0</v>
      </c>
      <c r="H47" s="443" t="s">
        <v>79</v>
      </c>
    </row>
    <row r="48" spans="2:8">
      <c r="B48" s="432"/>
      <c r="C48" s="185" t="s">
        <v>77</v>
      </c>
      <c r="D48" s="184">
        <f>MAX(C69:D69)</f>
        <v>0</v>
      </c>
      <c r="E48" s="184">
        <f>MAX(E69:G69)</f>
        <v>0</v>
      </c>
      <c r="F48" s="184">
        <f>MAX(H69,J69)+MAX(I69,K69)</f>
        <v>0</v>
      </c>
      <c r="G48" s="184">
        <f t="shared" si="0"/>
        <v>0</v>
      </c>
      <c r="H48" s="443"/>
    </row>
    <row r="49" spans="2:11">
      <c r="B49" s="431" t="s">
        <v>85</v>
      </c>
      <c r="C49" s="185" t="s">
        <v>76</v>
      </c>
      <c r="D49" s="184">
        <f>MIN(C70:D70)</f>
        <v>0</v>
      </c>
      <c r="E49" s="184">
        <f>MIN(E70:G70)</f>
        <v>0</v>
      </c>
      <c r="F49" s="184">
        <f>MIN(H70,J70)+MIN(I70,K70)</f>
        <v>0</v>
      </c>
      <c r="G49" s="184">
        <f t="shared" si="0"/>
        <v>0</v>
      </c>
      <c r="H49" s="443" t="s">
        <v>79</v>
      </c>
    </row>
    <row r="50" spans="2:11">
      <c r="B50" s="432"/>
      <c r="C50" s="185" t="s">
        <v>77</v>
      </c>
      <c r="D50" s="184">
        <f>MAX(C70:D70)</f>
        <v>0</v>
      </c>
      <c r="E50" s="184">
        <f>MAX(E70:G70)</f>
        <v>0</v>
      </c>
      <c r="F50" s="184">
        <f>MAX(H70,J70)+MAX(I70,K70)</f>
        <v>0</v>
      </c>
      <c r="G50" s="184">
        <f t="shared" si="0"/>
        <v>0</v>
      </c>
      <c r="H50" s="443"/>
    </row>
    <row r="51" spans="2:11">
      <c r="B51" s="431" t="s">
        <v>86</v>
      </c>
      <c r="C51" s="185" t="s">
        <v>76</v>
      </c>
      <c r="D51" s="184">
        <f>MIN(C71:D71)</f>
        <v>0</v>
      </c>
      <c r="E51" s="184">
        <f>MIN(E71:G71)</f>
        <v>0</v>
      </c>
      <c r="F51" s="184">
        <f>MIN(H71,J71)+MIN(I71,K71)</f>
        <v>0</v>
      </c>
      <c r="G51" s="184">
        <f t="shared" si="0"/>
        <v>0</v>
      </c>
      <c r="H51" s="443" t="s">
        <v>87</v>
      </c>
    </row>
    <row r="52" spans="2:11">
      <c r="B52" s="432"/>
      <c r="C52" s="185" t="s">
        <v>77</v>
      </c>
      <c r="D52" s="184">
        <f>MAX(C71:D71)</f>
        <v>0</v>
      </c>
      <c r="E52" s="184">
        <f>MAX(E71:G71)</f>
        <v>0</v>
      </c>
      <c r="F52" s="184">
        <f>MAX(H71,J71)+MAX(I71,K71)</f>
        <v>0</v>
      </c>
      <c r="G52" s="184">
        <f t="shared" si="0"/>
        <v>0</v>
      </c>
      <c r="H52" s="443"/>
    </row>
    <row r="53" spans="2:11">
      <c r="B53" s="431" t="s">
        <v>88</v>
      </c>
      <c r="C53" s="185" t="s">
        <v>76</v>
      </c>
      <c r="D53" s="184">
        <f>MIN(C72:D72)</f>
        <v>0</v>
      </c>
      <c r="E53" s="184">
        <f>MIN(E72:G72)</f>
        <v>0</v>
      </c>
      <c r="F53" s="184">
        <f>MIN(H72,J72)+MIN(I72,K72)</f>
        <v>0</v>
      </c>
      <c r="G53" s="184">
        <f t="shared" si="0"/>
        <v>0</v>
      </c>
      <c r="H53" s="443" t="s">
        <v>89</v>
      </c>
    </row>
    <row r="54" spans="2:11">
      <c r="B54" s="432"/>
      <c r="C54" s="185" t="s">
        <v>77</v>
      </c>
      <c r="D54" s="184">
        <f>MAX(C72:D72)</f>
        <v>0</v>
      </c>
      <c r="E54" s="184">
        <f>MAX(E72:G72)</f>
        <v>0</v>
      </c>
      <c r="F54" s="184">
        <f>MAX(H72,J72)+MAX(I72,K72)</f>
        <v>0</v>
      </c>
      <c r="G54" s="184">
        <f t="shared" si="0"/>
        <v>0</v>
      </c>
      <c r="H54" s="443"/>
    </row>
    <row r="55" spans="2:11">
      <c r="B55" s="431" t="s">
        <v>90</v>
      </c>
      <c r="C55" s="185" t="s">
        <v>76</v>
      </c>
      <c r="D55" s="184">
        <f>MIN(C73:D73)</f>
        <v>0</v>
      </c>
      <c r="E55" s="184">
        <f>MIN(E73:G73)</f>
        <v>0</v>
      </c>
      <c r="F55" s="184">
        <f>MIN(H73,J73)+MIN(I73,K73)</f>
        <v>0</v>
      </c>
      <c r="G55" s="184">
        <f t="shared" si="0"/>
        <v>0</v>
      </c>
      <c r="H55" s="443"/>
    </row>
    <row r="56" spans="2:11">
      <c r="B56" s="432"/>
      <c r="C56" s="185" t="s">
        <v>77</v>
      </c>
      <c r="D56" s="184">
        <f>MAX(C73:D73)</f>
        <v>0</v>
      </c>
      <c r="E56" s="184">
        <f>MAX(E73:G73)</f>
        <v>0</v>
      </c>
      <c r="F56" s="184">
        <f>MAX(H73,J73)+MAX(I73,K73)</f>
        <v>0</v>
      </c>
      <c r="G56" s="184">
        <f t="shared" si="0"/>
        <v>0</v>
      </c>
      <c r="H56" s="443"/>
    </row>
    <row r="59" spans="2:11" ht="15.75">
      <c r="B59" s="189" t="s">
        <v>418</v>
      </c>
    </row>
    <row r="60" spans="2:11" ht="16.5" thickBot="1">
      <c r="B60" s="183" t="s">
        <v>419</v>
      </c>
    </row>
    <row r="61" spans="2:11" s="181" customFormat="1" ht="13.5" thickBot="1">
      <c r="B61" s="182"/>
      <c r="C61" s="433" t="s">
        <v>420</v>
      </c>
      <c r="D61" s="434"/>
      <c r="E61" s="433" t="s">
        <v>421</v>
      </c>
      <c r="F61" s="440"/>
      <c r="G61" s="434"/>
      <c r="H61" s="437" t="s">
        <v>422</v>
      </c>
      <c r="I61" s="438"/>
      <c r="J61" s="438"/>
      <c r="K61" s="439"/>
    </row>
    <row r="62" spans="2:11" s="181" customFormat="1">
      <c r="B62" s="182"/>
      <c r="C62" s="427" t="s">
        <v>423</v>
      </c>
      <c r="D62" s="429" t="s">
        <v>424</v>
      </c>
      <c r="E62" s="427" t="s">
        <v>425</v>
      </c>
      <c r="F62" s="441" t="s">
        <v>426</v>
      </c>
      <c r="G62" s="429" t="s">
        <v>427</v>
      </c>
      <c r="H62" s="433" t="s">
        <v>428</v>
      </c>
      <c r="I62" s="434"/>
      <c r="J62" s="435" t="s">
        <v>429</v>
      </c>
      <c r="K62" s="436"/>
    </row>
    <row r="63" spans="2:11" s="181" customFormat="1">
      <c r="B63" s="182"/>
      <c r="C63" s="428"/>
      <c r="D63" s="430"/>
      <c r="E63" s="428"/>
      <c r="F63" s="442"/>
      <c r="G63" s="430"/>
      <c r="H63" s="180" t="s">
        <v>430</v>
      </c>
      <c r="I63" s="219" t="s">
        <v>431</v>
      </c>
      <c r="J63" s="180" t="s">
        <v>430</v>
      </c>
      <c r="K63" s="219" t="s">
        <v>431</v>
      </c>
    </row>
    <row r="64" spans="2:11">
      <c r="B64" s="112" t="s">
        <v>78</v>
      </c>
      <c r="C64" s="179">
        <f>INDEX($F$79:$G$88,MATCH($B64,$B$79:$B$88,0),MATCH(C$62,$F$78:$G$78,0))</f>
        <v>0.34942469074743926</v>
      </c>
      <c r="D64" s="178">
        <f>INDEX($F$79:$G$88,MATCH($B64,$B$79:$B$88,0),MATCH(D$62,$F$78:$G$78,0))</f>
        <v>0.16571729134496579</v>
      </c>
      <c r="E64" s="179">
        <f t="shared" ref="E64:F73" si="1">F104</f>
        <v>0.36105971153340621</v>
      </c>
      <c r="F64" s="177">
        <f t="shared" si="1"/>
        <v>0.31153684957449346</v>
      </c>
      <c r="G64" s="178">
        <f t="shared" ref="G64:G73" si="2">G116</f>
        <v>0.36197627898345663</v>
      </c>
      <c r="H64" s="179">
        <f>I137</f>
        <v>0.58242116630818042</v>
      </c>
      <c r="I64" s="178">
        <f>J137</f>
        <v>5.5961957173132591E-2</v>
      </c>
      <c r="J64" s="179">
        <f>I149</f>
        <v>0.3814655511588062</v>
      </c>
      <c r="K64" s="178">
        <f>J149</f>
        <v>2.6199300049976074E-2</v>
      </c>
    </row>
    <row r="65" spans="2:11">
      <c r="B65" s="112" t="s">
        <v>80</v>
      </c>
      <c r="C65" s="179" t="str">
        <f t="shared" ref="C65:D73" si="3">INDEX($F$79:$G$88,MATCH($B65,$B$79:$B$88,0),MATCH(C$62,$F$78:$G$78,0))</f>
        <v xml:space="preserve"> -</v>
      </c>
      <c r="D65" s="178" t="str">
        <f t="shared" si="3"/>
        <v xml:space="preserve"> -</v>
      </c>
      <c r="E65" s="179" t="str">
        <f t="shared" si="1"/>
        <v xml:space="preserve"> - </v>
      </c>
      <c r="F65" s="177" t="str">
        <f t="shared" si="1"/>
        <v xml:space="preserve"> - </v>
      </c>
      <c r="G65" s="178" t="str">
        <f t="shared" si="2"/>
        <v xml:space="preserve"> - </v>
      </c>
      <c r="H65" s="179" t="str">
        <f t="shared" ref="H65:I73" si="4">I138</f>
        <v xml:space="preserve"> - </v>
      </c>
      <c r="I65" s="178" t="str">
        <f t="shared" si="4"/>
        <v xml:space="preserve"> - </v>
      </c>
      <c r="J65" s="179" t="str">
        <f t="shared" ref="J65:K73" si="5">I150</f>
        <v xml:space="preserve"> - </v>
      </c>
      <c r="K65" s="178" t="str">
        <f t="shared" si="5"/>
        <v xml:space="preserve"> - </v>
      </c>
    </row>
    <row r="66" spans="2:11">
      <c r="B66" s="112" t="s">
        <v>81</v>
      </c>
      <c r="C66" s="179" t="str">
        <f t="shared" si="3"/>
        <v xml:space="preserve"> -</v>
      </c>
      <c r="D66" s="178" t="str">
        <f t="shared" si="3"/>
        <v xml:space="preserve"> -</v>
      </c>
      <c r="E66" s="179" t="str">
        <f t="shared" si="1"/>
        <v xml:space="preserve"> - </v>
      </c>
      <c r="F66" s="177" t="str">
        <f t="shared" si="1"/>
        <v xml:space="preserve"> - </v>
      </c>
      <c r="G66" s="178" t="str">
        <f t="shared" si="2"/>
        <v xml:space="preserve"> - </v>
      </c>
      <c r="H66" s="179" t="str">
        <f t="shared" si="4"/>
        <v xml:space="preserve"> - </v>
      </c>
      <c r="I66" s="178" t="str">
        <f t="shared" si="4"/>
        <v xml:space="preserve"> - </v>
      </c>
      <c r="J66" s="179" t="str">
        <f>I151</f>
        <v xml:space="preserve"> - </v>
      </c>
      <c r="K66" s="178" t="str">
        <f t="shared" si="5"/>
        <v xml:space="preserve"> - </v>
      </c>
    </row>
    <row r="67" spans="2:11">
      <c r="B67" s="112" t="s">
        <v>82</v>
      </c>
      <c r="C67" s="179" t="str">
        <f t="shared" si="3"/>
        <v xml:space="preserve"> -</v>
      </c>
      <c r="D67" s="178" t="str">
        <f t="shared" si="3"/>
        <v xml:space="preserve"> -</v>
      </c>
      <c r="E67" s="179" t="str">
        <f t="shared" si="1"/>
        <v xml:space="preserve"> - </v>
      </c>
      <c r="F67" s="177" t="str">
        <f t="shared" si="1"/>
        <v xml:space="preserve"> - </v>
      </c>
      <c r="G67" s="178" t="str">
        <f t="shared" si="2"/>
        <v xml:space="preserve"> - </v>
      </c>
      <c r="H67" s="179" t="str">
        <f t="shared" si="4"/>
        <v xml:space="preserve"> - </v>
      </c>
      <c r="I67" s="178" t="str">
        <f t="shared" si="4"/>
        <v xml:space="preserve"> - </v>
      </c>
      <c r="J67" s="179" t="str">
        <f t="shared" si="5"/>
        <v xml:space="preserve"> - </v>
      </c>
      <c r="K67" s="178" t="str">
        <f t="shared" si="5"/>
        <v xml:space="preserve"> - </v>
      </c>
    </row>
    <row r="68" spans="2:11">
      <c r="B68" s="194" t="s">
        <v>83</v>
      </c>
      <c r="C68" s="179" t="str">
        <f t="shared" si="3"/>
        <v xml:space="preserve"> -</v>
      </c>
      <c r="D68" s="178" t="str">
        <f t="shared" si="3"/>
        <v xml:space="preserve"> -</v>
      </c>
      <c r="E68" s="179" t="str">
        <f t="shared" si="1"/>
        <v xml:space="preserve"> - </v>
      </c>
      <c r="F68" s="177" t="str">
        <f t="shared" si="1"/>
        <v xml:space="preserve"> - </v>
      </c>
      <c r="G68" s="178" t="str">
        <f t="shared" si="2"/>
        <v xml:space="preserve"> - </v>
      </c>
      <c r="H68" s="179" t="str">
        <f t="shared" si="4"/>
        <v xml:space="preserve"> - </v>
      </c>
      <c r="I68" s="178" t="str">
        <f t="shared" si="4"/>
        <v xml:space="preserve"> - </v>
      </c>
      <c r="J68" s="179" t="str">
        <f t="shared" si="5"/>
        <v xml:space="preserve"> - </v>
      </c>
      <c r="K68" s="178" t="str">
        <f t="shared" si="5"/>
        <v xml:space="preserve"> - </v>
      </c>
    </row>
    <row r="69" spans="2:11">
      <c r="B69" s="112" t="s">
        <v>84</v>
      </c>
      <c r="C69" s="179" t="str">
        <f t="shared" si="3"/>
        <v xml:space="preserve"> -</v>
      </c>
      <c r="D69" s="178" t="str">
        <f t="shared" si="3"/>
        <v xml:space="preserve"> -</v>
      </c>
      <c r="E69" s="179" t="str">
        <f t="shared" si="1"/>
        <v xml:space="preserve"> - </v>
      </c>
      <c r="F69" s="177" t="str">
        <f t="shared" si="1"/>
        <v xml:space="preserve"> - </v>
      </c>
      <c r="G69" s="178" t="str">
        <f t="shared" si="2"/>
        <v xml:space="preserve"> - </v>
      </c>
      <c r="H69" s="179" t="str">
        <f t="shared" si="4"/>
        <v xml:space="preserve"> - </v>
      </c>
      <c r="I69" s="178" t="str">
        <f>J142</f>
        <v xml:space="preserve"> - </v>
      </c>
      <c r="J69" s="179" t="str">
        <f t="shared" si="5"/>
        <v xml:space="preserve"> - </v>
      </c>
      <c r="K69" s="178" t="str">
        <f t="shared" si="5"/>
        <v xml:space="preserve"> - </v>
      </c>
    </row>
    <row r="70" spans="2:11">
      <c r="B70" s="112" t="s">
        <v>85</v>
      </c>
      <c r="C70" s="179" t="str">
        <f t="shared" si="3"/>
        <v xml:space="preserve"> -</v>
      </c>
      <c r="D70" s="178" t="str">
        <f t="shared" si="3"/>
        <v xml:space="preserve"> -</v>
      </c>
      <c r="E70" s="179" t="str">
        <f t="shared" si="1"/>
        <v xml:space="preserve"> - </v>
      </c>
      <c r="F70" s="177" t="str">
        <f t="shared" si="1"/>
        <v xml:space="preserve"> - </v>
      </c>
      <c r="G70" s="178" t="str">
        <f t="shared" si="2"/>
        <v xml:space="preserve"> - </v>
      </c>
      <c r="H70" s="179" t="str">
        <f t="shared" si="4"/>
        <v xml:space="preserve"> - </v>
      </c>
      <c r="I70" s="178" t="str">
        <f t="shared" si="4"/>
        <v xml:space="preserve"> - </v>
      </c>
      <c r="J70" s="179" t="str">
        <f t="shared" si="5"/>
        <v xml:space="preserve"> - </v>
      </c>
      <c r="K70" s="178" t="str">
        <f>J155</f>
        <v xml:space="preserve"> - </v>
      </c>
    </row>
    <row r="71" spans="2:11">
      <c r="B71" s="112" t="s">
        <v>86</v>
      </c>
      <c r="C71" s="179" t="str">
        <f t="shared" si="3"/>
        <v xml:space="preserve"> -</v>
      </c>
      <c r="D71" s="178" t="str">
        <f t="shared" si="3"/>
        <v xml:space="preserve"> -</v>
      </c>
      <c r="E71" s="179" t="str">
        <f t="shared" si="1"/>
        <v xml:space="preserve"> - </v>
      </c>
      <c r="F71" s="177" t="str">
        <f t="shared" si="1"/>
        <v xml:space="preserve"> - </v>
      </c>
      <c r="G71" s="178" t="str">
        <f t="shared" si="2"/>
        <v xml:space="preserve"> - </v>
      </c>
      <c r="H71" s="179" t="str">
        <f>I144</f>
        <v xml:space="preserve"> - </v>
      </c>
      <c r="I71" s="178" t="str">
        <f t="shared" si="4"/>
        <v xml:space="preserve"> - </v>
      </c>
      <c r="J71" s="179" t="str">
        <f t="shared" si="5"/>
        <v xml:space="preserve"> - </v>
      </c>
      <c r="K71" s="178" t="str">
        <f t="shared" si="5"/>
        <v xml:space="preserve"> - </v>
      </c>
    </row>
    <row r="72" spans="2:11">
      <c r="B72" s="112" t="s">
        <v>88</v>
      </c>
      <c r="C72" s="179" t="str">
        <f t="shared" si="3"/>
        <v xml:space="preserve"> -</v>
      </c>
      <c r="D72" s="178" t="str">
        <f t="shared" si="3"/>
        <v xml:space="preserve"> -</v>
      </c>
      <c r="E72" s="179" t="str">
        <f t="shared" si="1"/>
        <v xml:space="preserve"> - </v>
      </c>
      <c r="F72" s="177" t="str">
        <f t="shared" si="1"/>
        <v xml:space="preserve"> - </v>
      </c>
      <c r="G72" s="178" t="str">
        <f t="shared" si="2"/>
        <v xml:space="preserve"> - </v>
      </c>
      <c r="H72" s="179" t="str">
        <f t="shared" si="4"/>
        <v xml:space="preserve"> - </v>
      </c>
      <c r="I72" s="178" t="str">
        <f t="shared" si="4"/>
        <v xml:space="preserve"> - </v>
      </c>
      <c r="J72" s="179" t="str">
        <f t="shared" si="5"/>
        <v xml:space="preserve"> - </v>
      </c>
      <c r="K72" s="178" t="str">
        <f t="shared" si="5"/>
        <v xml:space="preserve"> - </v>
      </c>
    </row>
    <row r="73" spans="2:11" ht="13.5" thickBot="1">
      <c r="B73" s="112" t="s">
        <v>90</v>
      </c>
      <c r="C73" s="176" t="str">
        <f t="shared" si="3"/>
        <v xml:space="preserve"> -</v>
      </c>
      <c r="D73" s="175" t="str">
        <f t="shared" si="3"/>
        <v xml:space="preserve"> -</v>
      </c>
      <c r="E73" s="176" t="str">
        <f t="shared" si="1"/>
        <v xml:space="preserve"> - </v>
      </c>
      <c r="F73" s="174" t="str">
        <f t="shared" si="1"/>
        <v xml:space="preserve"> - </v>
      </c>
      <c r="G73" s="175" t="str">
        <f t="shared" si="2"/>
        <v xml:space="preserve"> - </v>
      </c>
      <c r="H73" s="176" t="str">
        <f t="shared" si="4"/>
        <v xml:space="preserve"> - </v>
      </c>
      <c r="I73" s="175" t="str">
        <f t="shared" si="4"/>
        <v xml:space="preserve"> - </v>
      </c>
      <c r="J73" s="176" t="str">
        <f t="shared" si="5"/>
        <v xml:space="preserve"> - </v>
      </c>
      <c r="K73" s="175" t="str">
        <f t="shared" si="5"/>
        <v xml:space="preserve"> - </v>
      </c>
    </row>
    <row r="76" spans="2:11" ht="15.75">
      <c r="B76" s="189" t="s">
        <v>432</v>
      </c>
    </row>
    <row r="77" spans="2:11" ht="15.75">
      <c r="B77" s="183" t="s">
        <v>433</v>
      </c>
    </row>
    <row r="78" spans="2:11" s="171" customFormat="1" ht="24.75" customHeight="1">
      <c r="B78" s="173" t="s">
        <v>434</v>
      </c>
      <c r="C78" s="172" t="s">
        <v>435</v>
      </c>
      <c r="D78" s="172" t="s">
        <v>436</v>
      </c>
      <c r="E78" s="172" t="s">
        <v>437</v>
      </c>
      <c r="F78" s="173" t="s">
        <v>423</v>
      </c>
      <c r="G78" s="173" t="s">
        <v>424</v>
      </c>
    </row>
    <row r="79" spans="2:11">
      <c r="B79" s="112" t="s">
        <v>78</v>
      </c>
      <c r="C79" s="17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48812715.790371522</v>
      </c>
      <c r="D79" s="170">
        <f>ABS('2.1 Profit &amp; Loss by component'!$F$32*INDEX('2.2 Allocation to services'!$D$56:$D$65,MATCH('6. Pricing template'!B79,'2.2 Allocation to services'!$C$56:$C$65,0),1))-ABS('2.1 Profit &amp; Loss by component'!$F$26)*INDEX('2.2 Allocation to services'!$D$68:$D$77,MATCH('6. Pricing template'!B79,'2.2 Allocation to services'!$C$68:$C$77,0),1)</f>
        <v>23149798.105763339</v>
      </c>
      <c r="E79" s="169">
        <f>INDEX('5. Historical demand'!$C$26:$C$35,MATCH('6. Pricing template'!B79,'5. Historical demand'!$B$26:$B$35,0),1)*(Yearending-Yearstart)</f>
        <v>139694.52383561779</v>
      </c>
      <c r="F79" s="168">
        <f>IFERROR(C79/(E79*1000)," -")</f>
        <v>0.34942469074743926</v>
      </c>
      <c r="G79" s="168">
        <f>IFERROR(D79/(E79*1000)," -")</f>
        <v>0.16571729134496579</v>
      </c>
    </row>
    <row r="80" spans="2:11">
      <c r="B80" s="112" t="s">
        <v>80</v>
      </c>
      <c r="C80" s="17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7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69">
        <f>INDEX('5. Historical demand'!$C$26:$C$35,MATCH('6. Pricing template'!B80,'5. Historical demand'!$B$26:$B$35,0),1)*(Yearending-Yearstart)</f>
        <v>0</v>
      </c>
      <c r="F80" s="168" t="str">
        <f t="shared" ref="F80:F88" si="6">IFERROR(C80/(E80*1000)," -")</f>
        <v xml:space="preserve"> -</v>
      </c>
      <c r="G80" s="168" t="str">
        <f t="shared" ref="G80:G88" si="7">IFERROR(D80/(E80*1000)," -")</f>
        <v xml:space="preserve"> -</v>
      </c>
    </row>
    <row r="81" spans="2:7">
      <c r="B81" s="112" t="s">
        <v>81</v>
      </c>
      <c r="C81" s="17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160960.66815822877</v>
      </c>
      <c r="D81" s="170">
        <f>ABS('2.1 Profit &amp; Loss by component'!$F$32*INDEX('2.2 Allocation to services'!$D$56:$D$65,MATCH('6. Pricing template'!B81,'2.2 Allocation to services'!$C$56:$C$65,0),1))-ABS('2.1 Profit &amp; Loss by component'!$F$26)*INDEX('2.2 Allocation to services'!$D$68:$D$77,MATCH('6. Pricing template'!B81,'2.2 Allocation to services'!$C$68:$C$77,0),1)</f>
        <v>76336.809179684555</v>
      </c>
      <c r="E81" s="169">
        <f>INDEX('5. Historical demand'!$C$26:$C$35,MATCH('6. Pricing template'!B81,'5. Historical demand'!$B$26:$B$35,0),1)*(Yearending-Yearstart)</f>
        <v>0</v>
      </c>
      <c r="F81" s="168" t="str">
        <f t="shared" si="6"/>
        <v xml:space="preserve"> -</v>
      </c>
      <c r="G81" s="168" t="str">
        <f t="shared" si="7"/>
        <v xml:space="preserve"> -</v>
      </c>
    </row>
    <row r="82" spans="2:7">
      <c r="B82" s="112" t="s">
        <v>82</v>
      </c>
      <c r="C82" s="17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16220200.21006635</v>
      </c>
      <c r="D82" s="170">
        <f>ABS('2.1 Profit &amp; Loss by component'!$F$32*INDEX('2.2 Allocation to services'!$D$56:$D$65,MATCH('6. Pricing template'!B82,'2.2 Allocation to services'!$C$56:$C$65,0),1))-ABS('2.1 Profit &amp; Loss by component'!$F$26)*INDEX('2.2 Allocation to services'!$D$68:$D$77,MATCH('6. Pricing template'!B82,'2.2 Allocation to services'!$C$68:$C$77,0),1)</f>
        <v>7692552.1151225027</v>
      </c>
      <c r="E82" s="169">
        <f>INDEX('5. Historical demand'!$C$26:$C$35,MATCH('6. Pricing template'!B82,'5. Historical demand'!$B$26:$B$35,0),1)*(Yearending-Yearstart)</f>
        <v>0</v>
      </c>
      <c r="F82" s="168" t="str">
        <f t="shared" si="6"/>
        <v xml:space="preserve"> -</v>
      </c>
      <c r="G82" s="168" t="str">
        <f t="shared" si="7"/>
        <v xml:space="preserve"> -</v>
      </c>
    </row>
    <row r="83" spans="2:7">
      <c r="B83" s="194" t="s">
        <v>83</v>
      </c>
      <c r="C83" s="17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117977.71315362561</v>
      </c>
      <c r="D83" s="170">
        <f>ABS('2.1 Profit &amp; Loss by component'!$F$32*INDEX('2.2 Allocation to services'!$D$56:$D$65,MATCH('6. Pricing template'!B83,'2.2 Allocation to services'!$C$56:$C$65,0),1))-ABS('2.1 Profit &amp; Loss by component'!$F$26)*INDEX('2.2 Allocation to services'!$D$68:$D$77,MATCH('6. Pricing template'!B83,'2.2 Allocation to services'!$C$68:$C$77,0),1)</f>
        <v>55951.81903451524</v>
      </c>
      <c r="E83" s="169">
        <f>INDEX('5. Historical demand'!$C$26:$C$35,MATCH('6. Pricing template'!B83,'5. Historical demand'!$B$26:$B$35,0),1)*(Yearending-Yearstart)</f>
        <v>0</v>
      </c>
      <c r="F83" s="168" t="str">
        <f t="shared" si="6"/>
        <v xml:space="preserve"> -</v>
      </c>
      <c r="G83" s="168" t="str">
        <f t="shared" si="7"/>
        <v xml:space="preserve"> -</v>
      </c>
    </row>
    <row r="84" spans="2:7">
      <c r="B84" s="112" t="s">
        <v>84</v>
      </c>
      <c r="C84" s="17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6167.7216162071672</v>
      </c>
      <c r="D84" s="170">
        <f>ABS('2.1 Profit &amp; Loss by component'!$F$32*INDEX('2.2 Allocation to services'!$D$56:$D$65,MATCH('6. Pricing template'!B84,'2.2 Allocation to services'!$C$56:$C$65,0),1))-ABS('2.1 Profit &amp; Loss by component'!$F$26)*INDEX('2.2 Allocation to services'!$D$68:$D$77,MATCH('6. Pricing template'!B84,'2.2 Allocation to services'!$C$68:$C$77,0),1)</f>
        <v>2925.0884298454139</v>
      </c>
      <c r="E84" s="169">
        <f>INDEX('5. Historical demand'!$C$26:$C$35,MATCH('6. Pricing template'!B84,'5. Historical demand'!$B$26:$B$35,0),1)*(Yearending-Yearstart)</f>
        <v>0</v>
      </c>
      <c r="F84" s="168" t="str">
        <f t="shared" si="6"/>
        <v xml:space="preserve"> -</v>
      </c>
      <c r="G84" s="168" t="str">
        <f t="shared" si="7"/>
        <v xml:space="preserve"> -</v>
      </c>
    </row>
    <row r="85" spans="2:7">
      <c r="B85" s="112" t="s">
        <v>85</v>
      </c>
      <c r="C85" s="17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440727.64214469749</v>
      </c>
      <c r="D85" s="170">
        <f>ABS('2.1 Profit &amp; Loss by component'!$F$32*INDEX('2.2 Allocation to services'!$D$56:$D$65,MATCH('6. Pricing template'!B85,'2.2 Allocation to services'!$C$56:$C$65,0),1))-ABS('2.1 Profit &amp; Loss by component'!$F$26)*INDEX('2.2 Allocation to services'!$D$68:$D$77,MATCH('6. Pricing template'!B85,'2.2 Allocation to services'!$C$68:$C$77,0),1)</f>
        <v>209018.40371052222</v>
      </c>
      <c r="E85" s="169">
        <f>INDEX('5. Historical demand'!$C$26:$C$35,MATCH('6. Pricing template'!B85,'5. Historical demand'!$B$26:$B$35,0),1)*(Yearending-Yearstart)</f>
        <v>0</v>
      </c>
      <c r="F85" s="168" t="str">
        <f t="shared" si="6"/>
        <v xml:space="preserve"> -</v>
      </c>
      <c r="G85" s="168" t="str">
        <f t="shared" si="7"/>
        <v xml:space="preserve"> -</v>
      </c>
    </row>
    <row r="86" spans="2:7">
      <c r="B86" s="112" t="s">
        <v>86</v>
      </c>
      <c r="C86" s="17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42662.086691972843</v>
      </c>
      <c r="D86" s="170">
        <f>ABS('2.1 Profit &amp; Loss by component'!$F$32*INDEX('2.2 Allocation to services'!$D$56:$D$65,MATCH('6. Pricing template'!B86,'2.2 Allocation to services'!$C$56:$C$65,0),1))-ABS('2.1 Profit &amp; Loss by component'!$F$26)*INDEX('2.2 Allocation to services'!$D$68:$D$77,MATCH('6. Pricing template'!B86,'2.2 Allocation to services'!$C$68:$C$77,0),1)</f>
        <v>20232.815931224119</v>
      </c>
      <c r="E86" s="169">
        <f>INDEX('5. Historical demand'!$C$26:$C$35,MATCH('6. Pricing template'!B86,'5. Historical demand'!$B$26:$B$35,0),1)*(Yearending-Yearstart)</f>
        <v>0</v>
      </c>
      <c r="F86" s="168" t="str">
        <f t="shared" si="6"/>
        <v xml:space="preserve"> -</v>
      </c>
      <c r="G86" s="168" t="str">
        <f t="shared" si="7"/>
        <v xml:space="preserve"> -</v>
      </c>
    </row>
    <row r="87" spans="2:7">
      <c r="B87" s="112" t="s">
        <v>88</v>
      </c>
      <c r="C87" s="17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96373.736595645576</v>
      </c>
      <c r="D87" s="170">
        <f>ABS('2.1 Profit &amp; Loss by component'!$F$32*INDEX('2.2 Allocation to services'!$D$56:$D$65,MATCH('6. Pricing template'!B87,'2.2 Allocation to services'!$C$56:$C$65,0),1))-ABS('2.1 Profit &amp; Loss by component'!$F$26)*INDEX('2.2 Allocation to services'!$D$68:$D$77,MATCH('6. Pricing template'!B87,'2.2 Allocation to services'!$C$68:$C$77,0),1)</f>
        <v>45705.970437467229</v>
      </c>
      <c r="E87" s="169">
        <f>INDEX('5. Historical demand'!$C$26:$C$35,MATCH('6. Pricing template'!B87,'5. Historical demand'!$B$26:$B$35,0),1)*(Yearending-Yearstart)</f>
        <v>0</v>
      </c>
      <c r="F87" s="168" t="str">
        <f t="shared" si="6"/>
        <v xml:space="preserve"> -</v>
      </c>
      <c r="G87" s="168" t="str">
        <f t="shared" si="7"/>
        <v xml:space="preserve"> -</v>
      </c>
    </row>
    <row r="88" spans="2:7">
      <c r="B88" s="112" t="s">
        <v>90</v>
      </c>
      <c r="C88" s="17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2691378.728021441</v>
      </c>
      <c r="D88" s="170">
        <f>ABS('2.1 Profit &amp; Loss by component'!$F$32*INDEX('2.2 Allocation to services'!$D$56:$D$65,MATCH('6. Pricing template'!B88,'2.2 Allocation to services'!$C$56:$C$65,0),1))-ABS('2.1 Profit &amp; Loss by component'!$F$26)*INDEX('2.2 Allocation to services'!$D$68:$D$77,MATCH('6. Pricing template'!B88,'2.2 Allocation to services'!$C$68:$C$77,0),1)</f>
        <v>1276406.6323909056</v>
      </c>
      <c r="E88" s="169">
        <f>INDEX('5. Historical demand'!$C$26:$C$35,MATCH('6. Pricing template'!B88,'5. Historical demand'!$B$26:$B$35,0),1)*(Yearending-Yearstart)</f>
        <v>0</v>
      </c>
      <c r="F88" s="168" t="str">
        <f t="shared" si="6"/>
        <v xml:space="preserve"> -</v>
      </c>
      <c r="G88" s="168" t="str">
        <f t="shared" si="7"/>
        <v xml:space="preserve"> -</v>
      </c>
    </row>
    <row r="90" spans="2:7" ht="15.75">
      <c r="B90" s="183" t="s">
        <v>360</v>
      </c>
    </row>
    <row r="91" spans="2:7">
      <c r="B91" s="167" t="s">
        <v>438</v>
      </c>
      <c r="C91" s="188" t="s">
        <v>439</v>
      </c>
      <c r="D91" s="188" t="s">
        <v>440</v>
      </c>
      <c r="E91" s="188" t="s">
        <v>441</v>
      </c>
    </row>
    <row r="92" spans="2:7">
      <c r="B92" s="112" t="s">
        <v>78</v>
      </c>
      <c r="C92" s="17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1065150626.5284551</v>
      </c>
      <c r="D92" s="170">
        <f>ABS('2.1 Profit &amp; Loss by component'!$F$26)*INDEX('2.2 Allocation to services'!$D$68:$D$77,MATCH('6. Pricing template'!B79,'2.2 Allocation to services'!$C$68:$C$77,0),1)/(Yearending-Yearstart)*365</f>
        <v>43639552.275751181</v>
      </c>
      <c r="E92" s="166">
        <f t="shared" ref="E92:E101" si="8">IFERROR(C92/D92," - ")</f>
        <v>24.407918298472516</v>
      </c>
    </row>
    <row r="93" spans="2:7">
      <c r="B93" s="112" t="s">
        <v>80</v>
      </c>
      <c r="C93" s="17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70">
        <f>ABS('2.1 Profit &amp; Loss by component'!$F$26)*INDEX('2.2 Allocation to services'!$D$68:$D$77,MATCH('6. Pricing template'!B80,'2.2 Allocation to services'!$C$68:$C$77,0),1)/(Yearending-Yearstart)*365</f>
        <v>0</v>
      </c>
      <c r="E93" s="166" t="str">
        <f t="shared" si="8"/>
        <v xml:space="preserve"> - </v>
      </c>
      <c r="G93" s="165"/>
    </row>
    <row r="94" spans="2:7">
      <c r="B94" s="112" t="s">
        <v>81</v>
      </c>
      <c r="C94" s="17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3512350.2914991416</v>
      </c>
      <c r="D94" s="170">
        <f>ABS('2.1 Profit &amp; Loss by component'!$F$26)*INDEX('2.2 Allocation to services'!$D$68:$D$77,MATCH('6. Pricing template'!B81,'2.2 Allocation to services'!$C$68:$C$77,0),1)/(Yearending-Yearstart)*365</f>
        <v>143902.0832726628</v>
      </c>
      <c r="E94" s="166">
        <f t="shared" si="8"/>
        <v>24.407918298472513</v>
      </c>
    </row>
    <row r="95" spans="2:7">
      <c r="B95" s="112" t="s">
        <v>82</v>
      </c>
      <c r="C95" s="17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353943765.19359922</v>
      </c>
      <c r="D95" s="170">
        <f>ABS('2.1 Profit &amp; Loss by component'!$F$26)*INDEX('2.2 Allocation to services'!$D$68:$D$77,MATCH('6. Pricing template'!B82,'2.2 Allocation to services'!$C$68:$C$77,0),1)/(Yearending-Yearstart)*365</f>
        <v>14501186.084998883</v>
      </c>
      <c r="E95" s="166">
        <f t="shared" si="8"/>
        <v>24.407918298472513</v>
      </c>
    </row>
    <row r="96" spans="2:7">
      <c r="B96" s="194" t="s">
        <v>83</v>
      </c>
      <c r="C96" s="17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2574411.8729563979</v>
      </c>
      <c r="D96" s="170">
        <f>ABS('2.1 Profit &amp; Loss by component'!$F$26)*INDEX('2.2 Allocation to services'!$D$68:$D$77,MATCH('6. Pricing template'!B83,'2.2 Allocation to services'!$C$68:$C$77,0),1)/(Yearending-Yearstart)*365</f>
        <v>105474.4547025753</v>
      </c>
      <c r="E96" s="166">
        <f t="shared" si="8"/>
        <v>24.407918298472513</v>
      </c>
    </row>
    <row r="97" spans="2:7">
      <c r="B97" s="112" t="s">
        <v>84</v>
      </c>
      <c r="C97" s="17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134586.90911543233</v>
      </c>
      <c r="D97" s="170">
        <f>ABS('2.1 Profit &amp; Loss by component'!$F$26)*INDEX('2.2 Allocation to services'!$D$68:$D$77,MATCH('6. Pricing template'!B84,'2.2 Allocation to services'!$C$68:$C$77,0),1)/(Yearending-Yearstart)*365</f>
        <v>5514.0675034074893</v>
      </c>
      <c r="E97" s="166">
        <f t="shared" si="8"/>
        <v>24.407918298472516</v>
      </c>
    </row>
    <row r="98" spans="2:7">
      <c r="B98" s="112" t="s">
        <v>85</v>
      </c>
      <c r="C98" s="17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9617193.31853755</v>
      </c>
      <c r="D98" s="170">
        <f>ABS('2.1 Profit &amp; Loss by component'!$F$26)*INDEX('2.2 Allocation to services'!$D$68:$D$77,MATCH('6. Pricing template'!B85,'2.2 Allocation to services'!$C$68:$C$77,0),1)/(Yearending-Yearstart)*365</f>
        <v>394019.39980843879</v>
      </c>
      <c r="E98" s="166">
        <f t="shared" si="8"/>
        <v>24.407918298472513</v>
      </c>
    </row>
    <row r="99" spans="2:7">
      <c r="B99" s="112" t="s">
        <v>86</v>
      </c>
      <c r="C99" s="17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930936.69616984599</v>
      </c>
      <c r="D99" s="170">
        <f>ABS('2.1 Profit &amp; Loss by component'!$F$26)*INDEX('2.2 Allocation to services'!$D$68:$D$77,MATCH('6. Pricing template'!B86,'2.2 Allocation to services'!$C$68:$C$77,0),1)/(Yearending-Yearstart)*365</f>
        <v>38140.76582795287</v>
      </c>
      <c r="E99" s="166">
        <f t="shared" si="8"/>
        <v>24.407918298472513</v>
      </c>
    </row>
    <row r="100" spans="2:7">
      <c r="B100" s="112" t="s">
        <v>88</v>
      </c>
      <c r="C100" s="17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2102987.802534617</v>
      </c>
      <c r="D100" s="170">
        <f>ABS('2.1 Profit &amp; Loss by component'!$F$26)*INDEX('2.2 Allocation to services'!$D$68:$D$77,MATCH('6. Pricing template'!B87,'2.2 Allocation to services'!$C$68:$C$77,0),1)/(Yearending-Yearstart)*365</f>
        <v>86160.063993094634</v>
      </c>
      <c r="E100" s="166">
        <f t="shared" si="8"/>
        <v>24.407918298472509</v>
      </c>
    </row>
    <row r="101" spans="2:7">
      <c r="B101" s="112" t="s">
        <v>90</v>
      </c>
      <c r="C101" s="17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58729035.907132752</v>
      </c>
      <c r="D101" s="170">
        <f>ABS('2.1 Profit &amp; Loss by component'!$F$26)*INDEX('2.2 Allocation to services'!$D$68:$D$77,MATCH('6. Pricing template'!B88,'2.2 Allocation to services'!$C$68:$C$77,0),1)/(Yearending-Yearstart)*365</f>
        <v>2406146.8573011449</v>
      </c>
      <c r="E101" s="166">
        <f t="shared" si="8"/>
        <v>24.407918298472516</v>
      </c>
    </row>
    <row r="103" spans="2:7" s="171" customFormat="1" ht="27" customHeight="1">
      <c r="B103" s="164" t="s">
        <v>442</v>
      </c>
      <c r="C103" s="172" t="s">
        <v>443</v>
      </c>
      <c r="D103" s="172" t="s">
        <v>444</v>
      </c>
      <c r="E103" s="172" t="s">
        <v>437</v>
      </c>
      <c r="F103" s="173" t="s">
        <v>425</v>
      </c>
      <c r="G103" s="200" t="s">
        <v>426</v>
      </c>
    </row>
    <row r="104" spans="2:7">
      <c r="B104" s="112" t="s">
        <v>78</v>
      </c>
      <c r="C104" s="170">
        <f>ABS('2.1 Profit &amp; Loss by component'!$F$26+'2.1 Profit &amp; Loss by component'!$F$37)*INDEX('2.2 Allocation to services'!$D$68:$D$77,MATCH(B104,'2.2 Allocation to services'!$C$68:$C$77,0),1)</f>
        <v>50438064.478884697</v>
      </c>
      <c r="D104" s="170">
        <f>ABS('2.1 Profit &amp; Loss by component'!$F$26*INDEX('2.2 Allocation to services'!$D$68:$D$77,MATCH(B104,'2.2 Allocation to services'!$C$68:$C$77,0),1))</f>
        <v>43519991.858557343</v>
      </c>
      <c r="E104" s="169">
        <f>INDEX('5. Historical demand'!$C$26:$C$35,MATCH(B104,'5. Historical demand'!$B$26:$B$35,0),1)*(Yearending-Yearstart)</f>
        <v>139694.52383561779</v>
      </c>
      <c r="F104" s="201">
        <f>IFERROR(C104/(E104*1000)," - ")</f>
        <v>0.36105971153340621</v>
      </c>
      <c r="G104" s="201">
        <f>IFERROR(D104/(E104*1000)," - ")</f>
        <v>0.31153684957449346</v>
      </c>
    </row>
    <row r="105" spans="2:7">
      <c r="B105" s="112" t="s">
        <v>80</v>
      </c>
      <c r="C105" s="170">
        <f>ABS('2.1 Profit &amp; Loss by component'!$F$26+'2.1 Profit &amp; Loss by component'!$F$37)*INDEX('2.2 Allocation to services'!$D$68:$D$77,MATCH(B105,'2.2 Allocation to services'!$C$68:$C$77,0),1)</f>
        <v>0</v>
      </c>
      <c r="D105" s="170">
        <f>ABS('2.1 Profit &amp; Loss by component'!$F$26*INDEX('2.2 Allocation to services'!$D$68:$D$77,MATCH(B105,'2.2 Allocation to services'!$C$68:$C$77,0),1))</f>
        <v>0</v>
      </c>
      <c r="E105" s="169">
        <f>INDEX('5. Historical demand'!$C$26:$C$35,MATCH(B105,'5. Historical demand'!$B$26:$B$35,0),1)*(Yearending-Yearstart)</f>
        <v>0</v>
      </c>
      <c r="F105" s="201" t="str">
        <f t="shared" ref="F105:F113" si="9">IFERROR(C105/(E105*1000)," - ")</f>
        <v xml:space="preserve"> - </v>
      </c>
      <c r="G105" s="201" t="str">
        <f t="shared" ref="G105:G113" si="10">IFERROR(D105/(E105*1000)," - ")</f>
        <v xml:space="preserve"> - </v>
      </c>
    </row>
    <row r="106" spans="2:7">
      <c r="B106" s="112" t="s">
        <v>81</v>
      </c>
      <c r="C106" s="170">
        <f>ABS('2.1 Profit &amp; Loss by component'!$F$26+'2.1 Profit &amp; Loss by component'!$F$37)*INDEX('2.2 Allocation to services'!$D$68:$D$77,MATCH(B106,'2.2 Allocation to services'!$C$68:$C$77,0),1)</f>
        <v>166320.28002692116</v>
      </c>
      <c r="D106" s="170">
        <f>ABS('2.1 Profit &amp; Loss by component'!$F$26*INDEX('2.2 Allocation to services'!$D$68:$D$77,MATCH(B106,'2.2 Allocation to services'!$C$68:$C$77,0),1))</f>
        <v>143507.830989724</v>
      </c>
      <c r="E106" s="169">
        <f>INDEX('5. Historical demand'!$C$26:$C$35,MATCH(B106,'5. Historical demand'!$B$26:$B$35,0),1)*(Yearending-Yearstart)</f>
        <v>0</v>
      </c>
      <c r="F106" s="201" t="str">
        <f t="shared" si="9"/>
        <v xml:space="preserve"> - </v>
      </c>
      <c r="G106" s="201" t="str">
        <f t="shared" si="10"/>
        <v xml:space="preserve"> - </v>
      </c>
    </row>
    <row r="107" spans="2:7">
      <c r="B107" s="112" t="s">
        <v>82</v>
      </c>
      <c r="C107" s="170">
        <f>ABS('2.1 Profit &amp; Loss by component'!$F$26+'2.1 Profit &amp; Loss by component'!$F$37)*INDEX('2.2 Allocation to services'!$D$68:$D$77,MATCH(B107,'2.2 Allocation to services'!$C$68:$C$77,0),1)</f>
        <v>16760294.747155244</v>
      </c>
      <c r="D107" s="170">
        <f>ABS('2.1 Profit &amp; Loss by component'!$F$26*INDEX('2.2 Allocation to services'!$D$68:$D$77,MATCH(B107,'2.2 Allocation to services'!$C$68:$C$77,0),1))</f>
        <v>14461456.808053682</v>
      </c>
      <c r="E107" s="169">
        <f>INDEX('5. Historical demand'!$C$26:$C$35,MATCH(B107,'5. Historical demand'!$B$26:$B$35,0),1)*(Yearending-Yearstart)</f>
        <v>0</v>
      </c>
      <c r="F107" s="201" t="str">
        <f t="shared" si="9"/>
        <v xml:space="preserve"> - </v>
      </c>
      <c r="G107" s="201" t="str">
        <f t="shared" si="10"/>
        <v xml:space="preserve"> - </v>
      </c>
    </row>
    <row r="108" spans="2:7">
      <c r="B108" s="194" t="s">
        <v>83</v>
      </c>
      <c r="C108" s="170">
        <f>ABS('2.1 Profit &amp; Loss by component'!$F$26+'2.1 Profit &amp; Loss by component'!$F$37)*INDEX('2.2 Allocation to services'!$D$68:$D$77,MATCH(B108,'2.2 Allocation to services'!$C$68:$C$77,0),1)</f>
        <v>121906.09366356343</v>
      </c>
      <c r="D108" s="170">
        <f>ABS('2.1 Profit &amp; Loss by component'!$F$26*INDEX('2.2 Allocation to services'!$D$68:$D$77,MATCH(B108,'2.2 Allocation to services'!$C$68:$C$77,0),1))</f>
        <v>105185.48359380112</v>
      </c>
      <c r="E108" s="169">
        <f>INDEX('5. Historical demand'!$C$26:$C$35,MATCH(B108,'5. Historical demand'!$B$26:$B$35,0),1)*(Yearending-Yearstart)</f>
        <v>0</v>
      </c>
      <c r="F108" s="201" t="str">
        <f t="shared" si="9"/>
        <v xml:space="preserve"> - </v>
      </c>
      <c r="G108" s="201" t="str">
        <f t="shared" si="10"/>
        <v xml:space="preserve"> - </v>
      </c>
    </row>
    <row r="109" spans="2:7">
      <c r="B109" s="112" t="s">
        <v>84</v>
      </c>
      <c r="C109" s="170">
        <f>ABS('2.1 Profit &amp; Loss by component'!$F$26+'2.1 Profit &amp; Loss by component'!$F$37)*INDEX('2.2 Allocation to services'!$D$68:$D$77,MATCH(B109,'2.2 Allocation to services'!$C$68:$C$77,0),1)</f>
        <v>6373.0922471523536</v>
      </c>
      <c r="D109" s="170">
        <f>ABS('2.1 Profit &amp; Loss by component'!$F$26*INDEX('2.2 Allocation to services'!$D$68:$D$77,MATCH(B109,'2.2 Allocation to services'!$C$68:$C$77,0),1))</f>
        <v>5498.9604691515788</v>
      </c>
      <c r="E109" s="169">
        <f>INDEX('5. Historical demand'!$C$26:$C$35,MATCH(B109,'5. Historical demand'!$B$26:$B$35,0),1)*(Yearending-Yearstart)</f>
        <v>0</v>
      </c>
      <c r="F109" s="201" t="str">
        <f t="shared" si="9"/>
        <v xml:space="preserve"> - </v>
      </c>
      <c r="G109" s="201" t="str">
        <f t="shared" si="10"/>
        <v xml:space="preserve"> - </v>
      </c>
    </row>
    <row r="110" spans="2:7">
      <c r="B110" s="112" t="s">
        <v>85</v>
      </c>
      <c r="C110" s="170">
        <f>ABS('2.1 Profit &amp; Loss by component'!$F$26+'2.1 Profit &amp; Loss by component'!$F$37)*INDEX('2.2 Allocation to services'!$D$68:$D$77,MATCH(B110,'2.2 Allocation to services'!$C$68:$C$77,0),1)</f>
        <v>455402.8365802567</v>
      </c>
      <c r="D110" s="170">
        <f>ABS('2.1 Profit &amp; Loss by component'!$F$26*INDEX('2.2 Allocation to services'!$D$68:$D$77,MATCH(B110,'2.2 Allocation to services'!$C$68:$C$77,0),1))</f>
        <v>392939.89460348419</v>
      </c>
      <c r="E110" s="169">
        <f>INDEX('5. Historical demand'!$C$26:$C$35,MATCH(B110,'5. Historical demand'!$B$26:$B$35,0),1)*(Yearending-Yearstart)</f>
        <v>0</v>
      </c>
      <c r="F110" s="201" t="str">
        <f t="shared" si="9"/>
        <v xml:space="preserve"> - </v>
      </c>
      <c r="G110" s="201" t="str">
        <f t="shared" si="10"/>
        <v xml:space="preserve"> - </v>
      </c>
    </row>
    <row r="111" spans="2:7">
      <c r="B111" s="112" t="s">
        <v>86</v>
      </c>
      <c r="C111" s="170">
        <f>ABS('2.1 Profit &amp; Loss by component'!$F$26+'2.1 Profit &amp; Loss by component'!$F$37)*INDEX('2.2 Allocation to services'!$D$68:$D$77,MATCH(B111,'2.2 Allocation to services'!$C$68:$C$77,0),1)</f>
        <v>44082.633890203331</v>
      </c>
      <c r="D111" s="170">
        <f>ABS('2.1 Profit &amp; Loss by component'!$F$26*INDEX('2.2 Allocation to services'!$D$68:$D$77,MATCH(B111,'2.2 Allocation to services'!$C$68:$C$77,0),1))</f>
        <v>38036.270579109165</v>
      </c>
      <c r="E111" s="169">
        <f>INDEX('5. Historical demand'!$C$26:$C$35,MATCH(B111,'5. Historical demand'!$B$26:$B$35,0),1)*(Yearending-Yearstart)</f>
        <v>0</v>
      </c>
      <c r="F111" s="201" t="str">
        <f t="shared" si="9"/>
        <v xml:space="preserve"> - </v>
      </c>
      <c r="G111" s="201" t="str">
        <f t="shared" si="10"/>
        <v xml:space="preserve"> - </v>
      </c>
    </row>
    <row r="112" spans="2:7">
      <c r="B112" s="112" t="s">
        <v>88</v>
      </c>
      <c r="C112" s="170">
        <f>ABS('2.1 Profit &amp; Loss by component'!$F$26+'2.1 Profit &amp; Loss by component'!$F$37)*INDEX('2.2 Allocation to services'!$D$68:$D$77,MATCH(B112,'2.2 Allocation to services'!$C$68:$C$77,0),1)</f>
        <v>99582.755472111079</v>
      </c>
      <c r="D112" s="170">
        <f>ABS('2.1 Profit &amp; Loss by component'!$F$26*INDEX('2.2 Allocation to services'!$D$68:$D$77,MATCH(B112,'2.2 Allocation to services'!$C$68:$C$77,0),1))</f>
        <v>85924.009023250532</v>
      </c>
      <c r="E112" s="169">
        <f>INDEX('5. Historical demand'!$C$26:$C$35,MATCH(B112,'5. Historical demand'!$B$26:$B$35,0),1)*(Yearending-Yearstart)</f>
        <v>0</v>
      </c>
      <c r="F112" s="201" t="str">
        <f t="shared" si="9"/>
        <v xml:space="preserve"> - </v>
      </c>
      <c r="G112" s="201" t="str">
        <f t="shared" si="10"/>
        <v xml:space="preserve"> - </v>
      </c>
    </row>
    <row r="113" spans="2:7">
      <c r="B113" s="112" t="s">
        <v>90</v>
      </c>
      <c r="C113" s="170">
        <f>ABS('2.1 Profit &amp; Loss by component'!$F$26+'2.1 Profit &amp; Loss by component'!$F$37)*INDEX('2.2 Allocation to services'!$D$68:$D$77,MATCH(B113,'2.2 Allocation to services'!$C$68:$C$77,0),1)</f>
        <v>2780995.3128610989</v>
      </c>
      <c r="D113" s="170">
        <f>ABS('2.1 Profit &amp; Loss by component'!$F$26*INDEX('2.2 Allocation to services'!$D$68:$D$77,MATCH(B113,'2.2 Allocation to services'!$C$68:$C$77,0),1))</f>
        <v>2399554.674130457</v>
      </c>
      <c r="E113" s="169">
        <f>INDEX('5. Historical demand'!$C$26:$C$35,MATCH(B113,'5. Historical demand'!$B$26:$B$35,0),1)*(Yearending-Yearstart)</f>
        <v>0</v>
      </c>
      <c r="F113" s="201" t="str">
        <f t="shared" si="9"/>
        <v xml:space="preserve"> - </v>
      </c>
      <c r="G113" s="201" t="str">
        <f t="shared" si="10"/>
        <v xml:space="preserve"> - </v>
      </c>
    </row>
    <row r="114" spans="2:7" ht="15.75">
      <c r="B114" s="189"/>
    </row>
    <row r="115" spans="2:7" s="171" customFormat="1" ht="24.75" customHeight="1">
      <c r="B115" s="164" t="s">
        <v>445</v>
      </c>
      <c r="C115" s="202" t="s">
        <v>446</v>
      </c>
      <c r="D115" s="202" t="s">
        <v>441</v>
      </c>
      <c r="E115" s="202" t="s">
        <v>447</v>
      </c>
      <c r="F115" s="172" t="s">
        <v>437</v>
      </c>
      <c r="G115" s="200" t="s">
        <v>427</v>
      </c>
    </row>
    <row r="116" spans="2:7">
      <c r="B116" s="112" t="s">
        <v>78</v>
      </c>
      <c r="C116" s="110">
        <f>'4. Recovered Capital'!$E$37*C21</f>
        <v>1234213333.4536672</v>
      </c>
      <c r="D116" s="166">
        <f>E92</f>
        <v>24.407918298472516</v>
      </c>
      <c r="E116" s="110">
        <f t="shared" ref="E116:E125" si="11">IFERROR(C116/D116, " - ")</f>
        <v>50566103.932382718</v>
      </c>
      <c r="F116" s="169">
        <f>INDEX('5. Historical demand'!$C$26:$C$35,MATCH(B116,'5. Historical demand'!$B$26:$B$35,0),1)*(Yearending-Yearstart)</f>
        <v>139694.52383561779</v>
      </c>
      <c r="G116" s="201">
        <f>IFERROR(E116/(E104*1000), " - ")</f>
        <v>0.36197627898345663</v>
      </c>
    </row>
    <row r="117" spans="2:7">
      <c r="B117" s="112" t="s">
        <v>80</v>
      </c>
      <c r="C117" s="110">
        <f>'4. Recovered Capital'!$E$37*C22</f>
        <v>0</v>
      </c>
      <c r="D117" s="166" t="str">
        <f t="shared" ref="D117:D125" si="12">E93</f>
        <v xml:space="preserve"> - </v>
      </c>
      <c r="E117" s="110" t="str">
        <f t="shared" si="11"/>
        <v xml:space="preserve"> - </v>
      </c>
      <c r="F117" s="169">
        <f>INDEX('5. Historical demand'!$C$26:$C$35,MATCH(B117,'5. Historical demand'!$B$26:$B$35,0),1)*(Yearending-Yearstart)</f>
        <v>0</v>
      </c>
      <c r="G117" s="201" t="str">
        <f t="shared" ref="G117:G125" si="13">IFERROR(E117/(E105*1000), " - ")</f>
        <v xml:space="preserve"> - </v>
      </c>
    </row>
    <row r="118" spans="2:7">
      <c r="B118" s="112" t="s">
        <v>81</v>
      </c>
      <c r="C118" s="110">
        <f>'4. Recovered Capital'!$E$37*C23</f>
        <v>4069837.1230900339</v>
      </c>
      <c r="D118" s="166">
        <f t="shared" si="12"/>
        <v>24.407918298472513</v>
      </c>
      <c r="E118" s="110">
        <f t="shared" si="11"/>
        <v>166742.49206023978</v>
      </c>
      <c r="F118" s="169">
        <f>INDEX('5. Historical demand'!$C$26:$C$35,MATCH(B118,'5. Historical demand'!$B$26:$B$35,0),1)*(Yearending-Yearstart)</f>
        <v>0</v>
      </c>
      <c r="G118" s="201" t="str">
        <f t="shared" si="13"/>
        <v xml:space="preserve"> - </v>
      </c>
    </row>
    <row r="119" spans="2:7">
      <c r="B119" s="112" t="s">
        <v>82</v>
      </c>
      <c r="C119" s="110">
        <f>'4. Recovered Capital'!$E$37*C24</f>
        <v>410122384.02233535</v>
      </c>
      <c r="D119" s="166">
        <f t="shared" si="12"/>
        <v>24.407918298472513</v>
      </c>
      <c r="E119" s="110">
        <f t="shared" si="11"/>
        <v>16802841.561789457</v>
      </c>
      <c r="F119" s="169">
        <f>INDEX('5. Historical demand'!$C$26:$C$35,MATCH(B119,'5. Historical demand'!$B$26:$B$35,0),1)*(Yearending-Yearstart)</f>
        <v>0</v>
      </c>
      <c r="G119" s="201" t="str">
        <f t="shared" si="13"/>
        <v xml:space="preserve"> - </v>
      </c>
    </row>
    <row r="120" spans="2:7">
      <c r="B120" s="194" t="s">
        <v>83</v>
      </c>
      <c r="C120" s="110">
        <f>'4. Recovered Capital'!$E$37*C25</f>
        <v>2983027.3580741608</v>
      </c>
      <c r="D120" s="166">
        <f t="shared" si="12"/>
        <v>24.407918298472513</v>
      </c>
      <c r="E120" s="110">
        <f t="shared" si="11"/>
        <v>122215.5581478181</v>
      </c>
      <c r="F120" s="169">
        <f>INDEX('5. Historical demand'!$C$26:$C$35,MATCH(B120,'5. Historical demand'!$B$26:$B$35,0),1)*(Yearending-Yearstart)</f>
        <v>0</v>
      </c>
      <c r="G120" s="201" t="str">
        <f t="shared" si="13"/>
        <v xml:space="preserve"> - </v>
      </c>
    </row>
    <row r="121" spans="2:7">
      <c r="B121" s="112" t="s">
        <v>84</v>
      </c>
      <c r="C121" s="110">
        <f>'4. Recovered Capital'!$E$37*C26</f>
        <v>155948.79597448738</v>
      </c>
      <c r="D121" s="166">
        <f t="shared" si="12"/>
        <v>24.407918298472516</v>
      </c>
      <c r="E121" s="110">
        <f t="shared" si="11"/>
        <v>6389.270648461933</v>
      </c>
      <c r="F121" s="169">
        <f>INDEX('5. Historical demand'!$C$26:$C$35,MATCH(B121,'5. Historical demand'!$B$26:$B$35,0),1)*(Yearending-Yearstart)</f>
        <v>0</v>
      </c>
      <c r="G121" s="201" t="str">
        <f t="shared" si="13"/>
        <v xml:space="preserve"> - </v>
      </c>
    </row>
    <row r="122" spans="2:7">
      <c r="B122" s="112" t="s">
        <v>85</v>
      </c>
      <c r="C122" s="110">
        <f>'4. Recovered Capital'!$E$37*C27</f>
        <v>11143652.295287339</v>
      </c>
      <c r="D122" s="166">
        <f t="shared" si="12"/>
        <v>24.407918298472513</v>
      </c>
      <c r="E122" s="110">
        <f t="shared" si="11"/>
        <v>456558.89859254105</v>
      </c>
      <c r="F122" s="169">
        <f>INDEX('5. Historical demand'!$C$26:$C$35,MATCH(B122,'5. Historical demand'!$B$26:$B$35,0),1)*(Yearending-Yearstart)</f>
        <v>0</v>
      </c>
      <c r="G122" s="201" t="str">
        <f t="shared" si="13"/>
        <v xml:space="preserve"> - </v>
      </c>
    </row>
    <row r="123" spans="2:7">
      <c r="B123" s="112" t="s">
        <v>86</v>
      </c>
      <c r="C123" s="110">
        <f>'4. Recovered Capital'!$E$37*C28</f>
        <v>1078696.7161244354</v>
      </c>
      <c r="D123" s="166">
        <f t="shared" si="12"/>
        <v>24.407918298472513</v>
      </c>
      <c r="E123" s="110">
        <f t="shared" si="11"/>
        <v>44194.539777361599</v>
      </c>
      <c r="F123" s="169">
        <f>INDEX('5. Historical demand'!$C$26:$C$35,MATCH(B123,'5. Historical demand'!$B$26:$B$35,0),1)*(Yearending-Yearstart)</f>
        <v>0</v>
      </c>
      <c r="G123" s="201" t="str">
        <f t="shared" si="13"/>
        <v xml:space="preserve"> - </v>
      </c>
    </row>
    <row r="124" spans="2:7">
      <c r="B124" s="112" t="s">
        <v>88</v>
      </c>
      <c r="C124" s="110">
        <f>'4. Recovered Capital'!$E$37*C29</f>
        <v>2436777.9742457988</v>
      </c>
      <c r="D124" s="166">
        <f t="shared" si="12"/>
        <v>24.407918298472509</v>
      </c>
      <c r="E124" s="110">
        <f t="shared" si="11"/>
        <v>99835.551088283377</v>
      </c>
      <c r="F124" s="169">
        <f>INDEX('5. Historical demand'!$C$26:$C$35,MATCH(B124,'5. Historical demand'!$B$26:$B$35,0),1)*(Yearending-Yearstart)</f>
        <v>0</v>
      </c>
      <c r="G124" s="201" t="str">
        <f t="shared" si="13"/>
        <v xml:space="preserve"> - </v>
      </c>
    </row>
    <row r="125" spans="2:7">
      <c r="B125" s="112" t="s">
        <v>90</v>
      </c>
      <c r="C125" s="110">
        <f>'4. Recovered Capital'!$E$37*C30</f>
        <v>68050618.731458858</v>
      </c>
      <c r="D125" s="166">
        <f t="shared" si="12"/>
        <v>24.407918298472516</v>
      </c>
      <c r="E125" s="110">
        <f t="shared" si="11"/>
        <v>2788055.0032698843</v>
      </c>
      <c r="F125" s="169">
        <f>INDEX('5. Historical demand'!$C$26:$C$35,MATCH(B125,'5. Historical demand'!$B$26:$B$35,0),1)*(Yearending-Yearstart)</f>
        <v>0</v>
      </c>
      <c r="G125" s="201" t="str">
        <f t="shared" si="13"/>
        <v xml:space="preserve"> - </v>
      </c>
    </row>
    <row r="127" spans="2:7" ht="15.75">
      <c r="B127" s="183" t="s">
        <v>448</v>
      </c>
    </row>
    <row r="128" spans="2:7">
      <c r="B128" s="167" t="s">
        <v>449</v>
      </c>
      <c r="C128" s="167"/>
    </row>
    <row r="129" spans="2:10">
      <c r="B129" s="167" t="s">
        <v>450</v>
      </c>
      <c r="C129" s="203">
        <f>IF(IFERROR(INDEX('4. Recovered Capital'!F39:BH39,1,MATCH(VALUE(RIGHT(TEXT(Yearending,"dd/mm/yyyy"),4)),'4. Recovered Capital'!$F$12:$BH$12,0)),)=0," - ",IFERROR(INDEX('4. Recovered Capital'!F39:BH39,1,MATCH(VALUE(RIGHT(TEXT(Yearending,"dd/mm/yyyy"),4)),'4. Recovered Capital'!$F$12:$BH$12,0)),))</f>
        <v>7.6187262809163062E-2</v>
      </c>
    </row>
    <row r="130" spans="2:10">
      <c r="B130" s="167" t="s">
        <v>451</v>
      </c>
      <c r="C130" s="203">
        <f>IFERROR((C129-E21*E22)/(1-E22), " - ")</f>
        <v>0.12356815702290765</v>
      </c>
    </row>
    <row r="131" spans="2:10">
      <c r="B131" s="167" t="s">
        <v>452</v>
      </c>
      <c r="C131" s="203">
        <f>IFERROR(C130/(1-E23*(1-E24))," - ")</f>
        <v>0.14186929623755185</v>
      </c>
    </row>
    <row r="132" spans="2:10">
      <c r="B132" s="167" t="s">
        <v>453</v>
      </c>
      <c r="C132" s="203">
        <f>IFERROR(C131-C130," - ")</f>
        <v>1.8301139214644199E-2</v>
      </c>
    </row>
    <row r="133" spans="2:10">
      <c r="B133" s="167" t="s">
        <v>454</v>
      </c>
      <c r="C133" s="203">
        <f>IFERROR(C132*(1-E22)," - ")</f>
        <v>7.3204556858576797E-3</v>
      </c>
    </row>
    <row r="134" spans="2:10">
      <c r="B134" s="167" t="s">
        <v>455</v>
      </c>
      <c r="C134" s="203">
        <f>IFERROR(C129+C133," - ")</f>
        <v>8.3507718495020741E-2</v>
      </c>
    </row>
    <row r="136" spans="2:10" s="278" customFormat="1" ht="26.25" customHeight="1">
      <c r="B136" s="276" t="s">
        <v>456</v>
      </c>
      <c r="C136" s="172" t="s">
        <v>457</v>
      </c>
      <c r="D136" s="202" t="s">
        <v>450</v>
      </c>
      <c r="E136" s="202" t="s">
        <v>454</v>
      </c>
      <c r="F136" s="202" t="s">
        <v>364</v>
      </c>
      <c r="G136" s="202" t="s">
        <v>458</v>
      </c>
      <c r="H136" s="172" t="s">
        <v>437</v>
      </c>
      <c r="I136" s="277" t="s">
        <v>430</v>
      </c>
      <c r="J136" s="277" t="s">
        <v>431</v>
      </c>
    </row>
    <row r="137" spans="2:10">
      <c r="B137" s="112" t="s">
        <v>78</v>
      </c>
      <c r="C137" s="110">
        <f>IF(Cover!$C$23="Scheme pipeline",'3.2 Regulatory Asset Base'!$H$78*'6. Pricing template'!C21,C92+'3.1 Depreciated Book Value'!$D$80*'6. Pricing template'!C21)</f>
        <v>1067908788.1527239</v>
      </c>
      <c r="D137" s="203">
        <f t="shared" ref="D137:D146" si="14">$C$129</f>
        <v>7.6187262809163062E-2</v>
      </c>
      <c r="E137" s="203">
        <f t="shared" ref="E137:E146" si="15">$C$133</f>
        <v>7.3204556858576797E-3</v>
      </c>
      <c r="F137" s="110">
        <f t="shared" ref="F137:F146" si="16">IFERROR(C137*D137, " -")</f>
        <v>81361047.499206424</v>
      </c>
      <c r="G137" s="110">
        <f t="shared" ref="G137:G146" si="17">IFERROR(C137*E137, " -")</f>
        <v>7817578.9602099918</v>
      </c>
      <c r="H137" s="169">
        <f>INDEX('5. Historical demand'!$C$26:$C$35,MATCH(B137,'5. Historical demand'!$B$26:$B$35,0),1)*(Yearending-Yearstart)</f>
        <v>139694.52383561779</v>
      </c>
      <c r="I137" s="201">
        <f>IFERROR(F137/(H137*1000)," - ")</f>
        <v>0.58242116630818042</v>
      </c>
      <c r="J137" s="201">
        <f>IFERROR(G137/(H137*1000)," - ")</f>
        <v>5.5961957173132591E-2</v>
      </c>
    </row>
    <row r="138" spans="2:10">
      <c r="B138" s="112" t="s">
        <v>80</v>
      </c>
      <c r="C138" s="110">
        <f>IF(Cover!$C$23="Scheme pipeline",'3.2 Regulatory Asset Base'!$H$78*'6. Pricing template'!C22,C93+'3.1 Depreciated Book Value'!$D$80*'6. Pricing template'!C22)</f>
        <v>0</v>
      </c>
      <c r="D138" s="203">
        <f t="shared" si="14"/>
        <v>7.6187262809163062E-2</v>
      </c>
      <c r="E138" s="203">
        <f t="shared" si="15"/>
        <v>7.3204556858576797E-3</v>
      </c>
      <c r="F138" s="110">
        <f t="shared" si="16"/>
        <v>0</v>
      </c>
      <c r="G138" s="110">
        <f t="shared" si="17"/>
        <v>0</v>
      </c>
      <c r="H138" s="169">
        <f>INDEX('5. Historical demand'!$C$26:$C$35,MATCH(B138,'5. Historical demand'!$B$26:$B$35,0),1)*(Yearending-Yearstart)</f>
        <v>0</v>
      </c>
      <c r="I138" s="201" t="str">
        <f t="shared" ref="I138:I146" si="18">IFERROR(F138/(H138*1000)," - ")</f>
        <v xml:space="preserve"> - </v>
      </c>
      <c r="J138" s="201" t="str">
        <f t="shared" ref="J138:J146" si="19">IFERROR(G138/(H138*1000)," - ")</f>
        <v xml:space="preserve"> - </v>
      </c>
    </row>
    <row r="139" spans="2:10">
      <c r="B139" s="112" t="s">
        <v>81</v>
      </c>
      <c r="C139" s="110">
        <f>IF(Cover!$C$23="Scheme pipeline",'3.2 Regulatory Asset Base'!$H$78*'6. Pricing template'!C23,C94+'3.1 Depreciated Book Value'!$D$80*'6. Pricing template'!C23)</f>
        <v>3521445.3711467744</v>
      </c>
      <c r="D139" s="203">
        <f t="shared" si="14"/>
        <v>7.6187262809163062E-2</v>
      </c>
      <c r="E139" s="203">
        <f t="shared" si="15"/>
        <v>7.3204556858576797E-3</v>
      </c>
      <c r="F139" s="110">
        <f t="shared" si="16"/>
        <v>268289.28395967005</v>
      </c>
      <c r="G139" s="110">
        <f t="shared" si="17"/>
        <v>25778.584789648612</v>
      </c>
      <c r="H139" s="169">
        <f>INDEX('5. Historical demand'!$C$26:$C$35,MATCH(B139,'5. Historical demand'!$B$26:$B$35,0),1)*(Yearending-Yearstart)</f>
        <v>0</v>
      </c>
      <c r="I139" s="201" t="str">
        <f t="shared" si="18"/>
        <v xml:space="preserve"> - </v>
      </c>
      <c r="J139" s="201" t="str">
        <f t="shared" si="19"/>
        <v xml:space="preserve"> - </v>
      </c>
    </row>
    <row r="140" spans="2:10">
      <c r="B140" s="112" t="s">
        <v>82</v>
      </c>
      <c r="C140" s="110">
        <f>IF(Cover!$C$23="Scheme pipeline",'3.2 Regulatory Asset Base'!$H$78*'6. Pricing template'!C24,C95+'3.1 Depreciated Book Value'!$D$80*'6. Pricing template'!C24)</f>
        <v>354860287.31356257</v>
      </c>
      <c r="D140" s="203">
        <f t="shared" si="14"/>
        <v>7.6187262809163062E-2</v>
      </c>
      <c r="E140" s="203">
        <f t="shared" si="15"/>
        <v>7.3204556858576797E-3</v>
      </c>
      <c r="F140" s="110">
        <f t="shared" si="16"/>
        <v>27035833.970093504</v>
      </c>
      <c r="G140" s="110">
        <f t="shared" si="17"/>
        <v>2597739.0079496591</v>
      </c>
      <c r="H140" s="169">
        <f>INDEX('5. Historical demand'!$C$26:$C$35,MATCH(B140,'5. Historical demand'!$B$26:$B$35,0),1)*(Yearending-Yearstart)</f>
        <v>0</v>
      </c>
      <c r="I140" s="201" t="str">
        <f t="shared" si="18"/>
        <v xml:space="preserve"> - </v>
      </c>
      <c r="J140" s="201" t="str">
        <f t="shared" si="19"/>
        <v xml:space="preserve"> - </v>
      </c>
    </row>
    <row r="141" spans="2:10">
      <c r="B141" s="194" t="s">
        <v>83</v>
      </c>
      <c r="C141" s="110">
        <f>IF(Cover!$C$23="Scheme pipeline",'3.2 Regulatory Asset Base'!$H$78*'6. Pricing template'!C25,C96+'3.1 Depreciated Book Value'!$D$80*'6. Pricing template'!C25)</f>
        <v>2581078.2015076871</v>
      </c>
      <c r="D141" s="203">
        <f t="shared" si="14"/>
        <v>7.6187262809163062E-2</v>
      </c>
      <c r="E141" s="203">
        <f t="shared" si="15"/>
        <v>7.3204556858576797E-3</v>
      </c>
      <c r="F141" s="110">
        <f t="shared" si="16"/>
        <v>196645.28326926808</v>
      </c>
      <c r="G141" s="110">
        <f t="shared" si="17"/>
        <v>18894.668595870262</v>
      </c>
      <c r="H141" s="169">
        <f>INDEX('5. Historical demand'!$C$26:$C$35,MATCH(B141,'5. Historical demand'!$B$26:$B$35,0),1)*(Yearending-Yearstart)</f>
        <v>0</v>
      </c>
      <c r="I141" s="201" t="str">
        <f t="shared" si="18"/>
        <v xml:space="preserve"> - </v>
      </c>
      <c r="J141" s="201" t="str">
        <f t="shared" si="19"/>
        <v xml:space="preserve"> - </v>
      </c>
    </row>
    <row r="142" spans="2:10">
      <c r="B142" s="112" t="s">
        <v>84</v>
      </c>
      <c r="C142" s="110">
        <f>IF(Cover!$C$23="Scheme pipeline",'3.2 Regulatory Asset Base'!$H$78*'6. Pricing template'!C26,C97+'3.1 Depreciated Book Value'!$D$80*'6. Pricing template'!C26)</f>
        <v>134935.4161139786</v>
      </c>
      <c r="D142" s="203">
        <f t="shared" si="14"/>
        <v>7.6187262809163062E-2</v>
      </c>
      <c r="E142" s="203">
        <f t="shared" si="15"/>
        <v>7.3204556858576797E-3</v>
      </c>
      <c r="F142" s="110">
        <f t="shared" si="16"/>
        <v>10280.360009739465</v>
      </c>
      <c r="G142" s="110">
        <f t="shared" si="17"/>
        <v>987.78873411514667</v>
      </c>
      <c r="H142" s="169">
        <f>INDEX('5. Historical demand'!$C$26:$C$35,MATCH(B142,'5. Historical demand'!$B$26:$B$35,0),1)*(Yearending-Yearstart)</f>
        <v>0</v>
      </c>
      <c r="I142" s="201" t="str">
        <f t="shared" si="18"/>
        <v xml:space="preserve"> - </v>
      </c>
      <c r="J142" s="201" t="str">
        <f t="shared" si="19"/>
        <v xml:space="preserve"> - </v>
      </c>
    </row>
    <row r="143" spans="2:10">
      <c r="B143" s="112" t="s">
        <v>85</v>
      </c>
      <c r="C143" s="110">
        <f>IF(Cover!$C$23="Scheme pipeline",'3.2 Regulatory Asset Base'!$H$78*'6. Pricing template'!C27,C98+'3.1 Depreciated Book Value'!$D$80*'6. Pricing template'!C27)</f>
        <v>9642096.6259982213</v>
      </c>
      <c r="D143" s="203">
        <f t="shared" si="14"/>
        <v>7.6187262809163062E-2</v>
      </c>
      <c r="E143" s="203">
        <f t="shared" si="15"/>
        <v>7.3204556858576797E-3</v>
      </c>
      <c r="F143" s="110">
        <f t="shared" si="16"/>
        <v>734604.94967627095</v>
      </c>
      <c r="G143" s="110">
        <f t="shared" si="17"/>
        <v>70584.541069377825</v>
      </c>
      <c r="H143" s="169">
        <f>INDEX('5. Historical demand'!$C$26:$C$35,MATCH(B143,'5. Historical demand'!$B$26:$B$35,0),1)*(Yearending-Yearstart)</f>
        <v>0</v>
      </c>
      <c r="I143" s="201" t="str">
        <f t="shared" si="18"/>
        <v xml:space="preserve"> - </v>
      </c>
      <c r="J143" s="201" t="str">
        <f t="shared" si="19"/>
        <v xml:space="preserve"> - </v>
      </c>
    </row>
    <row r="144" spans="2:10">
      <c r="B144" s="112" t="s">
        <v>86</v>
      </c>
      <c r="C144" s="110">
        <f>IF(Cover!$C$23="Scheme pipeline",'3.2 Regulatory Asset Base'!$H$78*'6. Pricing template'!C28,C99+'3.1 Depreciated Book Value'!$D$80*'6. Pricing template'!C28)</f>
        <v>933347.31660797854</v>
      </c>
      <c r="D144" s="203">
        <f t="shared" si="14"/>
        <v>7.6187262809163062E-2</v>
      </c>
      <c r="E144" s="203">
        <f t="shared" si="15"/>
        <v>7.3204556858576797E-3</v>
      </c>
      <c r="F144" s="110">
        <f t="shared" si="16"/>
        <v>71109.177302639189</v>
      </c>
      <c r="G144" s="110">
        <f t="shared" si="17"/>
        <v>6832.5276707428848</v>
      </c>
      <c r="H144" s="169">
        <f>INDEX('5. Historical demand'!$C$26:$C$35,MATCH(B144,'5. Historical demand'!$B$26:$B$35,0),1)*(Yearending-Yearstart)</f>
        <v>0</v>
      </c>
      <c r="I144" s="201" t="str">
        <f t="shared" si="18"/>
        <v xml:space="preserve"> - </v>
      </c>
      <c r="J144" s="201" t="str">
        <f t="shared" si="19"/>
        <v xml:space="preserve"> - </v>
      </c>
    </row>
    <row r="145" spans="2:10">
      <c r="B145" s="112" t="s">
        <v>88</v>
      </c>
      <c r="C145" s="110">
        <f>IF(Cover!$C$23="Scheme pipeline",'3.2 Regulatory Asset Base'!$H$78*'6. Pricing template'!C29,C100+'3.1 Depreciated Book Value'!$D$80*'6. Pricing template'!C29)</f>
        <v>2108433.3987806248</v>
      </c>
      <c r="D145" s="203">
        <f t="shared" si="14"/>
        <v>7.6187262809163062E-2</v>
      </c>
      <c r="E145" s="203">
        <f t="shared" si="15"/>
        <v>7.3204556858576797E-3</v>
      </c>
      <c r="F145" s="110">
        <f t="shared" si="16"/>
        <v>160635.76946851637</v>
      </c>
      <c r="G145" s="110">
        <f t="shared" si="17"/>
        <v>15434.693262355857</v>
      </c>
      <c r="H145" s="169">
        <f>INDEX('5. Historical demand'!$C$26:$C$35,MATCH(B145,'5. Historical demand'!$B$26:$B$35,0),1)*(Yearending-Yearstart)</f>
        <v>0</v>
      </c>
      <c r="I145" s="201" t="str">
        <f t="shared" si="18"/>
        <v xml:space="preserve"> - </v>
      </c>
      <c r="J145" s="201" t="str">
        <f t="shared" si="19"/>
        <v xml:space="preserve"> - </v>
      </c>
    </row>
    <row r="146" spans="2:10">
      <c r="B146" s="112" t="s">
        <v>90</v>
      </c>
      <c r="C146" s="110">
        <f>IF(Cover!$C$23="Scheme pipeline",'3.2 Regulatory Asset Base'!$H$78*'6. Pricing template'!C30,C101+'3.1 Depreciated Book Value'!$D$80*'6. Pricing template'!C30)</f>
        <v>58881112.213558346</v>
      </c>
      <c r="D146" s="203">
        <f t="shared" si="14"/>
        <v>7.6187262809163062E-2</v>
      </c>
      <c r="E146" s="203">
        <f t="shared" si="15"/>
        <v>7.3204556858576797E-3</v>
      </c>
      <c r="F146" s="110">
        <f t="shared" si="16"/>
        <v>4485990.7707101908</v>
      </c>
      <c r="G146" s="110">
        <f t="shared" si="17"/>
        <v>431036.57269336726</v>
      </c>
      <c r="H146" s="169">
        <f>INDEX('5. Historical demand'!$C$26:$C$35,MATCH(B146,'5. Historical demand'!$B$26:$B$35,0),1)*(Yearending-Yearstart)</f>
        <v>0</v>
      </c>
      <c r="I146" s="201" t="str">
        <f t="shared" si="18"/>
        <v xml:space="preserve"> - </v>
      </c>
      <c r="J146" s="201" t="str">
        <f t="shared" si="19"/>
        <v xml:space="preserve"> - </v>
      </c>
    </row>
    <row r="148" spans="2:10" s="278" customFormat="1" ht="25.5" customHeight="1">
      <c r="B148" s="276" t="s">
        <v>459</v>
      </c>
      <c r="C148" s="172" t="s">
        <v>457</v>
      </c>
      <c r="D148" s="202" t="s">
        <v>413</v>
      </c>
      <c r="E148" s="202" t="s">
        <v>454</v>
      </c>
      <c r="F148" s="202" t="s">
        <v>364</v>
      </c>
      <c r="G148" s="202" t="s">
        <v>458</v>
      </c>
      <c r="H148" s="172" t="s">
        <v>437</v>
      </c>
      <c r="I148" s="277" t="s">
        <v>430</v>
      </c>
      <c r="J148" s="277" t="s">
        <v>431</v>
      </c>
    </row>
    <row r="149" spans="2:10">
      <c r="B149" s="112" t="s">
        <v>78</v>
      </c>
      <c r="C149" s="110">
        <f>IF(Cover!$C$23="Scheme pipeline",'3.2 Regulatory Asset Base'!$H$78*'6. Pricing template'!C21,C92+'3.1 Depreciated Book Value'!$D$80*'6. Pricing template'!C21)</f>
        <v>1067908788.1527239</v>
      </c>
      <c r="D149" s="203">
        <f t="shared" ref="D149:D158" si="20">IF($E$25=0," - ",$E$25)</f>
        <v>4.99E-2</v>
      </c>
      <c r="E149" s="203">
        <f t="shared" ref="E149:E158" si="21">IFERROR((($E$25-$E$21*$E$22)/(1-$E$22)/(1-$E$23*(1-$E$24))-($E$25-$E$21*$E$22)/(1-$E$22))*(1-$E$22)," - ")</f>
        <v>3.4271641791044751E-3</v>
      </c>
      <c r="F149" s="110">
        <f t="shared" ref="F149:F158" si="22">IFERROR(C149*D149, " -")</f>
        <v>53288648.528820924</v>
      </c>
      <c r="G149" s="110">
        <f t="shared" ref="G149:G158" si="23">IFERROR(C149*E149, " -")</f>
        <v>3659898.7453078846</v>
      </c>
      <c r="H149" s="169">
        <f>INDEX('5. Historical demand'!$C$26:$C$35,MATCH(B149,'5. Historical demand'!$B$26:$B$35,0),1)*(Yearending-Yearstart)</f>
        <v>139694.52383561779</v>
      </c>
      <c r="I149" s="201">
        <f>IFERROR(F149/(H149*1000)," - ")</f>
        <v>0.3814655511588062</v>
      </c>
      <c r="J149" s="201">
        <f>IFERROR(G149/(H149*1000)," - ")</f>
        <v>2.6199300049976074E-2</v>
      </c>
    </row>
    <row r="150" spans="2:10">
      <c r="B150" s="112" t="s">
        <v>80</v>
      </c>
      <c r="C150" s="110">
        <f>IF(Cover!$C$23="Scheme pipeline",'3.2 Regulatory Asset Base'!$H$78*'6. Pricing template'!C22,C93+'3.1 Depreciated Book Value'!$D$80*'6. Pricing template'!C22)</f>
        <v>0</v>
      </c>
      <c r="D150" s="203">
        <f t="shared" si="20"/>
        <v>4.99E-2</v>
      </c>
      <c r="E150" s="203">
        <f t="shared" si="21"/>
        <v>3.4271641791044751E-3</v>
      </c>
      <c r="F150" s="110">
        <f t="shared" si="22"/>
        <v>0</v>
      </c>
      <c r="G150" s="110">
        <f t="shared" si="23"/>
        <v>0</v>
      </c>
      <c r="H150" s="169">
        <f>INDEX('5. Historical demand'!$C$26:$C$35,MATCH(B150,'5. Historical demand'!$B$26:$B$35,0),1)*(Yearending-Yearstart)</f>
        <v>0</v>
      </c>
      <c r="I150" s="201" t="str">
        <f t="shared" ref="I150:I158" si="24">IFERROR(F150/(H150*1000)," - ")</f>
        <v xml:space="preserve"> - </v>
      </c>
      <c r="J150" s="201" t="str">
        <f t="shared" ref="J150:J158" si="25">IFERROR(G150/(H150*1000)," - ")</f>
        <v xml:space="preserve"> - </v>
      </c>
    </row>
    <row r="151" spans="2:10">
      <c r="B151" s="112" t="s">
        <v>81</v>
      </c>
      <c r="C151" s="110">
        <f>IF(Cover!$C$23="Scheme pipeline",'3.2 Regulatory Asset Base'!$H$78*'6. Pricing template'!C23,C94+'3.1 Depreciated Book Value'!$D$80*'6. Pricing template'!C23)</f>
        <v>3521445.3711467744</v>
      </c>
      <c r="D151" s="203">
        <f t="shared" si="20"/>
        <v>4.99E-2</v>
      </c>
      <c r="E151" s="203">
        <f t="shared" si="21"/>
        <v>3.4271641791044751E-3</v>
      </c>
      <c r="F151" s="110">
        <f t="shared" si="22"/>
        <v>175720.12402022403</v>
      </c>
      <c r="G151" s="110">
        <f t="shared" si="23"/>
        <v>12068.571434667489</v>
      </c>
      <c r="H151" s="169">
        <f>INDEX('5. Historical demand'!$C$26:$C$35,MATCH(B151,'5. Historical demand'!$B$26:$B$35,0),1)*(Yearending-Yearstart)</f>
        <v>0</v>
      </c>
      <c r="I151" s="201" t="str">
        <f t="shared" si="24"/>
        <v xml:space="preserve"> - </v>
      </c>
      <c r="J151" s="201" t="str">
        <f t="shared" si="25"/>
        <v xml:space="preserve"> - </v>
      </c>
    </row>
    <row r="152" spans="2:10">
      <c r="B152" s="112" t="s">
        <v>82</v>
      </c>
      <c r="C152" s="110">
        <f>IF(Cover!$C$23="Scheme pipeline",'3.2 Regulatory Asset Base'!$H$78*'6. Pricing template'!C24,C95+'3.1 Depreciated Book Value'!$D$80*'6. Pricing template'!C24)</f>
        <v>354860287.31356257</v>
      </c>
      <c r="D152" s="203">
        <f t="shared" si="20"/>
        <v>4.99E-2</v>
      </c>
      <c r="E152" s="203">
        <f t="shared" si="21"/>
        <v>3.4271641791044751E-3</v>
      </c>
      <c r="F152" s="110">
        <f t="shared" si="22"/>
        <v>17707528.336946771</v>
      </c>
      <c r="G152" s="110">
        <f t="shared" si="23"/>
        <v>1216164.4652677639</v>
      </c>
      <c r="H152" s="169">
        <f>INDEX('5. Historical demand'!$C$26:$C$35,MATCH(B152,'5. Historical demand'!$B$26:$B$35,0),1)*(Yearending-Yearstart)</f>
        <v>0</v>
      </c>
      <c r="I152" s="201" t="str">
        <f t="shared" si="24"/>
        <v xml:space="preserve"> - </v>
      </c>
      <c r="J152" s="201" t="str">
        <f t="shared" si="25"/>
        <v xml:space="preserve"> - </v>
      </c>
    </row>
    <row r="153" spans="2:10">
      <c r="B153" s="194" t="s">
        <v>83</v>
      </c>
      <c r="C153" s="110">
        <f>IF(Cover!$C$23="Scheme pipeline",'3.2 Regulatory Asset Base'!$H$78*'6. Pricing template'!C25,C96+'3.1 Depreciated Book Value'!$D$80*'6. Pricing template'!C25)</f>
        <v>2581078.2015076871</v>
      </c>
      <c r="D153" s="203">
        <f t="shared" si="20"/>
        <v>4.99E-2</v>
      </c>
      <c r="E153" s="203">
        <f t="shared" si="21"/>
        <v>3.4271641791044751E-3</v>
      </c>
      <c r="F153" s="110">
        <f t="shared" si="22"/>
        <v>128795.80225523359</v>
      </c>
      <c r="G153" s="110">
        <f t="shared" si="23"/>
        <v>8845.7787556745479</v>
      </c>
      <c r="H153" s="169">
        <f>INDEX('5. Historical demand'!$C$26:$C$35,MATCH(B153,'5. Historical demand'!$B$26:$B$35,0),1)*(Yearending-Yearstart)</f>
        <v>0</v>
      </c>
      <c r="I153" s="201" t="str">
        <f t="shared" si="24"/>
        <v xml:space="preserve"> - </v>
      </c>
      <c r="J153" s="201" t="str">
        <f t="shared" si="25"/>
        <v xml:space="preserve"> - </v>
      </c>
    </row>
    <row r="154" spans="2:10">
      <c r="B154" s="112" t="s">
        <v>84</v>
      </c>
      <c r="C154" s="110">
        <f>IF(Cover!$C$23="Scheme pipeline",'3.2 Regulatory Asset Base'!$H$78*'6. Pricing template'!C26,C97+'3.1 Depreciated Book Value'!$D$80*'6. Pricing template'!C26)</f>
        <v>134935.4161139786</v>
      </c>
      <c r="D154" s="203">
        <f t="shared" si="20"/>
        <v>4.99E-2</v>
      </c>
      <c r="E154" s="203">
        <f t="shared" si="21"/>
        <v>3.4271641791044751E-3</v>
      </c>
      <c r="F154" s="110">
        <f t="shared" si="22"/>
        <v>6733.2772640875319</v>
      </c>
      <c r="G154" s="110">
        <f t="shared" si="23"/>
        <v>462.44582459838421</v>
      </c>
      <c r="H154" s="169">
        <f>INDEX('5. Historical demand'!$C$26:$C$35,MATCH(B154,'5. Historical demand'!$B$26:$B$35,0),1)*(Yearending-Yearstart)</f>
        <v>0</v>
      </c>
      <c r="I154" s="201" t="str">
        <f t="shared" si="24"/>
        <v xml:space="preserve"> - </v>
      </c>
      <c r="J154" s="201" t="str">
        <f t="shared" si="25"/>
        <v xml:space="preserve"> - </v>
      </c>
    </row>
    <row r="155" spans="2:10">
      <c r="B155" s="112" t="s">
        <v>85</v>
      </c>
      <c r="C155" s="110">
        <f>IF(Cover!$C$23="Scheme pipeline",'3.2 Regulatory Asset Base'!$H$78*'6. Pricing template'!C27,C98+'3.1 Depreciated Book Value'!$D$80*'6. Pricing template'!C27)</f>
        <v>9642096.6259982213</v>
      </c>
      <c r="D155" s="203">
        <f t="shared" si="20"/>
        <v>4.99E-2</v>
      </c>
      <c r="E155" s="203">
        <f t="shared" si="21"/>
        <v>3.4271641791044751E-3</v>
      </c>
      <c r="F155" s="110">
        <f t="shared" si="22"/>
        <v>481140.62163731124</v>
      </c>
      <c r="G155" s="110">
        <f t="shared" si="23"/>
        <v>33045.048168085224</v>
      </c>
      <c r="H155" s="169">
        <f>INDEX('5. Historical demand'!$C$26:$C$35,MATCH(B155,'5. Historical demand'!$B$26:$B$35,0),1)*(Yearending-Yearstart)</f>
        <v>0</v>
      </c>
      <c r="I155" s="201" t="str">
        <f t="shared" si="24"/>
        <v xml:space="preserve"> - </v>
      </c>
      <c r="J155" s="201" t="str">
        <f t="shared" si="25"/>
        <v xml:space="preserve"> - </v>
      </c>
    </row>
    <row r="156" spans="2:10">
      <c r="B156" s="112" t="s">
        <v>86</v>
      </c>
      <c r="C156" s="110">
        <f>IF(Cover!$C$23="Scheme pipeline",'3.2 Regulatory Asset Base'!$H$78*'6. Pricing template'!C28,C99+'3.1 Depreciated Book Value'!$D$80*'6. Pricing template'!C28)</f>
        <v>933347.31660797854</v>
      </c>
      <c r="D156" s="203">
        <f t="shared" si="20"/>
        <v>4.99E-2</v>
      </c>
      <c r="E156" s="203">
        <f t="shared" si="21"/>
        <v>3.4271641791044751E-3</v>
      </c>
      <c r="F156" s="110">
        <f t="shared" si="22"/>
        <v>46574.031098738131</v>
      </c>
      <c r="G156" s="110">
        <f t="shared" si="23"/>
        <v>3198.7344901421475</v>
      </c>
      <c r="H156" s="169">
        <f>INDEX('5. Historical demand'!$C$26:$C$35,MATCH(B156,'5. Historical demand'!$B$26:$B$35,0),1)*(Yearending-Yearstart)</f>
        <v>0</v>
      </c>
      <c r="I156" s="201" t="str">
        <f t="shared" si="24"/>
        <v xml:space="preserve"> - </v>
      </c>
      <c r="J156" s="201" t="str">
        <f t="shared" si="25"/>
        <v xml:space="preserve"> - </v>
      </c>
    </row>
    <row r="157" spans="2:10">
      <c r="B157" s="112" t="s">
        <v>88</v>
      </c>
      <c r="C157" s="110">
        <f>IF(Cover!$C$23="Scheme pipeline",'3.2 Regulatory Asset Base'!$H$78*'6. Pricing template'!C29,C100+'3.1 Depreciated Book Value'!$D$80*'6. Pricing template'!C29)</f>
        <v>2108433.3987806248</v>
      </c>
      <c r="D157" s="203">
        <f t="shared" si="20"/>
        <v>4.99E-2</v>
      </c>
      <c r="E157" s="203">
        <f t="shared" si="21"/>
        <v>3.4271641791044751E-3</v>
      </c>
      <c r="F157" s="110">
        <f t="shared" si="22"/>
        <v>105210.82659915318</v>
      </c>
      <c r="G157" s="110">
        <f t="shared" si="23"/>
        <v>7225.9474183284583</v>
      </c>
      <c r="H157" s="169">
        <f>INDEX('5. Historical demand'!$C$26:$C$35,MATCH(B157,'5. Historical demand'!$B$26:$B$35,0),1)*(Yearending-Yearstart)</f>
        <v>0</v>
      </c>
      <c r="I157" s="201" t="str">
        <f t="shared" si="24"/>
        <v xml:space="preserve"> - </v>
      </c>
      <c r="J157" s="201" t="str">
        <f t="shared" si="25"/>
        <v xml:space="preserve"> - </v>
      </c>
    </row>
    <row r="158" spans="2:10">
      <c r="B158" s="112" t="s">
        <v>90</v>
      </c>
      <c r="C158" s="110">
        <f>IF(Cover!$C$23="Scheme pipeline",'3.2 Regulatory Asset Base'!$H$78*'6. Pricing template'!C30,C101+'3.1 Depreciated Book Value'!$D$80*'6. Pricing template'!C30)</f>
        <v>58881112.213558346</v>
      </c>
      <c r="D158" s="203">
        <f t="shared" si="20"/>
        <v>4.99E-2</v>
      </c>
      <c r="E158" s="203">
        <f t="shared" si="21"/>
        <v>3.4271641791044751E-3</v>
      </c>
      <c r="F158" s="110">
        <f t="shared" si="22"/>
        <v>2938167.4994565616</v>
      </c>
      <c r="G158" s="110">
        <f t="shared" si="23"/>
        <v>201795.23860413817</v>
      </c>
      <c r="H158" s="169">
        <f>INDEX('5. Historical demand'!$C$26:$C$35,MATCH(B158,'5. Historical demand'!$B$26:$B$35,0),1)*(Yearending-Yearstart)</f>
        <v>0</v>
      </c>
      <c r="I158" s="201" t="str">
        <f t="shared" si="24"/>
        <v xml:space="preserve"> - </v>
      </c>
      <c r="J158" s="201" t="str">
        <f t="shared" si="25"/>
        <v xml:space="preserve"> - </v>
      </c>
    </row>
    <row r="188" ht="27" customHeight="1"/>
    <row r="195" ht="31.9" customHeight="1"/>
  </sheetData>
  <sheetProtection sheet="1"/>
  <mergeCells count="36">
    <mergeCell ref="H49:H50"/>
    <mergeCell ref="H51:H52"/>
    <mergeCell ref="B47:B48"/>
    <mergeCell ref="H41:H42"/>
    <mergeCell ref="H43:H44"/>
    <mergeCell ref="H45:H46"/>
    <mergeCell ref="H47:H48"/>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J62:K62"/>
    <mergeCell ref="H61:K61"/>
    <mergeCell ref="E61:G61"/>
    <mergeCell ref="E62:E63"/>
    <mergeCell ref="F62:F63"/>
    <mergeCell ref="G62:G63"/>
    <mergeCell ref="H62:I62"/>
    <mergeCell ref="C62:C63"/>
    <mergeCell ref="D62:D63"/>
    <mergeCell ref="B53:B54"/>
    <mergeCell ref="C61:D61"/>
    <mergeCell ref="B49:B50"/>
    <mergeCell ref="B51:B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Normal="100" workbookViewId="0"/>
  </sheetViews>
  <sheetFormatPr defaultColWidth="0" defaultRowHeight="12.75"/>
  <cols>
    <col min="1" max="1" width="10.28515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c r="A1" s="295" t="s">
        <v>460</v>
      </c>
      <c r="B1" s="296" t="s">
        <v>461</v>
      </c>
      <c r="C1" s="297" t="s">
        <v>462</v>
      </c>
      <c r="D1" s="296" t="s">
        <v>463</v>
      </c>
      <c r="E1" s="297" t="s">
        <v>464</v>
      </c>
      <c r="F1" s="297" t="s">
        <v>465</v>
      </c>
      <c r="G1" s="298" t="s">
        <v>466</v>
      </c>
    </row>
    <row r="2" spans="1:7">
      <c r="A2" s="299">
        <v>45775</v>
      </c>
      <c r="B2">
        <v>1</v>
      </c>
      <c r="C2" s="6" t="s">
        <v>467</v>
      </c>
      <c r="E2" s="6" t="s">
        <v>468</v>
      </c>
      <c r="F2" s="6" t="s">
        <v>469</v>
      </c>
      <c r="G2" s="6" t="s">
        <v>470</v>
      </c>
    </row>
    <row r="3" spans="1:7">
      <c r="A3" s="299">
        <v>45775</v>
      </c>
      <c r="B3">
        <v>2</v>
      </c>
      <c r="C3" s="6" t="s">
        <v>471</v>
      </c>
      <c r="D3" t="s">
        <v>92</v>
      </c>
      <c r="E3" s="6" t="s">
        <v>472</v>
      </c>
      <c r="F3" t="s">
        <v>473</v>
      </c>
      <c r="G3" t="s">
        <v>474</v>
      </c>
    </row>
    <row r="4" spans="1:7">
      <c r="A4" s="299">
        <v>45775</v>
      </c>
      <c r="B4">
        <v>3</v>
      </c>
      <c r="C4" s="6" t="s">
        <v>475</v>
      </c>
      <c r="D4" t="s">
        <v>476</v>
      </c>
      <c r="E4" s="6" t="s">
        <v>477</v>
      </c>
      <c r="F4" t="s">
        <v>478</v>
      </c>
      <c r="G4" s="6" t="s">
        <v>479</v>
      </c>
    </row>
  </sheetData>
  <sheetProtection sheet="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77142-321F-43D5-9C77-D26397EBD3EF}">
  <ds:schemaRef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68339cd5-4ed0-4715-a10c-fb6cfca0aa9a"/>
    <ds:schemaRef ds:uri="http://schemas.microsoft.com/sharepoint/v3"/>
    <ds:schemaRef ds:uri="http://schemas.microsoft.com/office/infopath/2007/PartnerControls"/>
    <ds:schemaRef ds:uri="http://schemas.openxmlformats.org/package/2006/metadata/core-properties"/>
    <ds:schemaRef ds:uri="704da589-9a5f-45d1-b9c9-18eae98c3af3"/>
  </ds:schemaRefs>
</ds:datastoreItem>
</file>

<file path=customXml/itemProps2.xml><?xml version="1.0" encoding="utf-8"?>
<ds:datastoreItem xmlns:ds="http://schemas.openxmlformats.org/officeDocument/2006/customXml" ds:itemID="{7F5F1455-61D4-47FD-BA6E-10569B3E7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27</vt:i4>
      </vt:variant>
      <vt:variant>
        <vt:lpstr>Named Ranges</vt:lpstr>
      </vt:variant>
      <vt:variant>
        <vt:i4>22</vt:i4>
      </vt:variant>
    </vt:vector>
  </HeadingPairs>
  <TitlesOfParts>
    <vt:vector size="4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dcterms:created xsi:type="dcterms:W3CDTF">2021-05-07T02:14:11Z</dcterms:created>
  <dcterms:modified xsi:type="dcterms:W3CDTF">2025-12-18T02:54:42Z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