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WGP/"/>
    </mc:Choice>
  </mc:AlternateContent>
  <xr:revisionPtr revIDLastSave="41" documentId="13_ncr:1_{25EC5221-E14F-4D8B-802F-90571027437B}" xr6:coauthVersionLast="47" xr6:coauthVersionMax="47" xr10:uidLastSave="{3BF32690-0CAC-4D8C-BA63-5764394450FD}"/>
  <bookViews>
    <workbookView xWindow="-120" yWindow="-120" windowWidth="57840" windowHeight="23520" tabRatio="970"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34" r:id="rId19"/>
    <sheet name="4. Recovered Capital" sheetId="47" r:id="rId20"/>
    <sheet name="4.1 Pipelines capex" sheetId="66" r:id="rId21"/>
    <sheet name="Auditor's Review Report Capex" sheetId="135" r:id="rId22"/>
    <sheet name="5. Historical demand" sheetId="74" r:id="rId23"/>
    <sheet name="Auditor's Review Report Demand" sheetId="136" r:id="rId24"/>
    <sheet name="6. Pricing template" sheetId="80" r:id="rId25"/>
    <sheet name="7. Amendment record" sheetId="90"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#REF!</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4" l="1"/>
  <c r="E16" i="34"/>
  <c r="D19" i="55" l="1"/>
  <c r="E22" i="34" s="1"/>
  <c r="D130" i="6" l="1"/>
  <c r="F24" i="34" l="1"/>
  <c r="F67" i="34"/>
  <c r="F66" i="34"/>
  <c r="D34" i="55" l="1"/>
  <c r="E67" i="34" s="1"/>
  <c r="D23" i="55"/>
  <c r="E24" i="34" s="1"/>
  <c r="D28" i="55"/>
  <c r="E66" i="34" s="1"/>
  <c r="D18" i="55"/>
  <c r="E23" i="34" s="1"/>
  <c r="D17" i="55"/>
  <c r="E21" i="34" s="1"/>
  <c r="D16" i="55"/>
  <c r="E20" i="34" s="1"/>
  <c r="D14" i="55"/>
  <c r="E18" i="34" s="1"/>
  <c r="D13" i="55"/>
  <c r="E17" i="34" s="1"/>
  <c r="D11" i="55"/>
  <c r="E15" i="34" s="1"/>
  <c r="G25" i="16" l="1"/>
  <c r="G26" i="16" s="1"/>
  <c r="F19" i="34" l="1"/>
  <c r="F16" i="34"/>
  <c r="G18" i="76" l="1"/>
  <c r="I23" i="56" s="1"/>
  <c r="E15" i="87"/>
  <c r="D15" i="87"/>
  <c r="F15" i="87"/>
  <c r="G15" i="87"/>
  <c r="H15" i="87"/>
  <c r="B16" i="44"/>
  <c r="B15" i="44"/>
  <c r="D119" i="6"/>
  <c r="D118" i="6"/>
  <c r="D116" i="6"/>
  <c r="D115" i="6"/>
  <c r="D111" i="6"/>
  <c r="D110" i="6"/>
  <c r="D108" i="6"/>
  <c r="D107" i="6"/>
  <c r="D95" i="6"/>
  <c r="D94" i="6"/>
  <c r="D92" i="6"/>
  <c r="D91" i="6"/>
  <c r="D86" i="6"/>
  <c r="D78" i="6"/>
  <c r="D71" i="6"/>
  <c r="D63" i="6"/>
  <c r="D55" i="6"/>
  <c r="D47" i="6"/>
  <c r="D39" i="6"/>
  <c r="D31" i="6"/>
  <c r="D23" i="6"/>
  <c r="G98" i="66"/>
  <c r="E73" i="66"/>
  <c r="E41" i="66"/>
  <c r="E14" i="47"/>
  <c r="G46" i="59"/>
  <c r="E47" i="59"/>
  <c r="O84" i="34"/>
  <c r="J84" i="34"/>
  <c r="I84" i="34"/>
  <c r="H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D102" i="6"/>
  <c r="E102" i="6"/>
  <c r="I35" i="16"/>
  <c r="I34" i="16"/>
  <c r="I33" i="16"/>
  <c r="I32" i="16"/>
  <c r="I31" i="16"/>
  <c r="I30" i="16"/>
  <c r="I29" i="16"/>
  <c r="I28" i="16"/>
  <c r="I27" i="16"/>
  <c r="I26" i="16"/>
  <c r="I25" i="16"/>
  <c r="I22" i="16"/>
  <c r="I21" i="16"/>
  <c r="E40" i="76" s="1"/>
  <c r="I20" i="16"/>
  <c r="E39" i="76" s="1"/>
  <c r="I19" i="16"/>
  <c r="E38" i="76" s="1"/>
  <c r="I18" i="16"/>
  <c r="E37" i="76" s="1"/>
  <c r="F78" i="5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8"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H43" i="74"/>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H32" i="76"/>
  <c r="J66" i="56" s="1"/>
  <c r="I41" i="76"/>
  <c r="I40" i="76"/>
  <c r="I39" i="76"/>
  <c r="I38" i="76"/>
  <c r="I36" i="76"/>
  <c r="I35" i="76"/>
  <c r="I34" i="76"/>
  <c r="I30" i="76"/>
  <c r="I29" i="76"/>
  <c r="I28" i="76"/>
  <c r="I26" i="76"/>
  <c r="I24" i="76"/>
  <c r="H43" i="76"/>
  <c r="J90" i="56" s="1"/>
  <c r="C42" i="74"/>
  <c r="C26" i="74" s="1"/>
  <c r="H137"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H149" i="80" l="1"/>
  <c r="E79" i="80"/>
  <c r="E104" i="80"/>
  <c r="F116" i="80"/>
  <c r="I37" i="45"/>
  <c r="I21" i="45"/>
  <c r="I35" i="45"/>
  <c r="I19" i="45"/>
  <c r="AK37" i="47"/>
  <c r="BA29" i="47"/>
  <c r="I39" i="45"/>
  <c r="I23" i="45"/>
  <c r="J30" i="16"/>
  <c r="AL29" i="47"/>
  <c r="BC37" i="47"/>
  <c r="E18" i="76"/>
  <c r="F23" i="56" s="1"/>
  <c r="F35" i="56"/>
  <c r="J26" i="16"/>
  <c r="I40" i="45"/>
  <c r="I24" i="45"/>
  <c r="J34" i="16"/>
  <c r="I17" i="45"/>
  <c r="J18" i="16"/>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D37" i="76"/>
  <c r="F37" i="76" s="1"/>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27" i="76"/>
  <c r="F26" i="76"/>
  <c r="F29" i="7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F28" i="76"/>
  <c r="B45" i="74"/>
  <c r="H45" i="74"/>
  <c r="H44" i="74"/>
  <c r="K46" i="56" l="1"/>
  <c r="J18" i="56"/>
  <c r="E22" i="76"/>
  <c r="K39" i="56"/>
  <c r="H45" i="76"/>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42" i="45"/>
  <c r="G94" i="87"/>
  <c r="K31" i="56"/>
  <c r="D95" i="87"/>
  <c r="K41" i="56"/>
  <c r="E95" i="87"/>
  <c r="J16" i="56"/>
  <c r="J17" i="56"/>
  <c r="K33" i="56"/>
  <c r="J19" i="56"/>
  <c r="F78" i="87"/>
  <c r="J14" i="56"/>
  <c r="J21" i="56"/>
  <c r="I16" i="56"/>
  <c r="I18" i="56"/>
  <c r="K42" i="56"/>
  <c r="K28" i="56"/>
  <c r="K43" i="56"/>
  <c r="J20" i="56"/>
  <c r="K20" i="56" s="1"/>
  <c r="I22" i="56"/>
  <c r="K25" i="56"/>
  <c r="G78" i="87"/>
  <c r="J15" i="56"/>
  <c r="K15" i="56" s="1"/>
  <c r="H78" i="87"/>
  <c r="H95" i="87" s="1"/>
  <c r="C23" i="69" s="1"/>
  <c r="F94" i="87"/>
  <c r="H23" i="56"/>
  <c r="J13" i="56"/>
  <c r="J68" i="56"/>
  <c r="H78" i="56"/>
  <c r="I19" i="56"/>
  <c r="J56" i="56"/>
  <c r="H66" i="56"/>
  <c r="E37" i="47"/>
  <c r="I13" i="56"/>
  <c r="I21" i="56"/>
  <c r="I14" i="56"/>
  <c r="E29" i="47"/>
  <c r="C26" i="69" s="1"/>
  <c r="J80" i="56"/>
  <c r="H90" i="56"/>
  <c r="K37" i="56"/>
  <c r="I17" i="56"/>
  <c r="D21" i="76"/>
  <c r="E47" i="56" s="1"/>
  <c r="F20" i="76"/>
  <c r="F21" i="76" s="1"/>
  <c r="C11" i="69" s="1"/>
  <c r="E78" i="56"/>
  <c r="E23" i="16"/>
  <c r="E36" i="16" s="1"/>
  <c r="C129" i="80"/>
  <c r="F25" i="76"/>
  <c r="H46" i="74"/>
  <c r="B46" i="74"/>
  <c r="K18" i="56" l="1"/>
  <c r="K22" i="56"/>
  <c r="K16" i="56"/>
  <c r="K47" i="56"/>
  <c r="K19" i="56"/>
  <c r="G95" i="87"/>
  <c r="F31" i="76"/>
  <c r="F30" i="76"/>
  <c r="F95" i="87"/>
  <c r="K17" i="56"/>
  <c r="K14" i="56"/>
  <c r="K21" i="56"/>
  <c r="K35" i="56"/>
  <c r="K13" i="56"/>
  <c r="D143" i="80"/>
  <c r="D137" i="80"/>
  <c r="D142" i="80"/>
  <c r="D144" i="80"/>
  <c r="D145" i="80"/>
  <c r="D139" i="80"/>
  <c r="D138" i="80"/>
  <c r="D141" i="80"/>
  <c r="D140" i="80"/>
  <c r="D146" i="80"/>
  <c r="C130" i="80"/>
  <c r="C131" i="80" s="1"/>
  <c r="C132" i="80" s="1"/>
  <c r="C133" i="80" s="1"/>
  <c r="F16" i="76"/>
  <c r="F17" i="76"/>
  <c r="B47" i="74"/>
  <c r="H47" i="74"/>
  <c r="E11" i="57" l="1"/>
  <c r="K23" i="56"/>
  <c r="K48" i="56" s="1"/>
  <c r="C17" i="57"/>
  <c r="D14" i="76" s="1"/>
  <c r="C134" i="80"/>
  <c r="E144" i="80"/>
  <c r="E146" i="80"/>
  <c r="E140" i="80"/>
  <c r="E139" i="80"/>
  <c r="E145" i="80"/>
  <c r="E138" i="80"/>
  <c r="E143" i="80"/>
  <c r="E137" i="80"/>
  <c r="E141" i="80"/>
  <c r="E142" i="80"/>
  <c r="B48" i="74"/>
  <c r="H48" i="74"/>
  <c r="E17" i="57" l="1"/>
  <c r="E35" i="56"/>
  <c r="F14" i="76"/>
  <c r="B49" i="74"/>
  <c r="H49" i="74"/>
  <c r="F43" i="56" l="1"/>
  <c r="E43" i="56"/>
  <c r="F26" i="56"/>
  <c r="E26" i="56"/>
  <c r="F46" i="56"/>
  <c r="E46" i="56"/>
  <c r="F31" i="56"/>
  <c r="E31" i="56"/>
  <c r="E38" i="56"/>
  <c r="F38" i="56"/>
  <c r="E37" i="56"/>
  <c r="F37" i="56"/>
  <c r="D47" i="56"/>
  <c r="F34" i="56"/>
  <c r="E34" i="56"/>
  <c r="F44" i="56"/>
  <c r="E44" i="56"/>
  <c r="D35" i="56"/>
  <c r="F25" i="56"/>
  <c r="E25" i="56"/>
  <c r="F32" i="56"/>
  <c r="E32" i="56"/>
  <c r="E40" i="56"/>
  <c r="F40" i="56"/>
  <c r="F27" i="56"/>
  <c r="E27" i="56"/>
  <c r="F42" i="56"/>
  <c r="E42" i="56"/>
  <c r="F29" i="56"/>
  <c r="E29" i="56"/>
  <c r="F30" i="56"/>
  <c r="E30" i="56"/>
  <c r="E41" i="56"/>
  <c r="F41" i="56"/>
  <c r="F45" i="56"/>
  <c r="E45" i="56"/>
  <c r="F28" i="56"/>
  <c r="E28" i="56"/>
  <c r="F39" i="56"/>
  <c r="E39" i="56"/>
  <c r="F33" i="56"/>
  <c r="E33" i="56"/>
  <c r="B50" i="74"/>
  <c r="H50" i="74"/>
  <c r="G44" i="56" l="1"/>
  <c r="G43" i="56"/>
  <c r="G30" i="56"/>
  <c r="G33" i="56"/>
  <c r="G39" i="56"/>
  <c r="G45" i="56"/>
  <c r="G28" i="56"/>
  <c r="G46" i="56"/>
  <c r="G29" i="56"/>
  <c r="G25" i="56"/>
  <c r="G26" i="56"/>
  <c r="G38" i="56"/>
  <c r="G41" i="56"/>
  <c r="G42" i="56"/>
  <c r="G32" i="56"/>
  <c r="G31" i="56"/>
  <c r="G34" i="56"/>
  <c r="G37" i="56"/>
  <c r="G27" i="56"/>
  <c r="G40" i="56"/>
  <c r="B51" i="74"/>
  <c r="H51" i="74"/>
  <c r="G35" i="56" l="1"/>
  <c r="G47" i="56"/>
  <c r="B52" i="74"/>
  <c r="H52" i="74"/>
  <c r="B53" i="74" l="1"/>
  <c r="H53" i="74"/>
  <c r="B54" i="74" l="1"/>
  <c r="H54" i="74"/>
  <c r="B55" i="74" l="1"/>
  <c r="H55" i="74"/>
  <c r="H56" i="74" l="1"/>
  <c r="B56" i="74"/>
  <c r="H57" i="74" l="1"/>
  <c r="B57" i="74"/>
  <c r="B58" i="74" l="1"/>
  <c r="H58" i="74"/>
  <c r="B59" i="74" l="1"/>
  <c r="H59" i="74"/>
  <c r="B60" i="74" l="1"/>
  <c r="H60" i="74"/>
  <c r="B61" i="74" l="1"/>
  <c r="H61" i="74"/>
  <c r="H62" i="74" l="1"/>
  <c r="B62" i="74"/>
  <c r="B63" i="74" l="1"/>
  <c r="H63" i="74"/>
  <c r="B64" i="74" l="1"/>
  <c r="H64" i="74"/>
  <c r="B65" i="74" l="1"/>
  <c r="H65" i="74"/>
  <c r="H66" i="74" l="1"/>
  <c r="B66" i="74"/>
  <c r="H67" i="74" l="1"/>
  <c r="B67" i="74"/>
  <c r="H68" i="74" l="1"/>
  <c r="B68" i="74"/>
  <c r="H69" i="74" l="1"/>
  <c r="B69" i="74"/>
  <c r="B70" i="74" l="1"/>
  <c r="H70" i="74"/>
  <c r="B71" i="74" l="1"/>
  <c r="H71" i="74"/>
  <c r="B72" i="74" l="1"/>
  <c r="H72" i="74"/>
  <c r="H73" i="74" l="1"/>
  <c r="B73" i="74"/>
  <c r="B74" i="74" l="1"/>
  <c r="H74" i="74"/>
  <c r="H75" i="74" l="1"/>
  <c r="B75" i="74"/>
  <c r="B76" i="74" l="1"/>
  <c r="H76" i="74"/>
  <c r="B77" i="74" l="1"/>
  <c r="H77" i="74"/>
  <c r="B78" i="74" l="1"/>
  <c r="H78" i="74"/>
  <c r="H79" i="74" l="1"/>
  <c r="B79" i="74"/>
  <c r="B80" i="74" l="1"/>
  <c r="H80" i="74"/>
  <c r="H81" i="74" l="1"/>
  <c r="B81" i="74"/>
  <c r="H82" i="74" l="1"/>
  <c r="B82" i="74"/>
  <c r="B83" i="74" l="1"/>
  <c r="H83" i="74"/>
  <c r="B84" i="74" l="1"/>
  <c r="H84" i="74"/>
  <c r="H85" i="74" l="1"/>
  <c r="B85" i="74"/>
  <c r="H86" i="74" l="1"/>
  <c r="B86" i="74"/>
  <c r="H87" i="74" l="1"/>
  <c r="B87" i="74"/>
  <c r="H88" i="74" l="1"/>
  <c r="B88" i="74"/>
  <c r="B89" i="74" l="1"/>
  <c r="H89" i="74"/>
  <c r="B90" i="74" l="1"/>
  <c r="H90" i="74"/>
  <c r="B91" i="74" l="1"/>
  <c r="H91" i="74"/>
  <c r="B92" i="74" l="1"/>
  <c r="H92" i="74"/>
  <c r="B93" i="74" l="1"/>
  <c r="H93" i="74"/>
  <c r="H94" i="74" l="1"/>
  <c r="B94" i="74"/>
  <c r="B95" i="74" l="1"/>
  <c r="H95" i="74"/>
  <c r="B96" i="74" l="1"/>
  <c r="H96" i="74"/>
  <c r="H97" i="74" l="1"/>
  <c r="B97" i="74"/>
  <c r="H98" i="74" l="1"/>
  <c r="B98" i="74"/>
  <c r="H99" i="74" l="1"/>
  <c r="B99" i="74"/>
  <c r="B100" i="74" l="1"/>
  <c r="H100" i="74"/>
  <c r="B101" i="74" l="1"/>
  <c r="H101" i="74"/>
  <c r="B102" i="74" l="1"/>
  <c r="H102" i="74"/>
  <c r="B103" i="74" l="1"/>
  <c r="H103" i="74"/>
  <c r="B104" i="74" l="1"/>
  <c r="H104" i="74"/>
  <c r="H105" i="74" l="1"/>
  <c r="B105" i="74"/>
  <c r="H106" i="74" l="1"/>
  <c r="B106" i="74"/>
  <c r="H107" i="74" l="1"/>
  <c r="B107" i="74"/>
  <c r="B108" i="74" l="1"/>
  <c r="H108" i="74"/>
  <c r="B109" i="74" l="1"/>
  <c r="H109" i="74"/>
  <c r="B110" i="74" l="1"/>
  <c r="H110" i="74"/>
  <c r="B111" i="74" l="1"/>
  <c r="H111" i="74"/>
  <c r="H112" i="74" l="1"/>
  <c r="B112" i="74"/>
  <c r="H113" i="74" l="1"/>
  <c r="B113" i="74"/>
  <c r="B114" i="74" l="1"/>
  <c r="H114" i="74"/>
  <c r="H115" i="74" l="1"/>
  <c r="B115" i="74"/>
  <c r="B116" i="74" l="1"/>
  <c r="H116" i="74"/>
  <c r="B117" i="74" l="1"/>
  <c r="H117" i="74"/>
  <c r="B118" i="74" l="1"/>
  <c r="H118" i="74"/>
  <c r="H119" i="74" l="1"/>
  <c r="B119" i="74"/>
  <c r="H120" i="74" l="1"/>
  <c r="B120" i="74"/>
  <c r="B121" i="74" l="1"/>
  <c r="H121" i="74"/>
  <c r="B122" i="74" l="1"/>
  <c r="H122" i="74"/>
  <c r="H123" i="74" l="1"/>
  <c r="B123" i="74"/>
  <c r="H124" i="74" l="1"/>
  <c r="B124" i="74"/>
  <c r="B125" i="74" l="1"/>
  <c r="H125" i="74"/>
  <c r="H126" i="74" l="1"/>
  <c r="B126" i="74"/>
  <c r="H127" i="74" l="1"/>
  <c r="B127" i="74"/>
  <c r="B128" i="74" l="1"/>
  <c r="H128" i="74"/>
  <c r="B129" i="74" l="1"/>
  <c r="H129" i="74"/>
  <c r="H130" i="74" l="1"/>
  <c r="B130" i="74"/>
  <c r="H131" i="74" l="1"/>
  <c r="B131" i="74"/>
  <c r="H132" i="74" l="1"/>
  <c r="B132" i="74"/>
  <c r="B133" i="74" l="1"/>
  <c r="H133" i="74"/>
  <c r="B134" i="74" l="1"/>
  <c r="H134" i="74"/>
  <c r="H135" i="74" l="1"/>
  <c r="B135" i="74"/>
  <c r="B136" i="74" l="1"/>
  <c r="H136" i="74"/>
  <c r="H137" i="74" l="1"/>
  <c r="B137" i="74"/>
  <c r="B138" i="74" l="1"/>
  <c r="H138" i="74"/>
  <c r="B139" i="74" l="1"/>
  <c r="H139" i="74"/>
  <c r="B140" i="74" l="1"/>
  <c r="H140" i="74"/>
  <c r="H141" i="74" l="1"/>
  <c r="B141" i="74"/>
  <c r="B142" i="74" l="1"/>
  <c r="H142" i="74"/>
  <c r="H143" i="74" l="1"/>
  <c r="B143" i="74"/>
  <c r="H144" i="74" l="1"/>
  <c r="B144" i="74"/>
  <c r="H145" i="74" l="1"/>
  <c r="B145" i="74"/>
  <c r="B146" i="74" l="1"/>
  <c r="H146" i="74"/>
  <c r="B147" i="74" l="1"/>
  <c r="H147" i="74"/>
  <c r="H148" i="74" l="1"/>
  <c r="B148" i="74"/>
  <c r="B149" i="74" l="1"/>
  <c r="H149" i="74"/>
  <c r="H150" i="74" l="1"/>
  <c r="B150" i="74"/>
  <c r="H151" i="74" l="1"/>
  <c r="B151" i="74"/>
  <c r="B152" i="74" l="1"/>
  <c r="H152" i="74"/>
  <c r="H153" i="74" l="1"/>
  <c r="B153" i="74"/>
  <c r="B154" i="74" l="1"/>
  <c r="H154" i="74"/>
  <c r="H155" i="74" l="1"/>
  <c r="B155" i="74"/>
  <c r="B156" i="74" l="1"/>
  <c r="H156" i="74"/>
  <c r="B157" i="74" l="1"/>
  <c r="H157" i="74"/>
  <c r="B158" i="74" l="1"/>
  <c r="H158" i="74"/>
  <c r="H159" i="74" l="1"/>
  <c r="B159" i="74"/>
  <c r="H160" i="74" l="1"/>
  <c r="B160" i="74"/>
  <c r="B161" i="74" l="1"/>
  <c r="H161" i="74"/>
  <c r="H162" i="74" l="1"/>
  <c r="B162" i="74"/>
  <c r="H163" i="74" l="1"/>
  <c r="B163" i="74"/>
  <c r="H164" i="74" l="1"/>
  <c r="B164" i="74"/>
  <c r="H165" i="74" l="1"/>
  <c r="B165" i="74"/>
  <c r="H166" i="74" l="1"/>
  <c r="B166" i="74"/>
  <c r="B167" i="74" l="1"/>
  <c r="H167" i="74"/>
  <c r="H168" i="74" l="1"/>
  <c r="B168" i="74"/>
  <c r="H169" i="74" l="1"/>
  <c r="B169" i="74"/>
  <c r="H170" i="74" l="1"/>
  <c r="B170" i="74"/>
  <c r="H171" i="74" l="1"/>
  <c r="B171" i="74"/>
  <c r="H172" i="74" l="1"/>
  <c r="B172" i="74"/>
  <c r="H173" i="74" l="1"/>
  <c r="B173" i="74"/>
  <c r="B174" i="74" l="1"/>
  <c r="H174" i="74"/>
  <c r="B175" i="74" l="1"/>
  <c r="H175" i="74"/>
  <c r="H176" i="74" l="1"/>
  <c r="B176" i="74"/>
  <c r="H177" i="74" l="1"/>
  <c r="B177" i="74"/>
  <c r="H178" i="74" l="1"/>
  <c r="B178" i="74"/>
  <c r="H179" i="74" l="1"/>
  <c r="B179" i="74"/>
  <c r="B180" i="74" l="1"/>
  <c r="H180" i="74"/>
  <c r="H181" i="74" l="1"/>
  <c r="B181" i="74"/>
  <c r="B182" i="74" l="1"/>
  <c r="H182" i="74"/>
  <c r="H183" i="74" l="1"/>
  <c r="B183" i="74"/>
  <c r="B184" i="74" l="1"/>
  <c r="H184" i="74"/>
  <c r="B185" i="74" l="1"/>
  <c r="H185" i="74"/>
  <c r="B186" i="74" l="1"/>
  <c r="H186" i="74"/>
  <c r="B187" i="74" l="1"/>
  <c r="H187" i="74"/>
  <c r="B188" i="74" l="1"/>
  <c r="H188" i="74"/>
  <c r="B189" i="74" l="1"/>
  <c r="H189" i="74"/>
  <c r="H190" i="74" l="1"/>
  <c r="B190" i="74"/>
  <c r="B191" i="74" l="1"/>
  <c r="H191" i="74"/>
  <c r="B192" i="74" l="1"/>
  <c r="H192" i="74"/>
  <c r="B193" i="74" l="1"/>
  <c r="H193" i="74"/>
  <c r="B194" i="74" l="1"/>
  <c r="H194" i="74"/>
  <c r="B195" i="74" l="1"/>
  <c r="H195" i="74"/>
  <c r="H196" i="74" l="1"/>
  <c r="B196" i="74"/>
  <c r="B197" i="74" l="1"/>
  <c r="H197" i="74"/>
  <c r="B198" i="74" l="1"/>
  <c r="H198" i="74"/>
  <c r="H199" i="74" l="1"/>
  <c r="B199" i="74"/>
  <c r="B200" i="74" l="1"/>
  <c r="H200" i="74"/>
  <c r="B201" i="74" l="1"/>
  <c r="H201" i="74"/>
  <c r="H202" i="74" l="1"/>
  <c r="B202" i="74"/>
  <c r="H203" i="74" l="1"/>
  <c r="B203" i="74"/>
  <c r="B204" i="74" l="1"/>
  <c r="H204" i="74"/>
  <c r="B205" i="74" l="1"/>
  <c r="H205" i="74"/>
  <c r="B206" i="74" l="1"/>
  <c r="H206" i="74"/>
  <c r="H207" i="74" l="1"/>
  <c r="B207" i="74"/>
  <c r="H208" i="74" l="1"/>
  <c r="B208" i="74"/>
  <c r="B209" i="74" l="1"/>
  <c r="H209" i="74"/>
  <c r="H210" i="74" l="1"/>
  <c r="B210" i="74"/>
  <c r="B211" i="74" l="1"/>
  <c r="H211" i="74"/>
  <c r="B212" i="74" l="1"/>
  <c r="H212" i="74"/>
  <c r="H213" i="74" l="1"/>
  <c r="B213" i="74"/>
  <c r="B214" i="74" l="1"/>
  <c r="H214" i="74"/>
  <c r="B215" i="74" l="1"/>
  <c r="H215" i="74"/>
  <c r="B216" i="74" l="1"/>
  <c r="H216" i="74"/>
  <c r="B217" i="74" l="1"/>
  <c r="H217" i="74"/>
  <c r="H218" i="74" l="1"/>
  <c r="B218" i="74"/>
  <c r="B219" i="74" l="1"/>
  <c r="H219" i="74"/>
  <c r="H220" i="74" l="1"/>
  <c r="B220" i="74"/>
  <c r="H221" i="74" l="1"/>
  <c r="B221" i="74"/>
  <c r="B222" i="74" l="1"/>
  <c r="H222" i="74"/>
  <c r="H223" i="74" l="1"/>
  <c r="B223" i="74"/>
  <c r="H224" i="74" l="1"/>
  <c r="B224" i="74"/>
  <c r="B225" i="74" l="1"/>
  <c r="H225" i="74"/>
  <c r="B226" i="74" l="1"/>
  <c r="H226" i="74"/>
  <c r="B227" i="74" l="1"/>
  <c r="H227" i="74"/>
  <c r="H228" i="74" l="1"/>
  <c r="B228" i="74"/>
  <c r="B229" i="74" l="1"/>
  <c r="H229" i="74"/>
  <c r="B230" i="74" l="1"/>
  <c r="H230" i="74"/>
  <c r="H231" i="74" l="1"/>
  <c r="B231" i="74"/>
  <c r="B232" i="74" l="1"/>
  <c r="H232" i="74"/>
  <c r="H233" i="74" l="1"/>
  <c r="B233" i="74"/>
  <c r="H234" i="74" l="1"/>
  <c r="B234" i="74"/>
  <c r="B235" i="74" l="1"/>
  <c r="H235" i="74"/>
  <c r="B236" i="74" l="1"/>
  <c r="H236" i="74"/>
  <c r="B237" i="74" l="1"/>
  <c r="H237" i="74"/>
  <c r="H238" i="74" l="1"/>
  <c r="B238" i="74"/>
  <c r="B239" i="74" l="1"/>
  <c r="H239" i="74"/>
  <c r="H240" i="74" l="1"/>
  <c r="B240" i="74"/>
  <c r="B241" i="74" l="1"/>
  <c r="H241" i="74"/>
  <c r="B242" i="74" l="1"/>
  <c r="H242" i="74"/>
  <c r="B243" i="74" l="1"/>
  <c r="H243" i="74"/>
  <c r="H244" i="74" l="1"/>
  <c r="B244" i="74"/>
  <c r="B245" i="74" l="1"/>
  <c r="H245" i="74"/>
  <c r="B246" i="74" l="1"/>
  <c r="H246" i="74"/>
  <c r="B247" i="74" l="1"/>
  <c r="H247" i="74"/>
  <c r="B248" i="74" l="1"/>
  <c r="H248" i="74"/>
  <c r="H249" i="74" l="1"/>
  <c r="B249" i="74"/>
  <c r="H250" i="74" l="1"/>
  <c r="B250" i="74"/>
  <c r="B251" i="74" l="1"/>
  <c r="H251" i="74"/>
  <c r="H252" i="74" l="1"/>
  <c r="B252" i="74"/>
  <c r="H253" i="74" l="1"/>
  <c r="B253" i="74"/>
  <c r="B254" i="74" l="1"/>
  <c r="H254" i="74"/>
  <c r="B255" i="74" l="1"/>
  <c r="H255" i="74"/>
  <c r="B256" i="74" l="1"/>
  <c r="H256" i="74"/>
  <c r="H257" i="74" l="1"/>
  <c r="B257" i="74"/>
  <c r="B258" i="74" l="1"/>
  <c r="H258" i="74"/>
  <c r="H259" i="74" l="1"/>
  <c r="B259" i="74"/>
  <c r="H260" i="74" l="1"/>
  <c r="B260" i="74"/>
  <c r="H261" i="74" l="1"/>
  <c r="B261" i="74"/>
  <c r="B262" i="74" l="1"/>
  <c r="H262" i="74"/>
  <c r="H263" i="74" l="1"/>
  <c r="B263" i="74"/>
  <c r="H264" i="74" l="1"/>
  <c r="B264" i="74"/>
  <c r="H265" i="74" l="1"/>
  <c r="B265" i="74"/>
  <c r="B266" i="74" l="1"/>
  <c r="H266" i="74"/>
  <c r="B267" i="74" l="1"/>
  <c r="H267" i="74"/>
  <c r="H268" i="74" l="1"/>
  <c r="B268" i="74"/>
  <c r="B269" i="74" l="1"/>
  <c r="H269" i="74"/>
  <c r="H270" i="74" l="1"/>
  <c r="B270" i="74"/>
  <c r="B271" i="74" l="1"/>
  <c r="H271" i="74"/>
  <c r="B272" i="74" l="1"/>
  <c r="H272" i="74"/>
  <c r="B273" i="74" l="1"/>
  <c r="H273" i="74"/>
  <c r="H274" i="74" l="1"/>
  <c r="B274" i="74"/>
  <c r="B275" i="74" l="1"/>
  <c r="H275" i="74"/>
  <c r="H276" i="74" l="1"/>
  <c r="B276" i="74"/>
  <c r="H277" i="74" l="1"/>
  <c r="B277" i="74"/>
  <c r="B278" i="74" l="1"/>
  <c r="H278" i="74"/>
  <c r="H279" i="74" l="1"/>
  <c r="B279" i="74"/>
  <c r="B280" i="74" l="1"/>
  <c r="H280" i="74"/>
  <c r="B281" i="74" l="1"/>
  <c r="H281" i="74"/>
  <c r="B282" i="74" l="1"/>
  <c r="H282" i="74"/>
  <c r="H283" i="74" l="1"/>
  <c r="B283" i="74"/>
  <c r="H284" i="74" l="1"/>
  <c r="B284" i="74"/>
  <c r="B285" i="74" l="1"/>
  <c r="H285" i="74"/>
  <c r="B286" i="74" l="1"/>
  <c r="H286" i="74"/>
  <c r="B287" i="74" l="1"/>
  <c r="H287" i="74"/>
  <c r="H288" i="74" l="1"/>
  <c r="B288" i="74"/>
  <c r="H289" i="74" l="1"/>
  <c r="B289" i="74"/>
  <c r="H290" i="74" l="1"/>
  <c r="B290" i="74"/>
  <c r="H291" i="74" l="1"/>
  <c r="B291" i="74"/>
  <c r="B292" i="74" l="1"/>
  <c r="H292" i="74"/>
  <c r="H293" i="74" l="1"/>
  <c r="B293" i="74"/>
  <c r="H294" i="74" l="1"/>
  <c r="B294" i="74"/>
  <c r="B295" i="74" l="1"/>
  <c r="H295" i="74"/>
  <c r="H296" i="74" l="1"/>
  <c r="B296" i="74"/>
  <c r="H297" i="74" l="1"/>
  <c r="B297" i="74"/>
  <c r="B298" i="74" l="1"/>
  <c r="H298" i="74"/>
  <c r="B299" i="74" l="1"/>
  <c r="H299" i="74"/>
  <c r="B300" i="74" l="1"/>
  <c r="H300" i="74"/>
  <c r="H301" i="74" l="1"/>
  <c r="B301" i="74"/>
  <c r="B302" i="74" l="1"/>
  <c r="H302" i="74"/>
  <c r="B303" i="74" l="1"/>
  <c r="H303" i="74"/>
  <c r="B304" i="74" l="1"/>
  <c r="H304" i="74"/>
  <c r="B305" i="74" l="1"/>
  <c r="H305" i="74"/>
  <c r="H306" i="74" l="1"/>
  <c r="B306" i="74"/>
  <c r="H307" i="74" l="1"/>
  <c r="B307" i="74"/>
  <c r="H308" i="74" l="1"/>
  <c r="B308" i="74"/>
  <c r="B309" i="74" l="1"/>
  <c r="H309" i="74"/>
  <c r="B310" i="74" l="1"/>
  <c r="H310" i="74"/>
  <c r="B311" i="74" l="1"/>
  <c r="H311" i="74"/>
  <c r="H312" i="74" l="1"/>
  <c r="B312" i="74"/>
  <c r="B313" i="74" l="1"/>
  <c r="H313" i="74"/>
  <c r="H314" i="74" l="1"/>
  <c r="B314" i="74"/>
  <c r="H315" i="74" l="1"/>
  <c r="B315" i="74"/>
  <c r="H316" i="74" l="1"/>
  <c r="B316" i="74"/>
  <c r="H317" i="74" l="1"/>
  <c r="B317" i="74"/>
  <c r="H318" i="74" l="1"/>
  <c r="B318" i="74"/>
  <c r="B319" i="74" l="1"/>
  <c r="H319" i="74"/>
  <c r="B320" i="74" l="1"/>
  <c r="H320" i="74"/>
  <c r="H321" i="74" l="1"/>
  <c r="B321" i="74"/>
  <c r="H322" i="74" l="1"/>
  <c r="B322" i="74"/>
  <c r="B323" i="74" l="1"/>
  <c r="H323" i="74"/>
  <c r="B324" i="74" l="1"/>
  <c r="H324" i="74"/>
  <c r="B325" i="74" l="1"/>
  <c r="H325" i="74"/>
  <c r="H326" i="74" l="1"/>
  <c r="B326" i="74"/>
  <c r="H327" i="74" l="1"/>
  <c r="B327" i="74"/>
  <c r="H328" i="74" l="1"/>
  <c r="B328" i="74"/>
  <c r="H329" i="74" l="1"/>
  <c r="B329" i="74"/>
  <c r="H330" i="74" l="1"/>
  <c r="B330" i="74"/>
  <c r="B331" i="74" l="1"/>
  <c r="H331" i="74"/>
  <c r="H332" i="74" l="1"/>
  <c r="B332" i="74"/>
  <c r="H333" i="74" l="1"/>
  <c r="B333" i="74"/>
  <c r="H334" i="74" l="1"/>
  <c r="B334" i="74"/>
  <c r="B335" i="74" l="1"/>
  <c r="H335" i="74"/>
  <c r="H336" i="74" l="1"/>
  <c r="B336" i="74"/>
  <c r="B337" i="74" l="1"/>
  <c r="H337" i="74"/>
  <c r="H338" i="74" l="1"/>
  <c r="B338" i="74"/>
  <c r="H339" i="74" l="1"/>
  <c r="B339" i="74"/>
  <c r="B340" i="74" l="1"/>
  <c r="H340" i="74"/>
  <c r="B341" i="74" l="1"/>
  <c r="H341" i="74"/>
  <c r="B342" i="74" l="1"/>
  <c r="H342" i="74"/>
  <c r="B343" i="74" l="1"/>
  <c r="H343" i="74"/>
  <c r="H344" i="74" l="1"/>
  <c r="B344" i="74"/>
  <c r="B345" i="74" l="1"/>
  <c r="H345" i="74"/>
  <c r="H346" i="74" l="1"/>
  <c r="B346" i="74"/>
  <c r="B347" i="74" l="1"/>
  <c r="H347" i="74"/>
  <c r="B348" i="74" l="1"/>
  <c r="H348" i="74"/>
  <c r="H349" i="74" l="1"/>
  <c r="B349" i="74"/>
  <c r="H350" i="74" l="1"/>
  <c r="B350" i="74"/>
  <c r="H351" i="74" l="1"/>
  <c r="B351" i="74"/>
  <c r="B352" i="74" l="1"/>
  <c r="H352" i="74"/>
  <c r="B353" i="74" l="1"/>
  <c r="H353" i="74"/>
  <c r="B354" i="74" l="1"/>
  <c r="H354" i="74"/>
  <c r="B355" i="74" l="1"/>
  <c r="H355" i="74"/>
  <c r="B356" i="74" l="1"/>
  <c r="H356" i="74"/>
  <c r="B357" i="74" l="1"/>
  <c r="H357" i="74"/>
  <c r="H358" i="74" l="1"/>
  <c r="B358" i="74"/>
  <c r="B359" i="74" l="1"/>
  <c r="H359" i="74"/>
  <c r="B360" i="74" l="1"/>
  <c r="H360" i="74"/>
  <c r="B361" i="74" l="1"/>
  <c r="H361" i="74"/>
  <c r="B362" i="74" l="1"/>
  <c r="H362" i="74"/>
  <c r="B363" i="74" l="1"/>
  <c r="H363" i="74"/>
  <c r="B364" i="74" l="1"/>
  <c r="H364" i="74"/>
  <c r="H365" i="74" l="1"/>
  <c r="B365" i="74"/>
  <c r="B366" i="74" l="1"/>
  <c r="H366" i="74"/>
  <c r="H367" i="74" l="1"/>
  <c r="B367" i="74"/>
  <c r="B368" i="74" l="1"/>
  <c r="H368" i="74"/>
  <c r="H369" i="74" l="1"/>
  <c r="B369" i="74"/>
  <c r="B370" i="74" l="1"/>
  <c r="H370" i="74"/>
  <c r="B371" i="74" l="1"/>
  <c r="H371" i="74"/>
  <c r="B372" i="74" l="1"/>
  <c r="H372" i="74"/>
  <c r="H373" i="74" l="1"/>
  <c r="B373" i="74"/>
  <c r="B374" i="74" l="1"/>
  <c r="H374" i="74"/>
  <c r="B375" i="74" l="1"/>
  <c r="H375" i="74"/>
  <c r="H376" i="74" l="1"/>
  <c r="B376" i="74"/>
  <c r="H377" i="74" l="1"/>
  <c r="B377" i="74"/>
  <c r="B378" i="74" l="1"/>
  <c r="H378" i="74"/>
  <c r="B379" i="74" l="1"/>
  <c r="H379" i="74"/>
  <c r="H380" i="74" l="1"/>
  <c r="B380" i="74"/>
  <c r="H381" i="74" l="1"/>
  <c r="B381" i="74"/>
  <c r="H382" i="74" l="1"/>
  <c r="B382" i="74"/>
  <c r="H383" i="74" l="1"/>
  <c r="B383" i="74"/>
  <c r="H384" i="74" l="1"/>
  <c r="B384" i="74"/>
  <c r="B385" i="74" l="1"/>
  <c r="H385" i="74"/>
  <c r="H386" i="74" l="1"/>
  <c r="B386" i="74"/>
  <c r="B387" i="74" l="1"/>
  <c r="H387" i="74"/>
  <c r="H388" i="74" l="1"/>
  <c r="B388" i="74"/>
  <c r="H389" i="74" l="1"/>
  <c r="B389" i="74"/>
  <c r="B390" i="74" l="1"/>
  <c r="H390" i="74"/>
  <c r="B391" i="74" l="1"/>
  <c r="H391" i="74"/>
  <c r="H392" i="74" l="1"/>
  <c r="B392" i="74"/>
  <c r="H393" i="74" l="1"/>
  <c r="B393" i="74"/>
  <c r="H394" i="74" l="1"/>
  <c r="B394" i="74"/>
  <c r="H395" i="74" l="1"/>
  <c r="B395" i="74"/>
  <c r="H396" i="74" l="1"/>
  <c r="B396" i="74"/>
  <c r="H397" i="74" l="1"/>
  <c r="B397" i="74"/>
  <c r="H398" i="74" l="1"/>
  <c r="B398" i="74"/>
  <c r="B399" i="74" l="1"/>
  <c r="H399" i="74"/>
  <c r="B400" i="74" l="1"/>
  <c r="H400" i="74"/>
  <c r="B401" i="74" l="1"/>
  <c r="H401" i="74"/>
  <c r="B402" i="74" l="1"/>
  <c r="H402" i="74"/>
  <c r="B403" i="74" l="1"/>
  <c r="H403" i="74"/>
  <c r="B404" i="74" l="1"/>
  <c r="H404" i="74"/>
  <c r="H405" i="74" l="1"/>
  <c r="B405" i="74"/>
  <c r="B406" i="74" l="1"/>
  <c r="H406" i="74"/>
  <c r="B407" i="74" l="1"/>
  <c r="H407" i="74"/>
  <c r="H408" i="74" l="1"/>
  <c r="H42" i="74" s="1"/>
  <c r="I408" i="74"/>
  <c r="B408" i="74"/>
  <c r="G408" i="74"/>
  <c r="D32" i="76" l="1"/>
  <c r="F24" i="76"/>
  <c r="F32" i="76" s="1"/>
  <c r="C13" i="69" l="1"/>
  <c r="E66" i="56"/>
  <c r="I24" i="16" l="1"/>
  <c r="I23" i="16" s="1"/>
  <c r="H24" i="16" l="1"/>
  <c r="H23" i="16" s="1"/>
  <c r="I36" i="16"/>
  <c r="E42" i="76"/>
  <c r="E43" i="76" s="1"/>
  <c r="J24" i="16" l="1"/>
  <c r="F90" i="56"/>
  <c r="E44" i="76"/>
  <c r="E45" i="76" s="1"/>
  <c r="J23" i="16"/>
  <c r="J36" i="16" s="1"/>
  <c r="D42" i="76"/>
  <c r="H36" i="16"/>
  <c r="F42" i="76" l="1"/>
  <c r="F43" i="76" s="1"/>
  <c r="D43" i="76"/>
  <c r="F91" i="56"/>
  <c r="E90" i="56" l="1"/>
  <c r="D44" i="76"/>
  <c r="C14" i="69"/>
  <c r="F44" i="76"/>
  <c r="C15" i="69" l="1"/>
  <c r="E91" i="56"/>
  <c r="E96" i="6" l="1"/>
  <c r="D93" i="6"/>
  <c r="L24" i="34" l="1"/>
  <c r="D90" i="6"/>
  <c r="D96" i="6" s="1"/>
  <c r="N24" i="34" l="1"/>
  <c r="Q24" i="34" l="1"/>
  <c r="D117" i="6" l="1"/>
  <c r="G16" i="59" l="1"/>
  <c r="E120" i="6"/>
  <c r="D114" i="6" l="1"/>
  <c r="D120" i="6" s="1"/>
  <c r="K67" i="34"/>
  <c r="M67" i="34" s="1"/>
  <c r="P67" i="34" s="1"/>
  <c r="E112" i="6" l="1"/>
  <c r="I37" i="76" l="1"/>
  <c r="N84" i="34"/>
  <c r="D109" i="6"/>
  <c r="I78" i="56" l="1"/>
  <c r="I75" i="56" s="1"/>
  <c r="K75" i="56" s="1"/>
  <c r="G15" i="59"/>
  <c r="G47" i="59" s="1"/>
  <c r="I69" i="56" l="1"/>
  <c r="K69" i="56" s="1"/>
  <c r="I74" i="56"/>
  <c r="K74" i="56" s="1"/>
  <c r="I73" i="56"/>
  <c r="K73" i="56" s="1"/>
  <c r="I71" i="56"/>
  <c r="K71" i="56" s="1"/>
  <c r="I76" i="56"/>
  <c r="K76" i="56" s="1"/>
  <c r="I70" i="56"/>
  <c r="K70" i="56" s="1"/>
  <c r="I68" i="56"/>
  <c r="K68" i="56" s="1"/>
  <c r="K66" i="34"/>
  <c r="M66" i="34" s="1"/>
  <c r="I77" i="56"/>
  <c r="K77" i="56" s="1"/>
  <c r="I72" i="56"/>
  <c r="K72" i="56" s="1"/>
  <c r="D106" i="6"/>
  <c r="D112" i="6" s="1"/>
  <c r="G84" i="34"/>
  <c r="K84" i="34" l="1"/>
  <c r="K78" i="56"/>
  <c r="P66" i="34"/>
  <c r="M84" i="34"/>
  <c r="P84" i="34" l="1"/>
  <c r="E124" i="6" l="1"/>
  <c r="F23" i="34"/>
  <c r="F15" i="34"/>
  <c r="F17" i="34"/>
  <c r="F18" i="34"/>
  <c r="F21" i="34"/>
  <c r="F20" i="34"/>
  <c r="D45" i="6"/>
  <c r="D53" i="6" l="1"/>
  <c r="D77" i="6"/>
  <c r="D84" i="6"/>
  <c r="D37" i="6"/>
  <c r="D36" i="6"/>
  <c r="D28" i="6"/>
  <c r="D29" i="6"/>
  <c r="D61" i="6"/>
  <c r="D52" i="6" l="1"/>
  <c r="D87" i="6"/>
  <c r="D79" i="6"/>
  <c r="D69" i="6"/>
  <c r="D40" i="6"/>
  <c r="D64" i="6"/>
  <c r="D76" i="6"/>
  <c r="D48" i="6"/>
  <c r="D83" i="6"/>
  <c r="D56" i="6"/>
  <c r="D44" i="6"/>
  <c r="D20" i="6"/>
  <c r="D32" i="6"/>
  <c r="J59" i="34" l="1"/>
  <c r="E80" i="6"/>
  <c r="D60" i="6"/>
  <c r="D24" i="6"/>
  <c r="D124" i="6" l="1"/>
  <c r="D68" i="6"/>
  <c r="D75" i="6"/>
  <c r="D80" i="6" s="1"/>
  <c r="L22" i="34"/>
  <c r="N22" i="34" s="1"/>
  <c r="D30" i="6"/>
  <c r="P59" i="34"/>
  <c r="E33" i="6" l="1"/>
  <c r="E21" i="6"/>
  <c r="L17" i="34"/>
  <c r="N17" i="34" s="1"/>
  <c r="E73" i="6"/>
  <c r="D72" i="6"/>
  <c r="K59" i="34"/>
  <c r="D43" i="6"/>
  <c r="L18" i="34"/>
  <c r="N18" i="34" s="1"/>
  <c r="D46" i="6"/>
  <c r="Q22" i="34"/>
  <c r="D70" i="6"/>
  <c r="D59" i="6"/>
  <c r="L20" i="34"/>
  <c r="N20" i="34" s="1"/>
  <c r="D19" i="6"/>
  <c r="I59" i="34"/>
  <c r="D54" i="6"/>
  <c r="D85" i="6"/>
  <c r="L19" i="34"/>
  <c r="N19" i="34" s="1"/>
  <c r="D51" i="6"/>
  <c r="D38" i="6"/>
  <c r="D62" i="6"/>
  <c r="E88" i="6" l="1"/>
  <c r="E65" i="6"/>
  <c r="E41" i="6"/>
  <c r="E25" i="6"/>
  <c r="E49" i="6"/>
  <c r="D35" i="6"/>
  <c r="D41" i="6" s="1"/>
  <c r="E57" i="6"/>
  <c r="L16" i="34"/>
  <c r="N16" i="34" s="1"/>
  <c r="Q16" i="34" s="1"/>
  <c r="Q17" i="34"/>
  <c r="Q19" i="34"/>
  <c r="D57" i="6"/>
  <c r="D67" i="6"/>
  <c r="D73" i="6" s="1"/>
  <c r="L21" i="34"/>
  <c r="N21" i="34" s="1"/>
  <c r="Q21" i="34" s="1"/>
  <c r="D82" i="6"/>
  <c r="D88" i="6" s="1"/>
  <c r="L23" i="34"/>
  <c r="N23" i="34" s="1"/>
  <c r="Q23" i="34" s="1"/>
  <c r="Q18" i="34"/>
  <c r="D49" i="6"/>
  <c r="Q20" i="34"/>
  <c r="D65" i="6"/>
  <c r="D22" i="6"/>
  <c r="O59" i="34"/>
  <c r="D18" i="6"/>
  <c r="D21" i="6" s="1"/>
  <c r="L15" i="34"/>
  <c r="E103" i="6" l="1"/>
  <c r="E125" i="6" s="1"/>
  <c r="D27" i="6"/>
  <c r="D33" i="6" s="1"/>
  <c r="H59" i="34"/>
  <c r="I27" i="76"/>
  <c r="D25" i="6"/>
  <c r="N15" i="34"/>
  <c r="L59" i="34"/>
  <c r="I31" i="76" l="1"/>
  <c r="D103" i="6"/>
  <c r="D125" i="6" s="1"/>
  <c r="I25" i="76"/>
  <c r="Q15" i="34"/>
  <c r="Q59" i="34" s="1"/>
  <c r="N59" i="34"/>
  <c r="G32" i="76" l="1"/>
  <c r="I66" i="56" s="1"/>
  <c r="I32" i="76"/>
  <c r="C20" i="69"/>
  <c r="I58" i="56" l="1"/>
  <c r="K58" i="56" s="1"/>
  <c r="I61" i="56"/>
  <c r="K61" i="56" s="1"/>
  <c r="I59" i="56"/>
  <c r="K59" i="56" s="1"/>
  <c r="I62" i="56"/>
  <c r="K62" i="56" s="1"/>
  <c r="I64" i="56"/>
  <c r="K64" i="56" s="1"/>
  <c r="I63" i="56"/>
  <c r="K63" i="56" s="1"/>
  <c r="I65" i="56"/>
  <c r="K65" i="56" s="1"/>
  <c r="I57" i="56"/>
  <c r="K57" i="56" s="1"/>
  <c r="I56" i="56"/>
  <c r="K56" i="56" s="1"/>
  <c r="I60" i="56"/>
  <c r="K60" i="56" s="1"/>
  <c r="K66" i="56" l="1"/>
  <c r="I42" i="76" l="1"/>
  <c r="I43" i="76" s="1"/>
  <c r="I44" i="76" s="1"/>
  <c r="I45" i="76" s="1"/>
  <c r="G43" i="76" l="1"/>
  <c r="I90" i="56" s="1"/>
  <c r="G44" i="76" l="1"/>
  <c r="G45" i="76" s="1"/>
  <c r="I81" i="56"/>
  <c r="K81" i="56" s="1"/>
  <c r="I83" i="56"/>
  <c r="K83" i="56" s="1"/>
  <c r="I82" i="56"/>
  <c r="K82" i="56" s="1"/>
  <c r="I85" i="56"/>
  <c r="K85" i="56" s="1"/>
  <c r="I84" i="56"/>
  <c r="K84" i="56" s="1"/>
  <c r="I86" i="56"/>
  <c r="K86" i="56" s="1"/>
  <c r="I87" i="56"/>
  <c r="K87" i="56" s="1"/>
  <c r="I88" i="56"/>
  <c r="K88" i="56" s="1"/>
  <c r="I89" i="56"/>
  <c r="K89" i="56" s="1"/>
  <c r="I80" i="56"/>
  <c r="K80" i="56" s="1"/>
  <c r="I91" i="56"/>
  <c r="K90" i="56" l="1"/>
  <c r="K91" i="56" s="1"/>
  <c r="D18" i="76" l="1"/>
  <c r="F13" i="76"/>
  <c r="F18" i="76" s="1"/>
  <c r="C92" i="80"/>
  <c r="C116" i="80"/>
  <c r="F13" i="56"/>
  <c r="C104" i="80"/>
  <c r="F104" i="80" s="1"/>
  <c r="E64" i="80" s="1"/>
  <c r="E68" i="56"/>
  <c r="D104" i="80"/>
  <c r="G104" i="80" s="1"/>
  <c r="F64" i="80" s="1"/>
  <c r="D92" i="80"/>
  <c r="F68" i="56"/>
  <c r="E80" i="56"/>
  <c r="F80" i="56"/>
  <c r="F56" i="56"/>
  <c r="D79" i="80"/>
  <c r="G79" i="80" s="1"/>
  <c r="D64" i="80" s="1"/>
  <c r="C79" i="80"/>
  <c r="F79" i="80" s="1"/>
  <c r="C64" i="80" s="1"/>
  <c r="E56" i="56"/>
  <c r="G56" i="56" l="1"/>
  <c r="D90" i="56"/>
  <c r="C87" i="80"/>
  <c r="F87" i="80" s="1"/>
  <c r="C72" i="80" s="1"/>
  <c r="D87" i="80"/>
  <c r="G87" i="80" s="1"/>
  <c r="D72" i="80" s="1"/>
  <c r="F64" i="56"/>
  <c r="E64" i="56"/>
  <c r="C113" i="80"/>
  <c r="F113" i="80" s="1"/>
  <c r="E73" i="80" s="1"/>
  <c r="E77" i="56"/>
  <c r="D113" i="80"/>
  <c r="G113" i="80" s="1"/>
  <c r="F73" i="80" s="1"/>
  <c r="F77" i="56"/>
  <c r="D101" i="80"/>
  <c r="F21" i="56"/>
  <c r="F20" i="56"/>
  <c r="E71" i="56"/>
  <c r="F71" i="56"/>
  <c r="C107" i="80"/>
  <c r="F107" i="80" s="1"/>
  <c r="E67" i="80" s="1"/>
  <c r="D95" i="80"/>
  <c r="D107" i="80"/>
  <c r="G107" i="80" s="1"/>
  <c r="F67" i="80" s="1"/>
  <c r="E83" i="56"/>
  <c r="F83" i="56"/>
  <c r="D38" i="80"/>
  <c r="D37" i="80"/>
  <c r="F87" i="56"/>
  <c r="E87" i="56"/>
  <c r="C95" i="80"/>
  <c r="C119" i="80"/>
  <c r="F16" i="56"/>
  <c r="E23" i="56"/>
  <c r="E16" i="56" s="1"/>
  <c r="D22" i="76"/>
  <c r="D45" i="76" s="1"/>
  <c r="C124" i="80"/>
  <c r="C100" i="80"/>
  <c r="F22" i="56"/>
  <c r="G80" i="56"/>
  <c r="E89" i="56"/>
  <c r="F89" i="56"/>
  <c r="D88" i="80"/>
  <c r="G88" i="80" s="1"/>
  <c r="D73" i="80" s="1"/>
  <c r="F65" i="56"/>
  <c r="E65" i="56"/>
  <c r="C88" i="80"/>
  <c r="F88" i="80" s="1"/>
  <c r="C73" i="80" s="1"/>
  <c r="C85" i="80"/>
  <c r="F85" i="80" s="1"/>
  <c r="C70" i="80" s="1"/>
  <c r="D85" i="80"/>
  <c r="G85" i="80" s="1"/>
  <c r="D70" i="80" s="1"/>
  <c r="E62" i="56"/>
  <c r="F62" i="56"/>
  <c r="E75" i="56"/>
  <c r="D111" i="80"/>
  <c r="G111" i="80" s="1"/>
  <c r="F71" i="80" s="1"/>
  <c r="D99" i="80"/>
  <c r="F75" i="56"/>
  <c r="C111" i="80"/>
  <c r="F111" i="80" s="1"/>
  <c r="E71" i="80" s="1"/>
  <c r="E76" i="56"/>
  <c r="D112" i="80"/>
  <c r="G112" i="80" s="1"/>
  <c r="F72" i="80" s="1"/>
  <c r="C112" i="80"/>
  <c r="F112" i="80" s="1"/>
  <c r="E72" i="80" s="1"/>
  <c r="F76" i="56"/>
  <c r="D100" i="80"/>
  <c r="C125" i="80"/>
  <c r="C101" i="80"/>
  <c r="D78" i="56"/>
  <c r="F74" i="56"/>
  <c r="D98" i="80"/>
  <c r="D110" i="80"/>
  <c r="G110" i="80" s="1"/>
  <c r="F70" i="80" s="1"/>
  <c r="C110" i="80"/>
  <c r="F110" i="80" s="1"/>
  <c r="E70" i="80" s="1"/>
  <c r="E74" i="56"/>
  <c r="F85" i="56"/>
  <c r="E85" i="56"/>
  <c r="F88" i="56"/>
  <c r="E88" i="56"/>
  <c r="C99" i="80"/>
  <c r="C123" i="80"/>
  <c r="C98" i="80"/>
  <c r="C122" i="80"/>
  <c r="G68" i="56"/>
  <c r="F12" i="5" s="1"/>
  <c r="F19" i="56"/>
  <c r="C86" i="80"/>
  <c r="F86" i="80" s="1"/>
  <c r="C71" i="80" s="1"/>
  <c r="E63" i="56"/>
  <c r="F63" i="56"/>
  <c r="D86" i="80"/>
  <c r="G86" i="80" s="1"/>
  <c r="D71" i="80" s="1"/>
  <c r="D66" i="56"/>
  <c r="C82" i="80"/>
  <c r="F82" i="80" s="1"/>
  <c r="C67" i="80" s="1"/>
  <c r="E59" i="56"/>
  <c r="F59" i="56"/>
  <c r="D82" i="80"/>
  <c r="G82" i="80" s="1"/>
  <c r="D67" i="80" s="1"/>
  <c r="F15" i="56"/>
  <c r="C80" i="80"/>
  <c r="F80" i="80" s="1"/>
  <c r="C65" i="80" s="1"/>
  <c r="F57" i="56"/>
  <c r="E57" i="56"/>
  <c r="D80" i="80"/>
  <c r="G80" i="80" s="1"/>
  <c r="D65" i="80" s="1"/>
  <c r="C118" i="80"/>
  <c r="C94" i="80"/>
  <c r="C121" i="80"/>
  <c r="C97" i="80"/>
  <c r="C117" i="80"/>
  <c r="C93" i="80"/>
  <c r="F58" i="56"/>
  <c r="C81" i="80"/>
  <c r="F81" i="80" s="1"/>
  <c r="C66" i="80" s="1"/>
  <c r="D81" i="80"/>
  <c r="G81" i="80" s="1"/>
  <c r="D66" i="80" s="1"/>
  <c r="E58" i="56"/>
  <c r="E61" i="56"/>
  <c r="D84" i="80"/>
  <c r="G84" i="80" s="1"/>
  <c r="D69" i="80" s="1"/>
  <c r="F61" i="56"/>
  <c r="C84" i="80"/>
  <c r="F84" i="80" s="1"/>
  <c r="C69" i="80" s="1"/>
  <c r="F17" i="56"/>
  <c r="E81" i="56"/>
  <c r="F81" i="56"/>
  <c r="E92" i="80"/>
  <c r="D116" i="80" s="1"/>
  <c r="E116" i="80" s="1"/>
  <c r="G116" i="80" s="1"/>
  <c r="G64" i="80" s="1"/>
  <c r="E38" i="80" s="1"/>
  <c r="C137" i="80"/>
  <c r="C149" i="80"/>
  <c r="F82" i="56"/>
  <c r="E82" i="56"/>
  <c r="E73" i="56"/>
  <c r="D97" i="80"/>
  <c r="C109" i="80"/>
  <c r="F109" i="80" s="1"/>
  <c r="E69" i="80" s="1"/>
  <c r="D109" i="80"/>
  <c r="G109" i="80" s="1"/>
  <c r="F69" i="80" s="1"/>
  <c r="F73" i="56"/>
  <c r="F84" i="56"/>
  <c r="E84" i="56"/>
  <c r="C10" i="69"/>
  <c r="F22" i="76"/>
  <c r="F86" i="56"/>
  <c r="E86" i="56"/>
  <c r="D23" i="56"/>
  <c r="E72" i="56"/>
  <c r="F72" i="56"/>
  <c r="D108" i="80"/>
  <c r="G108" i="80" s="1"/>
  <c r="F68" i="80" s="1"/>
  <c r="C108" i="80"/>
  <c r="F108" i="80" s="1"/>
  <c r="E68" i="80" s="1"/>
  <c r="D96" i="80"/>
  <c r="C106" i="80"/>
  <c r="F106" i="80" s="1"/>
  <c r="E66" i="80" s="1"/>
  <c r="F70" i="56"/>
  <c r="D94" i="80"/>
  <c r="E70" i="56"/>
  <c r="D106" i="80"/>
  <c r="G106" i="80" s="1"/>
  <c r="F66" i="80" s="1"/>
  <c r="C120" i="80"/>
  <c r="C96" i="80"/>
  <c r="F14" i="56"/>
  <c r="E69" i="56"/>
  <c r="D105" i="80"/>
  <c r="G105" i="80" s="1"/>
  <c r="F65" i="80" s="1"/>
  <c r="F69" i="56"/>
  <c r="C105" i="80"/>
  <c r="F105" i="80" s="1"/>
  <c r="E65" i="80" s="1"/>
  <c r="D93" i="80"/>
  <c r="C31" i="80"/>
  <c r="F18" i="56"/>
  <c r="D83" i="80"/>
  <c r="G83" i="80" s="1"/>
  <c r="D68" i="80" s="1"/>
  <c r="C83" i="80"/>
  <c r="F83" i="80" s="1"/>
  <c r="C68" i="80" s="1"/>
  <c r="F60" i="56"/>
  <c r="E60" i="56"/>
  <c r="G64" i="56" l="1"/>
  <c r="G86" i="56"/>
  <c r="G82" i="56"/>
  <c r="G16" i="56"/>
  <c r="D15" i="5" s="1"/>
  <c r="G89" i="56"/>
  <c r="E20" i="56"/>
  <c r="G20" i="56" s="1"/>
  <c r="D19" i="5" s="1"/>
  <c r="G70" i="56"/>
  <c r="G60" i="56"/>
  <c r="G71" i="56"/>
  <c r="G84" i="56"/>
  <c r="G88" i="56"/>
  <c r="G58" i="56"/>
  <c r="G74" i="56"/>
  <c r="E15" i="56"/>
  <c r="G15" i="56" s="1"/>
  <c r="D14" i="5" s="1"/>
  <c r="E48" i="56"/>
  <c r="E13" i="56"/>
  <c r="G13" i="56" s="1"/>
  <c r="E21" i="56"/>
  <c r="G21" i="56" s="1"/>
  <c r="D20" i="5" s="1"/>
  <c r="D56" i="80"/>
  <c r="D55" i="80"/>
  <c r="C152" i="80"/>
  <c r="C140" i="80"/>
  <c r="E95" i="80"/>
  <c r="D119" i="80" s="1"/>
  <c r="E119" i="80" s="1"/>
  <c r="G119" i="80" s="1"/>
  <c r="G67" i="80" s="1"/>
  <c r="E44" i="80" s="1"/>
  <c r="D42" i="80"/>
  <c r="D41" i="80"/>
  <c r="G59" i="56"/>
  <c r="G85" i="56"/>
  <c r="G76" i="56"/>
  <c r="G65" i="56"/>
  <c r="G87" i="56"/>
  <c r="D45" i="80"/>
  <c r="D46" i="80"/>
  <c r="D44" i="80"/>
  <c r="D43" i="80"/>
  <c r="D40" i="80"/>
  <c r="D39" i="80"/>
  <c r="C150" i="80"/>
  <c r="E93" i="80"/>
  <c r="D117" i="80" s="1"/>
  <c r="E117" i="80" s="1"/>
  <c r="G117" i="80" s="1"/>
  <c r="G65" i="80" s="1"/>
  <c r="E40" i="80" s="1"/>
  <c r="C138" i="80"/>
  <c r="G77" i="56"/>
  <c r="D50" i="80"/>
  <c r="D49" i="80"/>
  <c r="F149" i="80"/>
  <c r="I149" i="80" s="1"/>
  <c r="J64" i="80" s="1"/>
  <c r="G149" i="80"/>
  <c r="J149" i="80" s="1"/>
  <c r="K64" i="80" s="1"/>
  <c r="G72" i="56"/>
  <c r="G63" i="56"/>
  <c r="G83" i="56"/>
  <c r="G61" i="56"/>
  <c r="E18" i="56"/>
  <c r="G18" i="56" s="1"/>
  <c r="D17" i="5" s="1"/>
  <c r="C151" i="80"/>
  <c r="C139" i="80"/>
  <c r="E94" i="80"/>
  <c r="D118" i="80" s="1"/>
  <c r="E118" i="80" s="1"/>
  <c r="G118" i="80" s="1"/>
  <c r="G66" i="80" s="1"/>
  <c r="E41" i="80" s="1"/>
  <c r="E22" i="56"/>
  <c r="G22" i="56" s="1"/>
  <c r="D21" i="5" s="1"/>
  <c r="D47" i="80"/>
  <c r="D48" i="80"/>
  <c r="C143" i="80"/>
  <c r="E98" i="80"/>
  <c r="D122" i="80" s="1"/>
  <c r="E122" i="80" s="1"/>
  <c r="G122" i="80" s="1"/>
  <c r="G70" i="80" s="1"/>
  <c r="C155" i="80"/>
  <c r="C156" i="80"/>
  <c r="E99" i="80"/>
  <c r="D123" i="80" s="1"/>
  <c r="E123" i="80" s="1"/>
  <c r="G123" i="80" s="1"/>
  <c r="G71" i="80" s="1"/>
  <c r="C144" i="80"/>
  <c r="C154" i="80"/>
  <c r="C142" i="80"/>
  <c r="E97" i="80"/>
  <c r="D121" i="80" s="1"/>
  <c r="E121" i="80" s="1"/>
  <c r="G121" i="80" s="1"/>
  <c r="G69" i="80" s="1"/>
  <c r="E47" i="80" s="1"/>
  <c r="G69" i="56"/>
  <c r="E14" i="56"/>
  <c r="G14" i="56" s="1"/>
  <c r="D13" i="5" s="1"/>
  <c r="G81" i="56"/>
  <c r="E19" i="56"/>
  <c r="G19" i="56" s="1"/>
  <c r="D18" i="5" s="1"/>
  <c r="E37" i="80"/>
  <c r="G75" i="56"/>
  <c r="E101" i="80"/>
  <c r="D125" i="80" s="1"/>
  <c r="E125" i="80" s="1"/>
  <c r="G125" i="80" s="1"/>
  <c r="G73" i="80" s="1"/>
  <c r="C158" i="80"/>
  <c r="C146" i="80"/>
  <c r="F137" i="80"/>
  <c r="I137" i="80" s="1"/>
  <c r="H64" i="80" s="1"/>
  <c r="G137" i="80"/>
  <c r="J137" i="80" s="1"/>
  <c r="I64" i="80" s="1"/>
  <c r="C153" i="80"/>
  <c r="E96" i="80"/>
  <c r="D120" i="80" s="1"/>
  <c r="E120" i="80" s="1"/>
  <c r="G120" i="80" s="1"/>
  <c r="G68" i="80" s="1"/>
  <c r="C141" i="80"/>
  <c r="C12" i="69"/>
  <c r="F45" i="76"/>
  <c r="C16" i="69" s="1"/>
  <c r="E100" i="80"/>
  <c r="D124" i="80" s="1"/>
  <c r="E124" i="80" s="1"/>
  <c r="G124" i="80" s="1"/>
  <c r="G72" i="80" s="1"/>
  <c r="C145" i="80"/>
  <c r="C157" i="80"/>
  <c r="G73" i="56"/>
  <c r="D51" i="80"/>
  <c r="D52" i="80"/>
  <c r="E17" i="56"/>
  <c r="G17" i="56" s="1"/>
  <c r="D16" i="5" s="1"/>
  <c r="G57" i="56"/>
  <c r="G62" i="56"/>
  <c r="D54" i="80"/>
  <c r="D53" i="80"/>
  <c r="F14" i="5" l="1"/>
  <c r="G14" i="5" s="1"/>
  <c r="F20" i="5"/>
  <c r="G20" i="5" s="1"/>
  <c r="G90" i="56"/>
  <c r="E42" i="80"/>
  <c r="E46" i="80"/>
  <c r="E45" i="80"/>
  <c r="E54" i="80"/>
  <c r="E53" i="80"/>
  <c r="E56" i="80"/>
  <c r="E55" i="80"/>
  <c r="E51" i="80"/>
  <c r="E52" i="80"/>
  <c r="E49" i="80"/>
  <c r="E50" i="80"/>
  <c r="F152" i="80"/>
  <c r="I152" i="80" s="1"/>
  <c r="J67" i="80" s="1"/>
  <c r="G152" i="80"/>
  <c r="J152" i="80" s="1"/>
  <c r="K67" i="80" s="1"/>
  <c r="G144" i="80"/>
  <c r="J144" i="80" s="1"/>
  <c r="I71" i="80" s="1"/>
  <c r="F144" i="80"/>
  <c r="I144" i="80" s="1"/>
  <c r="H71" i="80" s="1"/>
  <c r="E48" i="80"/>
  <c r="G23" i="56"/>
  <c r="G48" i="56" s="1"/>
  <c r="D12" i="5"/>
  <c r="E39" i="80"/>
  <c r="F146" i="80"/>
  <c r="I146" i="80" s="1"/>
  <c r="H73" i="80" s="1"/>
  <c r="G146" i="80"/>
  <c r="J146" i="80" s="1"/>
  <c r="I73" i="80" s="1"/>
  <c r="E43" i="80"/>
  <c r="F21" i="5"/>
  <c r="G21" i="5" s="1"/>
  <c r="G156" i="80"/>
  <c r="J156" i="80" s="1"/>
  <c r="K71" i="80" s="1"/>
  <c r="F156" i="80"/>
  <c r="I156" i="80" s="1"/>
  <c r="J71" i="80" s="1"/>
  <c r="F155" i="80"/>
  <c r="I155" i="80" s="1"/>
  <c r="J70" i="80" s="1"/>
  <c r="G155" i="80"/>
  <c r="J155" i="80" s="1"/>
  <c r="K70" i="80" s="1"/>
  <c r="F157" i="80"/>
  <c r="I157" i="80" s="1"/>
  <c r="J72" i="80" s="1"/>
  <c r="G157" i="80"/>
  <c r="J157" i="80" s="1"/>
  <c r="K72" i="80" s="1"/>
  <c r="G145" i="80"/>
  <c r="J145" i="80" s="1"/>
  <c r="I72" i="80" s="1"/>
  <c r="F145" i="80"/>
  <c r="I145" i="80" s="1"/>
  <c r="H72" i="80" s="1"/>
  <c r="F143" i="80"/>
  <c r="I143" i="80" s="1"/>
  <c r="H70" i="80" s="1"/>
  <c r="G143" i="80"/>
  <c r="J143" i="80" s="1"/>
  <c r="I70" i="80" s="1"/>
  <c r="G141" i="80"/>
  <c r="J141" i="80" s="1"/>
  <c r="I68" i="80" s="1"/>
  <c r="F141" i="80"/>
  <c r="I141" i="80" s="1"/>
  <c r="H68" i="80" s="1"/>
  <c r="F138" i="80"/>
  <c r="I138" i="80" s="1"/>
  <c r="H65" i="80" s="1"/>
  <c r="G138" i="80"/>
  <c r="J138" i="80" s="1"/>
  <c r="I65" i="80" s="1"/>
  <c r="F15" i="5"/>
  <c r="G15" i="5" s="1"/>
  <c r="F16" i="5"/>
  <c r="G16" i="5" s="1"/>
  <c r="F150" i="80"/>
  <c r="I150" i="80" s="1"/>
  <c r="J65" i="80" s="1"/>
  <c r="G150" i="80"/>
  <c r="J150" i="80" s="1"/>
  <c r="K65" i="80" s="1"/>
  <c r="C27" i="69"/>
  <c r="C21" i="69"/>
  <c r="C24" i="69"/>
  <c r="G139" i="80"/>
  <c r="J139" i="80" s="1"/>
  <c r="I66" i="80" s="1"/>
  <c r="F139" i="80"/>
  <c r="I139" i="80" s="1"/>
  <c r="H66" i="80" s="1"/>
  <c r="F18" i="5"/>
  <c r="G18" i="5" s="1"/>
  <c r="G78" i="56"/>
  <c r="F17" i="5"/>
  <c r="G17" i="5" s="1"/>
  <c r="G158" i="80"/>
  <c r="J158" i="80" s="1"/>
  <c r="K73" i="80" s="1"/>
  <c r="F158" i="80"/>
  <c r="I158" i="80" s="1"/>
  <c r="J73" i="80" s="1"/>
  <c r="F19" i="5"/>
  <c r="G19" i="5" s="1"/>
  <c r="F153" i="80"/>
  <c r="I153" i="80" s="1"/>
  <c r="J68" i="80" s="1"/>
  <c r="G153" i="80"/>
  <c r="J153" i="80" s="1"/>
  <c r="K68" i="80" s="1"/>
  <c r="F13" i="5"/>
  <c r="G13" i="5" s="1"/>
  <c r="G66" i="56"/>
  <c r="F38" i="80"/>
  <c r="G38" i="80" s="1"/>
  <c r="D11" i="84" s="1"/>
  <c r="F37" i="80"/>
  <c r="G37" i="80" s="1"/>
  <c r="C11" i="84" s="1"/>
  <c r="F142" i="80"/>
  <c r="I142" i="80" s="1"/>
  <c r="H69" i="80" s="1"/>
  <c r="G142" i="80"/>
  <c r="J142" i="80" s="1"/>
  <c r="I69" i="80" s="1"/>
  <c r="F151" i="80"/>
  <c r="I151" i="80" s="1"/>
  <c r="J66" i="80" s="1"/>
  <c r="G151" i="80"/>
  <c r="J151" i="80" s="1"/>
  <c r="K66" i="80" s="1"/>
  <c r="G154" i="80"/>
  <c r="J154" i="80" s="1"/>
  <c r="K69" i="80" s="1"/>
  <c r="F154" i="80"/>
  <c r="I154" i="80" s="1"/>
  <c r="J69" i="80" s="1"/>
  <c r="F140" i="80"/>
  <c r="I140" i="80" s="1"/>
  <c r="H67" i="80" s="1"/>
  <c r="G140" i="80"/>
  <c r="J140" i="80" s="1"/>
  <c r="I67" i="80" s="1"/>
  <c r="G91" i="56" l="1"/>
  <c r="F43" i="80"/>
  <c r="G43" i="80" s="1"/>
  <c r="C14" i="84" s="1"/>
  <c r="F44" i="80"/>
  <c r="G44" i="80" s="1"/>
  <c r="D14" i="84" s="1"/>
  <c r="D22" i="5" a="1"/>
  <c r="D22" i="5" s="1"/>
  <c r="G12" i="5"/>
  <c r="F56" i="80"/>
  <c r="G56" i="80" s="1"/>
  <c r="D20" i="84" s="1"/>
  <c r="F55" i="80"/>
  <c r="G55" i="80" s="1"/>
  <c r="C20" i="84" s="1"/>
  <c r="F50" i="80"/>
  <c r="G50" i="80" s="1"/>
  <c r="D17" i="84" s="1"/>
  <c r="F49" i="80"/>
  <c r="G49" i="80" s="1"/>
  <c r="C17" i="84" s="1"/>
  <c r="F47" i="80"/>
  <c r="G47" i="80" s="1"/>
  <c r="C16" i="84" s="1"/>
  <c r="F48" i="80"/>
  <c r="G48" i="80" s="1"/>
  <c r="D16" i="84" s="1"/>
  <c r="F39" i="80"/>
  <c r="G39" i="80" s="1"/>
  <c r="C12" i="84" s="1"/>
  <c r="F40" i="80"/>
  <c r="G40" i="80" s="1"/>
  <c r="D12" i="84" s="1"/>
  <c r="F45" i="80"/>
  <c r="G45" i="80" s="1"/>
  <c r="C15" i="84" s="1"/>
  <c r="F46" i="80"/>
  <c r="G46" i="80" s="1"/>
  <c r="D15" i="84" s="1"/>
  <c r="F53" i="80"/>
  <c r="G53" i="80" s="1"/>
  <c r="C19" i="84" s="1"/>
  <c r="F54" i="80"/>
  <c r="G54" i="80" s="1"/>
  <c r="D19" i="84" s="1"/>
  <c r="F22" i="5" a="1"/>
  <c r="F22" i="5" s="1"/>
  <c r="F42" i="80"/>
  <c r="G42" i="80" s="1"/>
  <c r="D13" i="84" s="1"/>
  <c r="F41" i="80"/>
  <c r="G41" i="80" s="1"/>
  <c r="C13" i="84" s="1"/>
  <c r="F52" i="80"/>
  <c r="G52" i="80" s="1"/>
  <c r="D18" i="84" s="1"/>
  <c r="F51" i="80"/>
  <c r="G51" i="80" s="1"/>
  <c r="C18" i="84" s="1"/>
  <c r="G22" i="5" l="1"/>
  <c r="I43" i="74" l="1"/>
  <c r="G43" i="74"/>
  <c r="I44" i="74" l="1"/>
  <c r="G44" i="74"/>
  <c r="G45" i="74" l="1"/>
  <c r="I45" i="74"/>
  <c r="I46" i="74" l="1"/>
  <c r="G46" i="74"/>
  <c r="G47" i="74" l="1"/>
  <c r="I47" i="74"/>
  <c r="I48" i="74" l="1"/>
  <c r="G48" i="74"/>
  <c r="I49" i="74" l="1"/>
  <c r="G49" i="74"/>
  <c r="G50" i="74" l="1"/>
  <c r="I50" i="74"/>
  <c r="G51" i="74" l="1"/>
  <c r="I51" i="74"/>
  <c r="G52" i="74" l="1"/>
  <c r="I52" i="74"/>
  <c r="I53" i="74" l="1"/>
  <c r="G53" i="74"/>
  <c r="G54" i="74" l="1"/>
  <c r="I54" i="74"/>
  <c r="G55" i="74" l="1"/>
  <c r="I55" i="74"/>
  <c r="G56" i="74" l="1"/>
  <c r="I56" i="74"/>
  <c r="G57" i="74" l="1"/>
  <c r="I57" i="74"/>
  <c r="I58" i="74" l="1"/>
  <c r="G58" i="74"/>
  <c r="G59" i="74" l="1"/>
  <c r="I59" i="74"/>
  <c r="G60" i="74" l="1"/>
  <c r="I60" i="74"/>
  <c r="I61" i="74" l="1"/>
  <c r="G61" i="74"/>
  <c r="G62" i="74" l="1"/>
  <c r="I62" i="74"/>
  <c r="I63" i="74" l="1"/>
  <c r="G63" i="74"/>
  <c r="I64" i="74" l="1"/>
  <c r="G64" i="74"/>
  <c r="I65" i="74" l="1"/>
  <c r="G65" i="74"/>
  <c r="G66" i="74" l="1"/>
  <c r="I66" i="74"/>
  <c r="I67" i="74" l="1"/>
  <c r="G67" i="74"/>
  <c r="G68" i="74" l="1"/>
  <c r="I68" i="74"/>
  <c r="G69" i="74" l="1"/>
  <c r="I69" i="74"/>
  <c r="I70" i="74" l="1"/>
  <c r="G70" i="74"/>
  <c r="I71" i="74" l="1"/>
  <c r="G71" i="74"/>
  <c r="G72" i="74" l="1"/>
  <c r="I72" i="74"/>
  <c r="G73" i="74" l="1"/>
  <c r="I73" i="74"/>
  <c r="I74" i="74" l="1"/>
  <c r="G74" i="74"/>
  <c r="I75" i="74" l="1"/>
  <c r="G75" i="74"/>
  <c r="G76" i="74" l="1"/>
  <c r="I76" i="74"/>
  <c r="I77" i="74" l="1"/>
  <c r="G77" i="74"/>
  <c r="I78" i="74" l="1"/>
  <c r="G78" i="74"/>
  <c r="G79" i="74" l="1"/>
  <c r="I79" i="74"/>
  <c r="I80" i="74" l="1"/>
  <c r="G80" i="74"/>
  <c r="I81" i="74" l="1"/>
  <c r="G81" i="74"/>
  <c r="G82" i="74" l="1"/>
  <c r="I82" i="74"/>
  <c r="I83" i="74" l="1"/>
  <c r="G83" i="74"/>
  <c r="G84" i="74" l="1"/>
  <c r="I84" i="74"/>
  <c r="G85" i="74" l="1"/>
  <c r="I85" i="74"/>
  <c r="G86" i="74" l="1"/>
  <c r="I86" i="74"/>
  <c r="G87" i="74" l="1"/>
  <c r="I87" i="74"/>
  <c r="G88" i="74" l="1"/>
  <c r="I88" i="74"/>
  <c r="G89" i="74" l="1"/>
  <c r="I89" i="74"/>
  <c r="G90" i="74" l="1"/>
  <c r="I90" i="74"/>
  <c r="I91" i="74" l="1"/>
  <c r="G91" i="74"/>
  <c r="G92" i="74" l="1"/>
  <c r="I92" i="74"/>
  <c r="I93" i="74" l="1"/>
  <c r="G93" i="74"/>
  <c r="I94" i="74" l="1"/>
  <c r="G94" i="74"/>
  <c r="I95" i="74" l="1"/>
  <c r="G95" i="74"/>
  <c r="G96" i="74" l="1"/>
  <c r="I96" i="74"/>
  <c r="I97" i="74" l="1"/>
  <c r="G97" i="74"/>
  <c r="I98" i="74" l="1"/>
  <c r="G98" i="74"/>
  <c r="I99" i="74" l="1"/>
  <c r="G99" i="74"/>
  <c r="G100" i="74" l="1"/>
  <c r="I100" i="74"/>
  <c r="I101" i="74" l="1"/>
  <c r="G101" i="74"/>
  <c r="I102" i="74" l="1"/>
  <c r="G102" i="74"/>
  <c r="G103" i="74" l="1"/>
  <c r="I103" i="74"/>
  <c r="I104" i="74" l="1"/>
  <c r="G104" i="74"/>
  <c r="I105" i="74" l="1"/>
  <c r="G105" i="74"/>
  <c r="G106" i="74" l="1"/>
  <c r="I106" i="74"/>
  <c r="G107" i="74" l="1"/>
  <c r="I107" i="74"/>
  <c r="I108" i="74" l="1"/>
  <c r="G108" i="74"/>
  <c r="G109" i="74" l="1"/>
  <c r="I109" i="74"/>
  <c r="I110" i="74" l="1"/>
  <c r="G110" i="74"/>
  <c r="G111" i="74" l="1"/>
  <c r="I111" i="74"/>
  <c r="I112" i="74" l="1"/>
  <c r="G112" i="74"/>
  <c r="G113" i="74" l="1"/>
  <c r="I113" i="74"/>
  <c r="G114" i="74" l="1"/>
  <c r="I114" i="74"/>
  <c r="G115" i="74" l="1"/>
  <c r="I115" i="74"/>
  <c r="G116" i="74" l="1"/>
  <c r="I116" i="74"/>
  <c r="G117" i="74" l="1"/>
  <c r="I117" i="74"/>
  <c r="G118" i="74" l="1"/>
  <c r="I118" i="74"/>
  <c r="G119" i="74" l="1"/>
  <c r="I119" i="74"/>
  <c r="G120" i="74" l="1"/>
  <c r="I120" i="74"/>
  <c r="I121" i="74" l="1"/>
  <c r="G121" i="74"/>
  <c r="I122" i="74" l="1"/>
  <c r="G122" i="74"/>
  <c r="I123" i="74" l="1"/>
  <c r="G123" i="74"/>
  <c r="I124" i="74" l="1"/>
  <c r="G124" i="74"/>
  <c r="G125" i="74" l="1"/>
  <c r="I125" i="74"/>
  <c r="I126" i="74" l="1"/>
  <c r="G126" i="74"/>
  <c r="I127" i="74" l="1"/>
  <c r="G127" i="74"/>
  <c r="G128" i="74" l="1"/>
  <c r="I128" i="74"/>
  <c r="I129" i="74" l="1"/>
  <c r="G129" i="74"/>
  <c r="G130" i="74" l="1"/>
  <c r="I130" i="74"/>
  <c r="G131" i="74" l="1"/>
  <c r="I131" i="74"/>
  <c r="I132" i="74" l="1"/>
  <c r="G132" i="74"/>
  <c r="G133" i="74" l="1"/>
  <c r="I133" i="74"/>
  <c r="I134" i="74" l="1"/>
  <c r="G134" i="74"/>
  <c r="I135" i="74" l="1"/>
  <c r="G135" i="74"/>
  <c r="I136" i="74" l="1"/>
  <c r="G136" i="74"/>
  <c r="G137" i="74" l="1"/>
  <c r="I137" i="74"/>
  <c r="I138" i="74" l="1"/>
  <c r="G138" i="74"/>
  <c r="G139" i="74" l="1"/>
  <c r="I139" i="74"/>
  <c r="I140" i="74" l="1"/>
  <c r="G140" i="74"/>
  <c r="G141" i="74" l="1"/>
  <c r="I141" i="74"/>
  <c r="I142" i="74" l="1"/>
  <c r="G142" i="74"/>
  <c r="I143" i="74" l="1"/>
  <c r="G143" i="74"/>
  <c r="G144" i="74" l="1"/>
  <c r="I144" i="74"/>
  <c r="G145" i="74" l="1"/>
  <c r="I145" i="74"/>
  <c r="G146" i="74" l="1"/>
  <c r="I146" i="74"/>
  <c r="I147" i="74" l="1"/>
  <c r="G147" i="74"/>
  <c r="I148" i="74" l="1"/>
  <c r="G148" i="74"/>
  <c r="I149" i="74" l="1"/>
  <c r="G149" i="74"/>
  <c r="G150" i="74" l="1"/>
  <c r="I150" i="74"/>
  <c r="I151" i="74" l="1"/>
  <c r="G151" i="74"/>
  <c r="I152" i="74" l="1"/>
  <c r="G152" i="74"/>
  <c r="G153" i="74" l="1"/>
  <c r="I153" i="74"/>
  <c r="G154" i="74" l="1"/>
  <c r="I154" i="74"/>
  <c r="G155" i="74" l="1"/>
  <c r="I155" i="74"/>
  <c r="G156" i="74" l="1"/>
  <c r="I156" i="74"/>
  <c r="G157" i="74" l="1"/>
  <c r="I157" i="74"/>
  <c r="I158" i="74" l="1"/>
  <c r="G158" i="74"/>
  <c r="I159" i="74" l="1"/>
  <c r="G159" i="74"/>
  <c r="I160" i="74" l="1"/>
  <c r="G160" i="74"/>
  <c r="I161" i="74" l="1"/>
  <c r="G161" i="74"/>
  <c r="I162" i="74" l="1"/>
  <c r="G162" i="74"/>
  <c r="G163" i="74" l="1"/>
  <c r="I163" i="74"/>
  <c r="I164" i="74" l="1"/>
  <c r="G164" i="74"/>
  <c r="G165" i="74" l="1"/>
  <c r="I165" i="74"/>
  <c r="G166" i="74" l="1"/>
  <c r="I166" i="74"/>
  <c r="I167" i="74" l="1"/>
  <c r="G167" i="74"/>
  <c r="I168" i="74" l="1"/>
  <c r="G168" i="74"/>
  <c r="I169" i="74" l="1"/>
  <c r="G169" i="74"/>
  <c r="G170" i="74" l="1"/>
  <c r="I170" i="74"/>
  <c r="G171" i="74" l="1"/>
  <c r="I171" i="74"/>
  <c r="I172" i="74" l="1"/>
  <c r="G172" i="74"/>
  <c r="I173" i="74" l="1"/>
  <c r="G173" i="74"/>
  <c r="G174" i="74" l="1"/>
  <c r="I174" i="74"/>
  <c r="I175" i="74" l="1"/>
  <c r="G175" i="74"/>
  <c r="I176" i="74" l="1"/>
  <c r="G176" i="74"/>
  <c r="G177" i="74" l="1"/>
  <c r="I177" i="74"/>
  <c r="I178" i="74" l="1"/>
  <c r="G178" i="74"/>
  <c r="I179" i="74" l="1"/>
  <c r="G179" i="74"/>
  <c r="G180" i="74" l="1"/>
  <c r="I180" i="74"/>
  <c r="G181" i="74" l="1"/>
  <c r="I181" i="74"/>
  <c r="I182" i="74" l="1"/>
  <c r="G182" i="74"/>
  <c r="I183" i="74" l="1"/>
  <c r="G183" i="74"/>
  <c r="I184" i="74" l="1"/>
  <c r="G184" i="74"/>
  <c r="I185" i="74" l="1"/>
  <c r="G185" i="74"/>
  <c r="I186" i="74" l="1"/>
  <c r="G186" i="74"/>
  <c r="G187" i="74" l="1"/>
  <c r="I187" i="74"/>
  <c r="G188" i="74" l="1"/>
  <c r="I188" i="74"/>
  <c r="G189" i="74" l="1"/>
  <c r="I189" i="74"/>
  <c r="G190" i="74" l="1"/>
  <c r="I190" i="74"/>
  <c r="G191" i="74" l="1"/>
  <c r="I191" i="74"/>
  <c r="I192" i="74" l="1"/>
  <c r="G192" i="74"/>
  <c r="G193" i="74" l="1"/>
  <c r="I193" i="74"/>
  <c r="G194" i="74" l="1"/>
  <c r="I194" i="74"/>
  <c r="I195" i="74" l="1"/>
  <c r="G195" i="74"/>
  <c r="G196" i="74" l="1"/>
  <c r="I196" i="74"/>
  <c r="G197" i="74" l="1"/>
  <c r="I197" i="74"/>
  <c r="I198" i="74" l="1"/>
  <c r="G198" i="74"/>
  <c r="G199" i="74" l="1"/>
  <c r="I199" i="74"/>
  <c r="G200" i="74" l="1"/>
  <c r="I200" i="74"/>
  <c r="G201" i="74" l="1"/>
  <c r="I201" i="74"/>
  <c r="I202" i="74" l="1"/>
  <c r="G202" i="74"/>
  <c r="G203" i="74" l="1"/>
  <c r="I203" i="74"/>
  <c r="I204" i="74" l="1"/>
  <c r="G204" i="74"/>
  <c r="I205" i="74" l="1"/>
  <c r="G205" i="74"/>
  <c r="I206" i="74" l="1"/>
  <c r="G206" i="74"/>
  <c r="G207" i="74" l="1"/>
  <c r="I207" i="74"/>
  <c r="G208" i="74" l="1"/>
  <c r="I208" i="74"/>
  <c r="I209" i="74" l="1"/>
  <c r="G209" i="74"/>
  <c r="I210" i="74" l="1"/>
  <c r="G210" i="74"/>
  <c r="I211" i="74" l="1"/>
  <c r="G211" i="74"/>
  <c r="G212" i="74" l="1"/>
  <c r="I212" i="74"/>
  <c r="I213" i="74" l="1"/>
  <c r="G213" i="74"/>
  <c r="G214" i="74" l="1"/>
  <c r="I214" i="74"/>
  <c r="I215" i="74" l="1"/>
  <c r="G215" i="74"/>
  <c r="G216" i="74" l="1"/>
  <c r="I216" i="74"/>
  <c r="I217" i="74" l="1"/>
  <c r="G217" i="74"/>
  <c r="G218" i="74" l="1"/>
  <c r="I218" i="74"/>
  <c r="I219" i="74" l="1"/>
  <c r="G219" i="74"/>
  <c r="G220" i="74" l="1"/>
  <c r="I220" i="74"/>
  <c r="G221" i="74" l="1"/>
  <c r="I221" i="74"/>
  <c r="G222" i="74" l="1"/>
  <c r="I222" i="74"/>
  <c r="I223" i="74" l="1"/>
  <c r="G223" i="74"/>
  <c r="G224" i="74" l="1"/>
  <c r="I224" i="74"/>
  <c r="G225" i="74" l="1"/>
  <c r="I225" i="74"/>
  <c r="I226" i="74" l="1"/>
  <c r="G226" i="74"/>
  <c r="G227" i="74" l="1"/>
  <c r="I227" i="74"/>
  <c r="G228" i="74" l="1"/>
  <c r="I228" i="74"/>
  <c r="I229" i="74" l="1"/>
  <c r="G229" i="74"/>
  <c r="G230" i="74" l="1"/>
  <c r="I230" i="74"/>
  <c r="G231" i="74" l="1"/>
  <c r="I231" i="74"/>
  <c r="G232" i="74" l="1"/>
  <c r="I232" i="74"/>
  <c r="G233" i="74" l="1"/>
  <c r="I233" i="74"/>
  <c r="I234" i="74" l="1"/>
  <c r="G234" i="74"/>
  <c r="G235" i="74" l="1"/>
  <c r="I235" i="74"/>
  <c r="G236" i="74" l="1"/>
  <c r="I236" i="74"/>
  <c r="G237" i="74" l="1"/>
  <c r="I237" i="74"/>
  <c r="G238" i="74" l="1"/>
  <c r="I238" i="74"/>
  <c r="I239" i="74" l="1"/>
  <c r="G239" i="74"/>
  <c r="G240" i="74" l="1"/>
  <c r="I240" i="74"/>
  <c r="G241" i="74" l="1"/>
  <c r="I241" i="74"/>
  <c r="G242" i="74" l="1"/>
  <c r="I242" i="74"/>
  <c r="I243" i="74" l="1"/>
  <c r="G243" i="74"/>
  <c r="I244" i="74" l="1"/>
  <c r="G244" i="74"/>
  <c r="G245" i="74" l="1"/>
  <c r="I245" i="74"/>
  <c r="G246" i="74" l="1"/>
  <c r="I246" i="74"/>
  <c r="G247" i="74" l="1"/>
  <c r="I247" i="74"/>
  <c r="G248" i="74" l="1"/>
  <c r="I248" i="74"/>
  <c r="G249" i="74" l="1"/>
  <c r="I249" i="74"/>
  <c r="I250" i="74" l="1"/>
  <c r="G250" i="74"/>
  <c r="I251" i="74" l="1"/>
  <c r="G251" i="74"/>
  <c r="G252" i="74" l="1"/>
  <c r="I252" i="74"/>
  <c r="G253" i="74" l="1"/>
  <c r="I253" i="74"/>
  <c r="G254" i="74" l="1"/>
  <c r="I254" i="74"/>
  <c r="I255" i="74" l="1"/>
  <c r="G255" i="74"/>
  <c r="G256" i="74" l="1"/>
  <c r="I256" i="74"/>
  <c r="G257" i="74" l="1"/>
  <c r="I257" i="74"/>
  <c r="G258" i="74" l="1"/>
  <c r="I258" i="74"/>
  <c r="G259" i="74" l="1"/>
  <c r="I259" i="74"/>
  <c r="I260" i="74" l="1"/>
  <c r="G260" i="74"/>
  <c r="I261" i="74" l="1"/>
  <c r="G261" i="74"/>
  <c r="I262" i="74" l="1"/>
  <c r="G262" i="74"/>
  <c r="I263" i="74" l="1"/>
  <c r="G263" i="74"/>
  <c r="G264" i="74" l="1"/>
  <c r="I264" i="74"/>
  <c r="G265" i="74" l="1"/>
  <c r="I265" i="74"/>
  <c r="G266" i="74" l="1"/>
  <c r="I266" i="74"/>
  <c r="I267" i="74" l="1"/>
  <c r="G267" i="74"/>
  <c r="G268" i="74" l="1"/>
  <c r="I268" i="74"/>
  <c r="G269" i="74" l="1"/>
  <c r="I269" i="74"/>
  <c r="G270" i="74" l="1"/>
  <c r="I270" i="74"/>
  <c r="I271" i="74" l="1"/>
  <c r="G271" i="74"/>
  <c r="G272" i="74" l="1"/>
  <c r="I272" i="74"/>
  <c r="I273" i="74" l="1"/>
  <c r="G273" i="74"/>
  <c r="I274" i="74" l="1"/>
  <c r="G274" i="74"/>
  <c r="I275" i="74" l="1"/>
  <c r="G275" i="74"/>
  <c r="I276" i="74" l="1"/>
  <c r="G276" i="74"/>
  <c r="G277" i="74" l="1"/>
  <c r="I277" i="74"/>
  <c r="I278" i="74" l="1"/>
  <c r="G278" i="74"/>
  <c r="G279" i="74" l="1"/>
  <c r="I279" i="74"/>
  <c r="G280" i="74" l="1"/>
  <c r="I280" i="74"/>
  <c r="I281" i="74" l="1"/>
  <c r="G281" i="74"/>
  <c r="I282" i="74" l="1"/>
  <c r="G282" i="74"/>
  <c r="G283" i="74" l="1"/>
  <c r="I283" i="74"/>
  <c r="I284" i="74" l="1"/>
  <c r="G284" i="74"/>
  <c r="G285" i="74" l="1"/>
  <c r="I285" i="74"/>
  <c r="G286" i="74" l="1"/>
  <c r="I286" i="74"/>
  <c r="G287" i="74" l="1"/>
  <c r="I287" i="74"/>
  <c r="I288" i="74" l="1"/>
  <c r="G288" i="74"/>
  <c r="I289" i="74" l="1"/>
  <c r="G289" i="74"/>
  <c r="G290" i="74" l="1"/>
  <c r="I290" i="74"/>
  <c r="I291" i="74" l="1"/>
  <c r="G291" i="74"/>
  <c r="I292" i="74" l="1"/>
  <c r="G292" i="74"/>
  <c r="G293" i="74" l="1"/>
  <c r="I293" i="74"/>
  <c r="I294" i="74" l="1"/>
  <c r="G294" i="74"/>
  <c r="G295" i="74" l="1"/>
  <c r="I295" i="74"/>
  <c r="I296" i="74" l="1"/>
  <c r="G296" i="74"/>
  <c r="G297" i="74" l="1"/>
  <c r="I297" i="74"/>
  <c r="I298" i="74" l="1"/>
  <c r="G298" i="74"/>
  <c r="I299" i="74" l="1"/>
  <c r="G299" i="74"/>
  <c r="G300" i="74" l="1"/>
  <c r="I300" i="74"/>
  <c r="I301" i="74" l="1"/>
  <c r="G301" i="74"/>
  <c r="I302" i="74" l="1"/>
  <c r="G302" i="74"/>
  <c r="I303" i="74" l="1"/>
  <c r="G303" i="74"/>
  <c r="I304" i="74" l="1"/>
  <c r="G304" i="74"/>
  <c r="I305" i="74" l="1"/>
  <c r="G305" i="74"/>
  <c r="G306" i="74" l="1"/>
  <c r="I306" i="74"/>
  <c r="G307" i="74" l="1"/>
  <c r="I307" i="74"/>
  <c r="G308" i="74" l="1"/>
  <c r="I308" i="74"/>
  <c r="I309" i="74" l="1"/>
  <c r="G309" i="74"/>
  <c r="I310" i="74" l="1"/>
  <c r="G310" i="74"/>
  <c r="I311" i="74" l="1"/>
  <c r="G311" i="74"/>
  <c r="G312" i="74" l="1"/>
  <c r="I312" i="74"/>
  <c r="I313" i="74" l="1"/>
  <c r="G313" i="74"/>
  <c r="G314" i="74" l="1"/>
  <c r="I314" i="74"/>
  <c r="G315" i="74" l="1"/>
  <c r="I315" i="74"/>
  <c r="I316" i="74" l="1"/>
  <c r="G316" i="74"/>
  <c r="I317" i="74" l="1"/>
  <c r="G317" i="74"/>
  <c r="G318" i="74" l="1"/>
  <c r="I318" i="74"/>
  <c r="G319" i="74" l="1"/>
  <c r="I319" i="74"/>
  <c r="I320" i="74" l="1"/>
  <c r="G320" i="74"/>
  <c r="I321" i="74" l="1"/>
  <c r="G321" i="74"/>
  <c r="I322" i="74" l="1"/>
  <c r="G322" i="74"/>
  <c r="G323" i="74" l="1"/>
  <c r="I323" i="74"/>
  <c r="G324" i="74" l="1"/>
  <c r="I324" i="74"/>
  <c r="G325" i="74" l="1"/>
  <c r="I325" i="74"/>
  <c r="G326" i="74" l="1"/>
  <c r="I326" i="74"/>
  <c r="G327" i="74" l="1"/>
  <c r="I327" i="74"/>
  <c r="G328" i="74" l="1"/>
  <c r="I328" i="74"/>
  <c r="G329" i="74" l="1"/>
  <c r="I329" i="74"/>
  <c r="G330" i="74" l="1"/>
  <c r="I330" i="74"/>
  <c r="I331" i="74" l="1"/>
  <c r="G331" i="74"/>
  <c r="G332" i="74" l="1"/>
  <c r="I332" i="74"/>
  <c r="I333" i="74" l="1"/>
  <c r="G333" i="74"/>
  <c r="G334" i="74" l="1"/>
  <c r="I334" i="74"/>
  <c r="I335" i="74" l="1"/>
  <c r="G335" i="74"/>
  <c r="I336" i="74" l="1"/>
  <c r="G336" i="74"/>
  <c r="G337" i="74" l="1"/>
  <c r="I337" i="74"/>
  <c r="G338" i="74" l="1"/>
  <c r="I338" i="74"/>
  <c r="G339" i="74" l="1"/>
  <c r="I339" i="74"/>
  <c r="G340" i="74" l="1"/>
  <c r="I340" i="74"/>
  <c r="G341" i="74" l="1"/>
  <c r="I341" i="74"/>
  <c r="I342" i="74" l="1"/>
  <c r="G342" i="74"/>
  <c r="G343" i="74" l="1"/>
  <c r="I343" i="74"/>
  <c r="I344" i="74" l="1"/>
  <c r="G344" i="74"/>
  <c r="I345" i="74" l="1"/>
  <c r="G345" i="74"/>
  <c r="I346" i="74" l="1"/>
  <c r="G346" i="74"/>
  <c r="I347" i="74" l="1"/>
  <c r="G347" i="74"/>
  <c r="I348" i="74" l="1"/>
  <c r="G348" i="74"/>
  <c r="G349" i="74" l="1"/>
  <c r="I349" i="74"/>
  <c r="I350" i="74" l="1"/>
  <c r="G350" i="74"/>
  <c r="I351" i="74" l="1"/>
  <c r="G351" i="74"/>
  <c r="G352" i="74" l="1"/>
  <c r="I352" i="74"/>
  <c r="G353" i="74" l="1"/>
  <c r="I353" i="74"/>
  <c r="I354" i="74" l="1"/>
  <c r="G354" i="74"/>
  <c r="I355" i="74" l="1"/>
  <c r="G355" i="74"/>
  <c r="I356" i="74" l="1"/>
  <c r="G356" i="74"/>
  <c r="I357" i="74" l="1"/>
  <c r="G357" i="74"/>
  <c r="G358" i="74" l="1"/>
  <c r="I358" i="74"/>
  <c r="G359" i="74" l="1"/>
  <c r="I359" i="74"/>
  <c r="G360" i="74" l="1"/>
  <c r="I360" i="74"/>
  <c r="I361" i="74" l="1"/>
  <c r="G361" i="74"/>
  <c r="G362" i="74" l="1"/>
  <c r="I362" i="74"/>
  <c r="G363" i="74" l="1"/>
  <c r="I363" i="74"/>
  <c r="G364" i="74" l="1"/>
  <c r="I364" i="74"/>
  <c r="G365" i="74" l="1"/>
  <c r="I365" i="74"/>
  <c r="I366" i="74" l="1"/>
  <c r="G366" i="74"/>
  <c r="I367" i="74" l="1"/>
  <c r="G367" i="74"/>
  <c r="G368" i="74" l="1"/>
  <c r="I368" i="74"/>
  <c r="I369" i="74" l="1"/>
  <c r="G369" i="74"/>
  <c r="I370" i="74" l="1"/>
  <c r="G370" i="74"/>
  <c r="I371" i="74" l="1"/>
  <c r="G371" i="74"/>
  <c r="G372" i="74" l="1"/>
  <c r="I372" i="74"/>
  <c r="G373" i="74" l="1"/>
  <c r="I373" i="74"/>
  <c r="I374" i="74" l="1"/>
  <c r="G374" i="74"/>
  <c r="I375" i="74" l="1"/>
  <c r="G375" i="74"/>
  <c r="G376" i="74" l="1"/>
  <c r="I376" i="74"/>
  <c r="G377" i="74" l="1"/>
  <c r="I377" i="74"/>
  <c r="I378" i="74" l="1"/>
  <c r="G378" i="74"/>
  <c r="I379" i="74" l="1"/>
  <c r="G379" i="74"/>
  <c r="G380" i="74" l="1"/>
  <c r="I380" i="74"/>
  <c r="G381" i="74" l="1"/>
  <c r="I381" i="74"/>
  <c r="G382" i="74" l="1"/>
  <c r="I382" i="74"/>
  <c r="G383" i="74" l="1"/>
  <c r="I383" i="74"/>
  <c r="G384" i="74" l="1"/>
  <c r="I384" i="74"/>
  <c r="I385" i="74" l="1"/>
  <c r="G385" i="74"/>
  <c r="I386" i="74" l="1"/>
  <c r="G386" i="74"/>
  <c r="G387" i="74" l="1"/>
  <c r="I387" i="74"/>
  <c r="G388" i="74" l="1"/>
  <c r="I388" i="74"/>
  <c r="G389" i="74" l="1"/>
  <c r="I389" i="74"/>
  <c r="G390" i="74" l="1"/>
  <c r="I390" i="74"/>
  <c r="G391" i="74" l="1"/>
  <c r="I391" i="74"/>
  <c r="G392" i="74" l="1"/>
  <c r="I392" i="74"/>
  <c r="I393" i="74" l="1"/>
  <c r="G393" i="74"/>
  <c r="I394" i="74" l="1"/>
  <c r="G394" i="74"/>
  <c r="G395" i="74" l="1"/>
  <c r="I395" i="74"/>
  <c r="G396" i="74" l="1"/>
  <c r="I396" i="74"/>
  <c r="G397" i="74" l="1"/>
  <c r="I397" i="74"/>
  <c r="I398" i="74" l="1"/>
  <c r="G398" i="74"/>
  <c r="I399" i="74" l="1"/>
  <c r="G399" i="74"/>
  <c r="I400" i="74" l="1"/>
  <c r="G400" i="74"/>
  <c r="G401" i="74" l="1"/>
  <c r="I401" i="74"/>
  <c r="G402" i="74" l="1"/>
  <c r="I402" i="74"/>
  <c r="I403" i="74" l="1"/>
  <c r="G403" i="74"/>
  <c r="I404" i="74" l="1"/>
  <c r="G404" i="74"/>
  <c r="I405" i="74" l="1"/>
  <c r="G405" i="74"/>
  <c r="G406" i="74" l="1"/>
  <c r="I406" i="74"/>
  <c r="G407" i="74" l="1"/>
  <c r="G42" i="74" s="1"/>
  <c r="I407" i="74"/>
  <c r="I42" i="74" s="1"/>
  <c r="E42"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<sst xmlns="http://schemas.openxmlformats.org/spreadsheetml/2006/main" count="1426" uniqueCount="523">
  <si>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</si>
  <si>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</si>
  <si>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</si>
  <si>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</si>
  <si>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</si>
  <si>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</si>
  <si>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</si>
  <si>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</si>
  <si>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</si>
  <si>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</si>
  <si>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</si>
  <si>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</si>
  <si>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</si>
  <si>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</si>
  <si>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</si>
  <si>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</si>
  <si>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</si>
  <si>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</si>
  <si>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</si>
  <si>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</si>
  <si>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</si>
  <si>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</si>
  <si>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</si>
  <si>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</si>
  <si>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</si>
  <si>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</si>
  <si>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</si>
  <si>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</si>
  <si>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</si>
  <si>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</si>
  <si>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</si>
  <si>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</si>
  <si>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</si>
  <si>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</si>
  <si>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</si>
  <si>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</si>
  <si>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</si>
  <si>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</si>
  <si>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</si>
  <si>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</si>
  <si>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</si>
  <si>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</si>
  <si>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</si>
  <si>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</si>
  <si>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</si>
  <si>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</si>
  <si>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</si>
  <si>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</si>
  <si>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</si>
  <si>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</si>
  <si>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</si>
  <si>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</si>
  <si>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</si>
  <si>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</si>
  <si>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</si>
  <si>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</si>
  <si>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</si>
  <si>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</si>
  <si>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</si>
  <si>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</si>
  <si>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</si>
  <si>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</si>
  <si>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</si>
  <si>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</si>
  <si>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</si>
  <si>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</si>
  <si>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</si>
  <si>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</si>
  <si>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</si>
  <si>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</si>
  <si>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</si>
  <si>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</si>
  <si>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</si>
  <si>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</si>
  <si>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</si>
  <si>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</si>
  <si>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</si>
  <si>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</si>
  <si>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</si>
  <si>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</si>
  <si>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</si>
  <si>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</si>
  <si>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</si>
  <si>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</si>
  <si>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</si>
  <si>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</si>
  <si>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</si>
  <si>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</si>
  <si>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</si>
  <si>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</si>
  <si>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</si>
  <si>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</si>
  <si>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</si>
  <si>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</si>
  <si>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</si>
  <si>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</si>
  <si>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</si>
  <si>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</si>
  <si>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</si>
  <si>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</si>
  <si>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</si>
  <si>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</si>
  <si>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</si>
  <si>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</si>
  <si>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</si>
  <si>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</si>
  <si>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</si>
  <si>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</si>
  <si>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</si>
  <si>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</si>
  <si>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</si>
  <si>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</si>
  <si>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</si>
  <si>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</si>
  <si>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</si>
  <si>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</si>
  <si>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</si>
  <si>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</si>
  <si>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</si>
  <si>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</si>
  <si>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</si>
  <si>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</si>
  <si>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</si>
  <si>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</si>
  <si>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</si>
  <si>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</si>
  <si>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</si>
  <si>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</si>
  <si>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</si>
  <si>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</si>
  <si>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</si>
  <si>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</si>
  <si>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</si>
  <si>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</si>
  <si>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</si>
  <si>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</si>
  <si>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</si>
  <si>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</si>
  <si>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</si>
  <si>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</si>
  <si>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</si>
  <si>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</si>
  <si>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</si>
  <si>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</si>
  <si>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</si>
  <si>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</si>
  <si>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</si>
  <si>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</si>
  <si>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</si>
  <si>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</si>
  <si>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</si>
  <si>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</si>
  <si>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</si>
  <si>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</si>
  <si>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</si>
  <si>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</si>
  <si>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</si>
  <si>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</si>
  <si>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</si>
  <si>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</si>
  <si>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</si>
  <si>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</si>
  <si>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</si>
  <si>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</si>
  <si>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</si>
  <si>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</si>
  <si>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</si>
  <si>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</si>
  <si>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</si>
  <si>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</si>
  <si>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</si>
  <si>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</si>
  <si>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</si>
  <si>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</si>
  <si>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</si>
  <si>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</si>
  <si>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</si>
  <si>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</si>
  <si>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</si>
  <si>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</si>
  <si>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</si>
  <si>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</si>
  <si>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</si>
  <si>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</si>
  <si>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</si>
  <si>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</si>
  <si>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</si>
  <si>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</si>
  <si>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</si>
  <si>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</si>
  <si>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</si>
  <si>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</si>
  <si>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</si>
  <si>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</si>
  <si>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</si>
  <si>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</si>
  <si>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</si>
  <si>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</si>
  <si>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</si>
  <si>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</si>
  <si>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</si>
  <si>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</si>
  <si>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</si>
  <si>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</si>
  <si>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</si>
  <si>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</si>
  <si>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</si>
  <si>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</si>
  <si>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</si>
  <si>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</si>
  <si>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</si>
  <si>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</si>
  <si>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</si>
  <si>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</si>
  <si>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</si>
  <si>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</si>
  <si>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</si>
  <si>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</si>
  <si>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</si>
  <si>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</si>
  <si>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</si>
  <si>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</si>
  <si>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</si>
  <si>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</si>
  <si>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</si>
  <si>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</si>
  <si>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</si>
  <si>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</si>
  <si>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</si>
  <si>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</si>
  <si>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</si>
  <si>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</si>
  <si>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</si>
  <si>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</si>
  <si>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</si>
  <si>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</si>
  <si>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</si>
  <si>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</si>
  <si>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</si>
  <si>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</si>
  <si>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</si>
  <si>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</si>
  <si>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</si>
  <si>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</si>
  <si>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</si>
  <si>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</si>
  <si>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</si>
  <si>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</si>
  <si>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</si>
  <si>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</si>
  <si>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</si>
  <si>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</si>
  <si>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</si>
  <si>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</si>
  <si>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</si>
  <si>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</si>
  <si>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</si>
  <si>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</si>
  <si>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</si>
  <si>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</si>
  <si>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</si>
  <si>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</si>
  <si>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</si>
  <si>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</si>
  <si>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</si>
  <si>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</si>
  <si>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</si>
  <si>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</si>
  <si>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</si>
  <si>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</si>
  <si>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</si>
  <si>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</si>
  <si>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</si>
  <si>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</si>
  <si>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</si>
  <si>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</si>
  <si>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</si>
  <si>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</si>
  <si>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</si>
  <si>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</si>
  <si>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</si>
  <si>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</si>
  <si>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</si>
  <si>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</si>
  <si>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</si>
  <si>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</si>
  <si>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</si>
  <si>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</si>
  <si>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</si>
  <si>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</si>
  <si>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</si>
  <si>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</si>
  <si>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</si>
  <si>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</si>
  <si>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</si>
  <si>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</si>
  <si>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</si>
  <si>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</si>
  <si>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</si>
  <si>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</si>
  <si>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</si>
  <si>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</si>
  <si>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</si>
  <si>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</si>
  <si>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</si>
  <si>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</si>
  <si>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</si>
  <si>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</si>
  <si>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</si>
  <si>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</si>
  <si>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</si>
  <si>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</si>
  <si>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</si>
  <si>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</si>
  <si>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</si>
  <si>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</si>
  <si>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</si>
  <si>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</si>
  <si>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</si>
  <si>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</si>
  <si>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</si>
  <si>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</si>
  <si>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</si>
  <si>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</si>
  <si>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</si>
  <si>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</si>
  <si>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</si>
  <si>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</si>
  <si>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</si>
  <si>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</si>
  <si>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</si>
  <si>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</si>
  <si>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</si>
  <si>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</si>
  <si>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</si>
  <si>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</si>
  <si>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</si>
  <si>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</si>
  <si>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</si>
  <si>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</si>
  <si>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</si>
  <si>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</si>
  <si>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</si>
  <si>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</si>
  <si>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</si>
  <si>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</si>
  <si>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</si>
  <si>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</si>
  <si>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</si>
  <si>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</si>
  <si>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</si>
  <si>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</si>
  <si>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</si>
  <si>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</si>
  <si>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</si>
  <si>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</si>
  <si>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</si>
  <si>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</si>
  <si>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</si>
  <si>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</si>
  <si>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</si>
  <si>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</si>
  <si>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</si>
  <si>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</si>
  <si>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</si>
  <si>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</si>
  <si>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</si>
  <si>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</si>
  <si>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</si>
  <si>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</si>
  <si>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</si>
  <si>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</si>
  <si>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</si>
  <si>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</si>
  <si>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</si>
  <si>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</si>
  <si>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</si>
  <si>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</si>
  <si>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</si>
  <si>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</si>
  <si>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</si>
  <si>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</si>
  <si>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</si>
  <si>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</si>
  <si>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</si>
  <si>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</si>
  <si>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</si>
  <si>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</si>
  <si>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</si>
  <si>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</si>
  <si>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</si>
  <si>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</si>
  <si>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</si>
  <si>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</si>
  <si>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</si>
  <si>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</si>
  <si>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</si>
  <si>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</si>
  <si>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</si>
  <si>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</si>
  <si>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</si>
  <si>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</si>
  <si>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</si>
  <si>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</si>
  <si>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</si>
  <si>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</si>
  <si>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</si>
  <si>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</si>
  <si>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</si>
  <si>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</si>
  <si>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</si>
  <si>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</si>
  <si>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</si>
  <si>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</si>
  <si>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</si>
  <si>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</si>
  <si>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</si>
  <si>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</si>
  <si>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</si>
  <si>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</si>
  <si>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</si>
  <si>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</si>
  <si>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</si>
  <si>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</si>
  <si>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</si>
  <si>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</si>
  <si>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</si>
  <si>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</si>
  <si>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</si>
  <si>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</si>
  <si>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</si>
  <si>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</si>
  <si>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</si>
  <si>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</si>
  <si>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</si>
  <si>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</si>
  <si>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</si>
  <si>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</si>
  <si>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</si>
  <si>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</si>
  <si>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</si>
  <si>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</si>
  <si>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</si>
  <si>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</si>
  <si>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</si>
  <si>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</si>
  <si>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</si>
  <si>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</si>
  <si>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</si>
  <si>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</si>
  <si>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</si>
  <si>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</si>
  <si>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</si>
  <si>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</si>
  <si>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</si>
  <si>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</si>
  <si>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</si>
  <si>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</si>
  <si>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</si>
  <si>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</si>
  <si>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</si>
  <si>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</si>
  <si>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</si>
  <si>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</si>
  <si>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</si>
  <si>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</si>
  <si>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</si>
  <si>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</si>
  <si>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</si>
  <si>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</si>
  <si>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</si>
  <si>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</si>
  <si>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</si>
  <si>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</si>
  <si>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</si>
  <si>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</si>
  <si>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</si>
  <si>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</si>
  <si>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</si>
  <si>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</si>
  <si>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Initial acquisition costs</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</si>
  <si>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</si>
  <si>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</si>
  <si>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</si>
  <si>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</si>
  <si>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</si>
  <si>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</si>
  <si>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</si>
  <si>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</si>
  <si>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</si>
  <si>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</si>
  <si>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</si>
  <si>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</si>
  <si>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</si>
  <si>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</si>
  <si>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</si>
  <si>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Transmission</t>
  </si>
  <si>
    <t>Shared lease asset depreciation</t>
  </si>
  <si>
    <t>Shared lease asset interest expense</t>
  </si>
  <si>
    <t>APA WGP PTY LTD</t>
  </si>
  <si>
    <t>69 140 760 612</t>
  </si>
  <si>
    <t>Queensland</t>
  </si>
  <si>
    <t>Information Technology</t>
  </si>
  <si>
    <t>Various</t>
  </si>
  <si>
    <t>Nameplate capacity</t>
  </si>
  <si>
    <t>Land and Easements</t>
  </si>
  <si>
    <t>Section 12</t>
  </si>
  <si>
    <t xml:space="preserve">Section 13 </t>
  </si>
  <si>
    <t>Section 15</t>
  </si>
  <si>
    <t>Section 17</t>
  </si>
  <si>
    <t>Section 18</t>
  </si>
  <si>
    <t>Section 19</t>
  </si>
  <si>
    <t>Section 21</t>
  </si>
  <si>
    <t>Section 22</t>
  </si>
  <si>
    <t>Section 23</t>
  </si>
  <si>
    <t>Section 24</t>
  </si>
  <si>
    <t>Section 25</t>
  </si>
  <si>
    <t xml:space="preserve">1598 TJ/d </t>
  </si>
  <si>
    <t xml:space="preserve">Wallumbilla Gladstone Pipeline </t>
  </si>
  <si>
    <t>Section 16</t>
  </si>
  <si>
    <t>Level 10, 121 Castlereagh Street</t>
  </si>
  <si>
    <t>Weighted Average Statutory Accounting Useful life</t>
  </si>
  <si>
    <t>Section 21 &amp; Section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</si>
</sst>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u/>
      <sz val="11"/>
      <color theme="10"/>
      <name val="Calibri"/>
      <family val="2"/>
      <scheme val="minor"/>
    </font>
    <font>
      <sz val="10"/>
      <name val="Arial"/>
      <family val="2"/>
    </font>
    <font>
      <sz val="9"/>
      <name val="Calibri"/>
      <family val="2"/>
    </font>
  </fonts>
  <fills count="4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s>
  <cellStyleXfs count="280">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77" fillId="0" borderId="0" applyNumberFormat="0" applyFill="0" applyBorder="0" applyAlignment="0" applyProtection="0"/>
    <xf numFmtId="43" fontId="78" fillId="0" borderId="0" applyFont="0" applyFill="0" applyBorder="0" applyAlignment="0" applyProtection="0"/>
    <xf numFmtId="9" fontId="7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79" fillId="0" borderId="0"/>
    <xf numFmtId="43" fontId="79" fillId="0" borderId="0" applyFont="0" applyFill="0" applyBorder="0" applyAlignment="0" applyProtection="0"/>
    <xf numFmtId="43" fontId="5" fillId="0" borderId="0" applyFont="0" applyFill="0" applyBorder="0" applyAlignment="0" applyProtection="0"/>
    <xf numFmtId="0" fontId="5" fillId="0" borderId="0"/>
    <xf numFmtId="0" fontId="2" fillId="0" borderId="0"/>
    <xf numFmtId="0" fontId="77" fillId="0" borderId="0" applyNumberFormat="0" applyFill="0" applyBorder="0" applyAlignment="0" applyProtection="0"/>
    <xf numFmtId="43" fontId="5" fillId="0" borderId="0" applyFont="0" applyFill="0" applyBorder="0" applyAlignment="0" applyProtection="0"/>
    <xf numFmtId="0" fontId="1" fillId="0" borderId="0"/>
    <xf numFmtId="0" fontId="1" fillId="0" borderId="0"/>
    <xf numFmtId="43" fontId="53"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0" borderId="0"/>
  </cellStyleXfs>
  <cellXfs count="455">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vertical="center"/>
    </xf>
    <xf numFmtId="0" fontId="10" fillId="0" borderId="0" xfId="0" applyFont="1"/>
    <xf numFmtId="43" fontId="0" fillId="0" borderId="0" xfId="0" applyNumberFormat="1"/>
    <xf numFmtId="164" fontId="37" fillId="13" borderId="10" xfId="78" applyNumberFormat="1" applyFont="1" applyFill="1" applyBorder="1" applyAlignment="1"/>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4" borderId="10" xfId="231" applyNumberFormat="1" applyFont="1" applyFill="1" applyBorder="1"/>
    <xf numFmtId="164" fontId="10" fillId="34"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5" borderId="10" xfId="228" applyNumberFormat="1" applyFont="1" applyFill="1" applyBorder="1" applyAlignment="1">
      <alignment horizontal="left"/>
    </xf>
    <xf numFmtId="49" fontId="58" fillId="35" borderId="10" xfId="228" applyNumberFormat="1" applyFont="1" applyFill="1" applyBorder="1" applyAlignment="1">
      <alignment horizontal="left"/>
    </xf>
    <xf numFmtId="2" fontId="35" fillId="35" borderId="11" xfId="229" applyNumberFormat="1" applyFont="1" applyFill="1" applyBorder="1" applyAlignment="1">
      <alignment horizontal="left" vertical="center" wrapText="1"/>
    </xf>
    <xf numFmtId="167" fontId="12" fillId="35" borderId="10" xfId="228" quotePrefix="1" applyNumberFormat="1" applyFont="1" applyFill="1" applyBorder="1" applyAlignment="1">
      <alignment vertical="center" wrapText="1"/>
    </xf>
    <xf numFmtId="49" fontId="35" fillId="35" borderId="10" xfId="228" applyNumberFormat="1" applyFont="1" applyFill="1" applyBorder="1" applyAlignment="1">
      <alignment horizontal="center" vertical="center" wrapText="1"/>
    </xf>
    <xf numFmtId="167" fontId="41" fillId="35" borderId="10" xfId="228" quotePrefix="1" applyNumberFormat="1" applyFont="1" applyFill="1" applyBorder="1" applyAlignment="1">
      <alignment horizontal="left" vertical="center" wrapText="1"/>
    </xf>
    <xf numFmtId="167" fontId="58" fillId="35" borderId="10" xfId="228" quotePrefix="1" applyNumberFormat="1" applyFont="1" applyFill="1" applyBorder="1" applyAlignment="1">
      <alignment horizontal="left" vertical="center" wrapText="1" indent="1"/>
    </xf>
    <xf numFmtId="167" fontId="59" fillId="35" borderId="10" xfId="228" quotePrefix="1" applyNumberFormat="1" applyFont="1" applyFill="1" applyBorder="1" applyAlignment="1">
      <alignment horizontal="left" vertical="center" wrapText="1"/>
    </xf>
    <xf numFmtId="49" fontId="58" fillId="35" borderId="10" xfId="228" applyNumberFormat="1" applyFont="1" applyFill="1" applyBorder="1" applyAlignment="1">
      <alignment horizontal="left" indent="1"/>
    </xf>
    <xf numFmtId="49" fontId="58" fillId="35" borderId="10" xfId="232" applyNumberFormat="1" applyFont="1" applyFill="1" applyBorder="1" applyAlignment="1">
      <alignment horizontal="left" vertical="center" wrapText="1" indent="1"/>
    </xf>
    <xf numFmtId="167" fontId="35" fillId="35" borderId="10" xfId="228" quotePrefix="1" applyNumberFormat="1" applyFont="1" applyFill="1" applyBorder="1" applyAlignment="1">
      <alignment horizontal="center" vertical="center" wrapText="1"/>
    </xf>
    <xf numFmtId="2" fontId="35" fillId="35" borderId="10" xfId="228" applyNumberFormat="1" applyFont="1" applyFill="1" applyBorder="1" applyAlignment="1">
      <alignment horizontal="center" vertical="center" wrapText="1"/>
    </xf>
    <xf numFmtId="2" fontId="12" fillId="35" borderId="10" xfId="78" applyNumberFormat="1" applyFont="1" applyFill="1" applyBorder="1" applyAlignment="1" applyProtection="1">
      <alignment horizontal="center"/>
    </xf>
    <xf numFmtId="49" fontId="12" fillId="35" borderId="10" xfId="228" applyNumberFormat="1" applyFont="1" applyFill="1" applyBorder="1"/>
    <xf numFmtId="49" fontId="35" fillId="35" borderId="10" xfId="228" applyNumberFormat="1" applyFont="1" applyFill="1" applyBorder="1" applyAlignment="1">
      <alignment horizontal="left"/>
    </xf>
    <xf numFmtId="49" fontId="12" fillId="35" borderId="10" xfId="228" applyNumberFormat="1" applyFont="1" applyFill="1" applyBorder="1" applyAlignment="1">
      <alignment horizontal="left" wrapText="1"/>
    </xf>
    <xf numFmtId="49" fontId="35" fillId="35" borderId="12" xfId="228" applyNumberFormat="1" applyFont="1" applyFill="1" applyBorder="1" applyAlignment="1">
      <alignment horizontal="center" vertical="center" wrapText="1"/>
    </xf>
    <xf numFmtId="49" fontId="35" fillId="35" borderId="13" xfId="228" applyNumberFormat="1" applyFont="1" applyFill="1" applyBorder="1" applyAlignment="1">
      <alignment horizontal="center" vertical="center" wrapText="1"/>
    </xf>
    <xf numFmtId="49" fontId="35" fillId="35" borderId="10" xfId="231" applyNumberFormat="1" applyFont="1" applyFill="1" applyBorder="1" applyAlignment="1">
      <alignment horizontal="center" vertical="center" wrapText="1"/>
    </xf>
    <xf numFmtId="164" fontId="35" fillId="35" borderId="10" xfId="231" applyNumberFormat="1" applyFont="1" applyFill="1" applyBorder="1" applyAlignment="1">
      <alignment horizontal="right" vertical="center" wrapText="1"/>
    </xf>
    <xf numFmtId="49" fontId="35" fillId="35" borderId="10" xfId="231" applyNumberFormat="1" applyFont="1" applyFill="1" applyBorder="1" applyAlignment="1">
      <alignment horizontal="center"/>
    </xf>
    <xf numFmtId="166" fontId="12" fillId="35" borderId="14" xfId="78" applyNumberFormat="1" applyFont="1" applyFill="1" applyBorder="1" applyAlignment="1" applyProtection="1">
      <alignment horizontal="right" vertical="center"/>
    </xf>
    <xf numFmtId="49" fontId="35" fillId="35" borderId="10" xfId="231" applyNumberFormat="1" applyFont="1" applyFill="1" applyBorder="1" applyAlignment="1">
      <alignment horizontal="right" vertical="center" wrapText="1"/>
    </xf>
    <xf numFmtId="49" fontId="35" fillId="35" borderId="14" xfId="231" applyNumberFormat="1" applyFont="1" applyFill="1" applyBorder="1" applyAlignment="1">
      <alignment horizontal="center"/>
    </xf>
    <xf numFmtId="49" fontId="12" fillId="35" borderId="10" xfId="228" applyNumberFormat="1" applyFont="1" applyFill="1" applyBorder="1" applyAlignment="1">
      <alignment wrapText="1"/>
    </xf>
    <xf numFmtId="167" fontId="35" fillId="35" borderId="10" xfId="229" quotePrefix="1" applyNumberFormat="1" applyFont="1" applyFill="1" applyBorder="1" applyAlignment="1">
      <alignment horizontal="center" vertical="center" wrapText="1"/>
    </xf>
    <xf numFmtId="2" fontId="35" fillId="35" borderId="11" xfId="229" applyNumberFormat="1" applyFont="1" applyFill="1" applyBorder="1" applyAlignment="1">
      <alignment horizontal="center" vertical="center" wrapText="1"/>
    </xf>
    <xf numFmtId="2" fontId="60" fillId="35" borderId="11" xfId="229" applyNumberFormat="1" applyFont="1" applyFill="1" applyBorder="1" applyAlignment="1">
      <alignment horizontal="left" vertical="center" wrapText="1"/>
    </xf>
    <xf numFmtId="41" fontId="12" fillId="35" borderId="15" xfId="229" applyNumberFormat="1" applyFont="1" applyFill="1" applyBorder="1" applyAlignment="1">
      <alignment horizontal="left" indent="1"/>
    </xf>
    <xf numFmtId="41" fontId="9" fillId="35" borderId="15" xfId="229" applyNumberFormat="1" applyFont="1" applyFill="1" applyBorder="1"/>
    <xf numFmtId="164" fontId="35" fillId="35" borderId="10" xfId="231" applyNumberFormat="1" applyFont="1" applyFill="1" applyBorder="1" applyAlignment="1">
      <alignment horizontal="center" vertical="center" wrapText="1"/>
    </xf>
    <xf numFmtId="167" fontId="35" fillId="35" borderId="10" xfId="233" applyNumberFormat="1" applyFont="1" applyFill="1" applyBorder="1" applyAlignment="1">
      <alignment horizontal="center" vertical="center" wrapText="1"/>
    </xf>
    <xf numFmtId="49" fontId="35" fillId="35" borderId="10" xfId="233" applyNumberFormat="1" applyFont="1" applyFill="1" applyBorder="1" applyAlignment="1">
      <alignment horizontal="center" vertical="center" wrapText="1"/>
    </xf>
    <xf numFmtId="49" fontId="60" fillId="35" borderId="10" xfId="233" applyNumberFormat="1" applyFont="1" applyFill="1" applyBorder="1" applyAlignment="1">
      <alignment horizontal="center" vertical="center" wrapText="1"/>
    </xf>
    <xf numFmtId="166" fontId="12" fillId="35" borderId="14" xfId="78" applyNumberFormat="1" applyFont="1" applyFill="1" applyBorder="1" applyAlignment="1" applyProtection="1">
      <alignment horizontal="center" vertical="center"/>
    </xf>
    <xf numFmtId="166" fontId="58" fillId="35" borderId="14" xfId="78" applyNumberFormat="1" applyFont="1" applyFill="1" applyBorder="1" applyAlignment="1" applyProtection="1">
      <alignment horizontal="center" vertical="center"/>
    </xf>
    <xf numFmtId="2" fontId="58" fillId="35" borderId="14" xfId="78" applyNumberFormat="1" applyFont="1" applyFill="1" applyBorder="1" applyAlignment="1" applyProtection="1">
      <alignment horizontal="center" vertical="center"/>
    </xf>
    <xf numFmtId="1" fontId="12" fillId="35" borderId="14" xfId="78" applyNumberFormat="1" applyFont="1" applyFill="1" applyBorder="1" applyAlignment="1" applyProtection="1">
      <alignment horizontal="center" vertical="center"/>
    </xf>
    <xf numFmtId="49" fontId="35" fillId="35" borderId="10" xfId="233" applyNumberFormat="1" applyFont="1" applyFill="1" applyBorder="1" applyAlignment="1">
      <alignment horizontal="left" vertical="center" wrapText="1"/>
    </xf>
    <xf numFmtId="167" fontId="12" fillId="35" borderId="10" xfId="0" applyNumberFormat="1" applyFont="1" applyFill="1" applyBorder="1" applyAlignment="1">
      <alignment horizontal="left" vertical="center" wrapText="1"/>
    </xf>
    <xf numFmtId="49" fontId="12" fillId="35" borderId="10" xfId="233" applyNumberFormat="1" applyFont="1" applyFill="1" applyBorder="1" applyAlignment="1">
      <alignment horizontal="left" vertical="center" wrapText="1"/>
    </xf>
    <xf numFmtId="49" fontId="58" fillId="35" borderId="10" xfId="233" applyNumberFormat="1" applyFont="1" applyFill="1" applyBorder="1" applyAlignment="1">
      <alignment horizontal="left" vertical="center" wrapText="1"/>
    </xf>
    <xf numFmtId="166" fontId="61" fillId="35" borderId="10" xfId="233" applyNumberFormat="1" applyFont="1" applyFill="1" applyBorder="1" applyAlignment="1">
      <alignment horizontal="left"/>
    </xf>
    <xf numFmtId="0" fontId="10" fillId="36" borderId="16" xfId="228" applyFont="1" applyFill="1" applyBorder="1" applyAlignment="1" applyProtection="1">
      <alignment horizontal="center"/>
      <protection locked="0"/>
    </xf>
    <xf numFmtId="166" fontId="10" fillId="36" borderId="16" xfId="228" applyNumberFormat="1" applyFont="1" applyFill="1" applyBorder="1" applyAlignment="1" applyProtection="1">
      <alignment horizontal="center"/>
      <protection locked="0"/>
    </xf>
    <xf numFmtId="166" fontId="10" fillId="36" borderId="10" xfId="228" applyNumberFormat="1" applyFont="1" applyFill="1" applyBorder="1" applyAlignment="1" applyProtection="1">
      <alignment horizontal="center"/>
      <protection locked="0"/>
    </xf>
    <xf numFmtId="166" fontId="10" fillId="36" borderId="10" xfId="228" applyNumberFormat="1" applyFont="1" applyFill="1" applyBorder="1" applyAlignment="1" applyProtection="1">
      <alignment horizontal="left" indent="1"/>
      <protection locked="0"/>
    </xf>
    <xf numFmtId="164" fontId="10" fillId="36" borderId="10" xfId="78" applyNumberFormat="1" applyFont="1" applyFill="1" applyBorder="1" applyAlignment="1" applyProtection="1">
      <alignment horizontal="right"/>
      <protection locked="0"/>
    </xf>
    <xf numFmtId="166" fontId="10" fillId="36" borderId="10" xfId="228" applyNumberFormat="1" applyFont="1" applyFill="1" applyBorder="1" applyAlignment="1" applyProtection="1">
      <alignment horizontal="right"/>
      <protection locked="0"/>
    </xf>
    <xf numFmtId="164" fontId="10" fillId="36" borderId="16" xfId="228" applyNumberFormat="1" applyFont="1" applyFill="1" applyBorder="1" applyAlignment="1" applyProtection="1">
      <alignment horizontal="right"/>
      <protection locked="0"/>
    </xf>
    <xf numFmtId="166" fontId="10" fillId="36" borderId="16" xfId="228" applyNumberFormat="1" applyFont="1" applyFill="1" applyBorder="1" applyAlignment="1" applyProtection="1">
      <alignment horizontal="right"/>
      <protection locked="0"/>
    </xf>
    <xf numFmtId="0" fontId="10" fillId="36" borderId="10" xfId="231" applyFont="1" applyFill="1" applyBorder="1" applyProtection="1">
      <protection locked="0"/>
    </xf>
    <xf numFmtId="164" fontId="10" fillId="36" borderId="10" xfId="231" applyNumberFormat="1" applyFont="1" applyFill="1" applyBorder="1" applyAlignment="1" applyProtection="1">
      <alignment horizontal="right"/>
      <protection locked="0"/>
    </xf>
    <xf numFmtId="10" fontId="10" fillId="36" borderId="10" xfId="231" applyNumberFormat="1" applyFont="1" applyFill="1" applyBorder="1" applyAlignment="1" applyProtection="1">
      <alignment horizontal="right"/>
      <protection locked="0"/>
    </xf>
    <xf numFmtId="168" fontId="10" fillId="36" borderId="10" xfId="231" applyNumberFormat="1" applyFont="1" applyFill="1" applyBorder="1" applyProtection="1">
      <protection locked="0"/>
    </xf>
    <xf numFmtId="14" fontId="10" fillId="36" borderId="10" xfId="231" applyNumberFormat="1" applyFont="1" applyFill="1" applyBorder="1" applyAlignment="1" applyProtection="1">
      <alignment horizontal="center"/>
      <protection locked="0"/>
    </xf>
    <xf numFmtId="169" fontId="10" fillId="36" borderId="16" xfId="228" applyNumberFormat="1" applyFont="1" applyFill="1" applyBorder="1" applyAlignment="1" applyProtection="1">
      <alignment horizontal="right"/>
      <protection locked="0"/>
    </xf>
    <xf numFmtId="166" fontId="10" fillId="36" borderId="10" xfId="233" applyNumberFormat="1" applyFont="1" applyFill="1" applyBorder="1" applyAlignment="1" applyProtection="1">
      <alignment horizontal="right"/>
      <protection locked="0"/>
    </xf>
    <xf numFmtId="169" fontId="10" fillId="36" borderId="10" xfId="233" applyNumberFormat="1" applyFont="1" applyFill="1" applyBorder="1" applyAlignment="1" applyProtection="1">
      <alignment horizontal="right"/>
      <protection locked="0"/>
    </xf>
    <xf numFmtId="1" fontId="10" fillId="36" borderId="10" xfId="233" applyNumberFormat="1" applyFont="1" applyFill="1" applyBorder="1" applyAlignment="1" applyProtection="1">
      <alignment horizontal="right"/>
      <protection locked="0"/>
    </xf>
    <xf numFmtId="164" fontId="10" fillId="36" borderId="10" xfId="233" applyNumberFormat="1" applyFont="1" applyFill="1" applyBorder="1" applyAlignment="1" applyProtection="1">
      <alignment horizontal="right"/>
      <protection locked="0"/>
    </xf>
    <xf numFmtId="14" fontId="10" fillId="36" borderId="10" xfId="231" applyNumberFormat="1" applyFont="1" applyFill="1" applyBorder="1" applyProtection="1">
      <protection locked="0"/>
    </xf>
    <xf numFmtId="164" fontId="10" fillId="36" borderId="10" xfId="231" applyNumberFormat="1" applyFont="1" applyFill="1" applyBorder="1" applyProtection="1">
      <protection locked="0"/>
    </xf>
    <xf numFmtId="167" fontId="42" fillId="37"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7" borderId="10" xfId="229" applyNumberFormat="1" applyFont="1" applyFill="1" applyBorder="1"/>
    <xf numFmtId="41" fontId="60" fillId="37" borderId="10" xfId="229" applyNumberFormat="1" applyFont="1" applyFill="1" applyBorder="1" applyAlignment="1">
      <alignment horizontal="left"/>
    </xf>
    <xf numFmtId="41" fontId="35" fillId="37" borderId="10" xfId="229" applyNumberFormat="1" applyFont="1" applyFill="1" applyBorder="1"/>
    <xf numFmtId="49" fontId="12" fillId="37" borderId="10" xfId="228" applyNumberFormat="1" applyFont="1" applyFill="1" applyBorder="1"/>
    <xf numFmtId="167" fontId="12" fillId="37" borderId="0" xfId="0" applyNumberFormat="1" applyFont="1" applyFill="1" applyAlignment="1">
      <alignment horizontal="left" vertical="center" wrapText="1"/>
    </xf>
    <xf numFmtId="49" fontId="35" fillId="35" borderId="10" xfId="231" applyNumberFormat="1" applyFont="1" applyFill="1" applyBorder="1" applyAlignment="1">
      <alignment horizontal="center" vertical="center"/>
    </xf>
    <xf numFmtId="164" fontId="10" fillId="38"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7" borderId="0" xfId="152" applyFont="1" applyFill="1">
      <alignment vertical="center"/>
    </xf>
    <xf numFmtId="14" fontId="62" fillId="37" borderId="0" xfId="228" applyNumberFormat="1" applyFont="1" applyFill="1" applyAlignment="1">
      <alignment horizontal="left"/>
    </xf>
    <xf numFmtId="14" fontId="62" fillId="37" borderId="0" xfId="228" applyNumberFormat="1" applyFont="1" applyFill="1" applyAlignment="1">
      <alignment horizontal="right"/>
    </xf>
    <xf numFmtId="14" fontId="54" fillId="37" borderId="0" xfId="228" applyNumberFormat="1" applyFont="1" applyFill="1" applyAlignment="1">
      <alignment horizontal="right"/>
    </xf>
    <xf numFmtId="0" fontId="0" fillId="9" borderId="0" xfId="228" applyFont="1"/>
    <xf numFmtId="167" fontId="12" fillId="35" borderId="10" xfId="0" applyNumberFormat="1" applyFont="1" applyFill="1" applyBorder="1" applyAlignment="1">
      <alignment horizontal="center" vertical="center" wrapText="1"/>
    </xf>
    <xf numFmtId="167" fontId="35" fillId="35" borderId="10" xfId="0" applyNumberFormat="1" applyFont="1" applyFill="1" applyBorder="1" applyAlignment="1">
      <alignment horizontal="center" vertical="center" wrapText="1"/>
    </xf>
    <xf numFmtId="167" fontId="61" fillId="35" borderId="10" xfId="0" applyNumberFormat="1" applyFont="1" applyFill="1" applyBorder="1" applyAlignment="1">
      <alignment horizontal="center" vertical="center" wrapText="1"/>
    </xf>
    <xf numFmtId="0" fontId="10" fillId="36" borderId="10" xfId="228" applyFont="1" applyFill="1" applyBorder="1" applyAlignment="1" applyProtection="1">
      <alignment horizontal="center"/>
      <protection locked="0"/>
    </xf>
    <xf numFmtId="0" fontId="0" fillId="39" borderId="0" xfId="0" applyFill="1"/>
    <xf numFmtId="0" fontId="8" fillId="39" borderId="0" xfId="0" applyFont="1" applyFill="1"/>
    <xf numFmtId="49" fontId="35" fillId="35" borderId="10" xfId="228" applyNumberFormat="1" applyFont="1" applyFill="1" applyBorder="1" applyAlignment="1">
      <alignment horizontal="left" vertical="center" wrapText="1"/>
    </xf>
    <xf numFmtId="2" fontId="12" fillId="35" borderId="0" xfId="78" applyNumberFormat="1" applyFont="1" applyFill="1" applyBorder="1" applyAlignment="1" applyProtection="1">
      <alignment horizontal="center"/>
    </xf>
    <xf numFmtId="49" fontId="12" fillId="35"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5" borderId="10" xfId="80" applyNumberFormat="1" applyFont="1" applyFill="1" applyBorder="1" applyAlignment="1" applyProtection="1">
      <alignment horizontal="center"/>
    </xf>
    <xf numFmtId="49" fontId="58" fillId="35"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8" borderId="10" xfId="80" applyNumberFormat="1" applyFont="1" applyFill="1" applyBorder="1" applyAlignment="1" applyProtection="1">
      <alignment horizontal="right"/>
    </xf>
    <xf numFmtId="49" fontId="12" fillId="35" borderId="10" xfId="228" applyNumberFormat="1" applyFont="1" applyFill="1" applyBorder="1" applyAlignment="1">
      <alignment horizontal="left" vertical="center" wrapText="1"/>
    </xf>
    <xf numFmtId="49" fontId="12" fillId="37"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5" borderId="10" xfId="228" applyFont="1" applyFill="1" applyBorder="1" applyAlignment="1">
      <alignment horizontal="left"/>
    </xf>
    <xf numFmtId="49" fontId="35" fillId="37"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6" borderId="16" xfId="228" applyFont="1" applyFill="1" applyBorder="1" applyAlignment="1" applyProtection="1">
      <alignment horizontal="right"/>
      <protection locked="0"/>
    </xf>
    <xf numFmtId="2" fontId="10" fillId="36" borderId="16" xfId="228" applyNumberFormat="1" applyFont="1" applyFill="1" applyBorder="1" applyAlignment="1" applyProtection="1">
      <alignment horizontal="right"/>
      <protection locked="0"/>
    </xf>
    <xf numFmtId="167" fontId="12" fillId="35" borderId="10" xfId="228" quotePrefix="1" applyNumberFormat="1" applyFont="1" applyFill="1" applyBorder="1" applyAlignment="1">
      <alignment horizontal="left" vertical="center" wrapText="1"/>
    </xf>
    <xf numFmtId="0" fontId="10" fillId="36" borderId="10" xfId="231" applyFont="1" applyFill="1" applyBorder="1" applyAlignment="1" applyProtection="1">
      <alignment horizontal="left" vertical="center"/>
      <protection locked="0"/>
    </xf>
    <xf numFmtId="164" fontId="10" fillId="39" borderId="10" xfId="231" applyNumberFormat="1" applyFont="1" applyFill="1" applyBorder="1" applyAlignment="1">
      <alignment horizontal="right"/>
    </xf>
    <xf numFmtId="10" fontId="10" fillId="39"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5"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6" borderId="10" xfId="231" applyNumberFormat="1" applyFont="1" applyFill="1" applyBorder="1" applyAlignment="1" applyProtection="1">
      <alignment horizontal="center" vertical="center"/>
      <protection locked="0"/>
    </xf>
    <xf numFmtId="168" fontId="10" fillId="36" borderId="10" xfId="231" applyNumberFormat="1" applyFont="1" applyFill="1" applyBorder="1" applyAlignment="1" applyProtection="1">
      <alignment horizontal="center" vertical="center" wrapText="1"/>
      <protection locked="0"/>
    </xf>
    <xf numFmtId="49" fontId="54" fillId="37" borderId="0" xfId="152" applyFill="1">
      <alignment vertical="center"/>
    </xf>
    <xf numFmtId="167" fontId="35" fillId="35" borderId="10" xfId="228" quotePrefix="1" applyNumberFormat="1" applyFont="1" applyFill="1" applyBorder="1" applyAlignment="1">
      <alignment horizontal="left" vertical="center" wrapText="1"/>
    </xf>
    <xf numFmtId="49" fontId="35" fillId="37"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 fontId="10" fillId="36" borderId="16" xfId="228" applyNumberFormat="1" applyFont="1" applyFill="1" applyBorder="1" applyAlignment="1" applyProtection="1">
      <alignment horizontal="right"/>
      <protection locked="0"/>
    </xf>
    <xf numFmtId="14" fontId="10" fillId="36" borderId="16" xfId="228" applyNumberFormat="1" applyFont="1" applyFill="1" applyBorder="1" applyAlignment="1" applyProtection="1">
      <alignment horizontal="right"/>
      <protection locked="0"/>
    </xf>
    <xf numFmtId="164" fontId="7" fillId="38"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7" borderId="0" xfId="0" applyFont="1" applyFill="1" applyAlignment="1">
      <alignment horizontal="right" indent="2"/>
    </xf>
    <xf numFmtId="0" fontId="63" fillId="37" borderId="0" xfId="160" quotePrefix="1" applyFont="1" applyFill="1" applyBorder="1" applyAlignment="1" applyProtection="1"/>
    <xf numFmtId="0" fontId="63" fillId="37" borderId="0" xfId="0" quotePrefix="1" applyFont="1" applyFill="1" applyAlignment="1">
      <alignment horizontal="left"/>
    </xf>
    <xf numFmtId="0" fontId="64" fillId="39" borderId="0" xfId="160" quotePrefix="1" applyFont="1" applyFill="1" applyBorder="1" applyAlignment="1" applyProtection="1"/>
    <xf numFmtId="0" fontId="64" fillId="39" borderId="0" xfId="0" quotePrefix="1" applyFont="1" applyFill="1" applyAlignment="1">
      <alignment horizontal="left"/>
    </xf>
    <xf numFmtId="0" fontId="48" fillId="36" borderId="12" xfId="229" applyFont="1" applyFill="1" applyBorder="1" applyAlignment="1" applyProtection="1">
      <alignment horizontal="right" vertical="center"/>
      <protection locked="0"/>
    </xf>
    <xf numFmtId="0" fontId="50" fillId="40" borderId="0" xfId="0" applyFont="1" applyFill="1"/>
    <xf numFmtId="0" fontId="65" fillId="40" borderId="0" xfId="0" applyFont="1" applyFill="1"/>
    <xf numFmtId="0" fontId="10" fillId="36" borderId="10" xfId="233" applyFont="1" applyFill="1" applyBorder="1" applyAlignment="1" applyProtection="1">
      <alignment horizontal="right"/>
      <protection locked="0"/>
    </xf>
    <xf numFmtId="2" fontId="12" fillId="35" borderId="10" xfId="229" applyNumberFormat="1" applyFont="1" applyFill="1" applyBorder="1" applyAlignment="1">
      <alignment horizontal="center" vertical="center" wrapText="1"/>
    </xf>
    <xf numFmtId="41" fontId="12" fillId="35" borderId="10" xfId="229" applyNumberFormat="1" applyFont="1" applyFill="1" applyBorder="1" applyAlignment="1">
      <alignment horizontal="left" indent="1"/>
    </xf>
    <xf numFmtId="49" fontId="60" fillId="35" borderId="10" xfId="229" applyNumberFormat="1" applyFont="1" applyFill="1" applyBorder="1" applyAlignment="1">
      <alignment horizontal="left" vertical="center" wrapText="1"/>
    </xf>
    <xf numFmtId="10" fontId="10" fillId="0" borderId="0" xfId="218" applyNumberFormat="1"/>
    <xf numFmtId="166" fontId="37" fillId="38" borderId="10" xfId="80" applyNumberFormat="1" applyFont="1" applyFill="1" applyBorder="1" applyAlignment="1" applyProtection="1">
      <alignment horizontal="right"/>
    </xf>
    <xf numFmtId="49" fontId="60" fillId="35"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5" borderId="10" xfId="229" applyNumberFormat="1" applyFont="1" applyFill="1" applyBorder="1" applyAlignment="1">
      <alignment horizontal="left" vertical="center" wrapText="1"/>
    </xf>
    <xf numFmtId="49" fontId="35" fillId="35"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5"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5" borderId="15" xfId="229" applyNumberFormat="1" applyFont="1" applyFill="1" applyBorder="1" applyAlignment="1">
      <alignment horizontal="center" vertical="center"/>
    </xf>
    <xf numFmtId="0" fontId="8" fillId="39" borderId="0" xfId="229" applyFont="1" applyFill="1"/>
    <xf numFmtId="173" fontId="37" fillId="13" borderId="10" xfId="80" applyNumberFormat="1" applyFont="1" applyFill="1" applyBorder="1" applyAlignment="1" applyProtection="1">
      <alignment horizontal="right"/>
    </xf>
    <xf numFmtId="49" fontId="58" fillId="35" borderId="10" xfId="229" applyNumberFormat="1" applyFont="1" applyFill="1" applyBorder="1" applyAlignment="1">
      <alignment horizontal="center" vertical="center"/>
    </xf>
    <xf numFmtId="49" fontId="58" fillId="37" borderId="10" xfId="229" applyNumberFormat="1" applyFont="1" applyFill="1" applyBorder="1"/>
    <xf numFmtId="49" fontId="12" fillId="35" borderId="0" xfId="229" applyNumberFormat="1" applyFont="1" applyFill="1" applyAlignment="1">
      <alignment horizontal="left"/>
    </xf>
    <xf numFmtId="49" fontId="12" fillId="35"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5" borderId="10" xfId="228" applyNumberFormat="1" applyFont="1" applyFill="1" applyBorder="1" applyAlignment="1">
      <alignment horizontal="right"/>
    </xf>
    <xf numFmtId="14" fontId="60" fillId="35" borderId="10" xfId="228" applyNumberFormat="1" applyFont="1" applyFill="1" applyBorder="1" applyAlignment="1">
      <alignment horizontal="right"/>
    </xf>
    <xf numFmtId="49" fontId="58" fillId="35"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6" borderId="10" xfId="242" applyFont="1" applyFill="1" applyBorder="1" applyAlignment="1" applyProtection="1">
      <alignment horizontal="right"/>
      <protection locked="0"/>
    </xf>
    <xf numFmtId="10" fontId="37" fillId="36" borderId="10" xfId="242" applyNumberFormat="1" applyFont="1" applyFill="1" applyBorder="1" applyAlignment="1" applyProtection="1">
      <alignment horizontal="right"/>
      <protection locked="0"/>
    </xf>
    <xf numFmtId="49" fontId="35" fillId="35"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5" borderId="0" xfId="229" applyNumberFormat="1" applyFont="1" applyFill="1" applyAlignment="1">
      <alignment horizontal="left" vertical="center" wrapText="1"/>
    </xf>
    <xf numFmtId="10" fontId="10" fillId="38"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8"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5"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8" borderId="16" xfId="228" applyNumberFormat="1" applyFont="1" applyFill="1" applyBorder="1" applyAlignment="1">
      <alignment horizontal="center"/>
    </xf>
    <xf numFmtId="0" fontId="68" fillId="0" borderId="0" xfId="0" applyFont="1"/>
    <xf numFmtId="49" fontId="12" fillId="35" borderId="28" xfId="229" applyNumberFormat="1" applyFont="1" applyFill="1" applyBorder="1" applyAlignment="1">
      <alignment horizontal="center" vertical="center" wrapText="1"/>
    </xf>
    <xf numFmtId="0" fontId="5" fillId="9" borderId="0" xfId="226"/>
    <xf numFmtId="0" fontId="54" fillId="37" borderId="0" xfId="226" applyFont="1" applyFill="1" applyAlignment="1">
      <alignment vertical="center"/>
    </xf>
    <xf numFmtId="0" fontId="5" fillId="9" borderId="0" xfId="226" applyAlignment="1">
      <alignment horizontal="left" vertical="center"/>
    </xf>
    <xf numFmtId="0" fontId="69" fillId="35" borderId="0" xfId="226" applyFont="1" applyFill="1" applyAlignment="1">
      <alignment vertical="center"/>
    </xf>
    <xf numFmtId="0" fontId="70" fillId="35" borderId="0" xfId="226" applyFont="1" applyFill="1" applyAlignment="1">
      <alignment vertical="center"/>
    </xf>
    <xf numFmtId="0" fontId="60" fillId="35" borderId="0" xfId="226" applyFont="1" applyFill="1" applyAlignment="1">
      <alignment vertical="center"/>
    </xf>
    <xf numFmtId="0" fontId="7" fillId="9" borderId="0" xfId="226" applyFont="1"/>
    <xf numFmtId="0" fontId="71" fillId="35" borderId="17" xfId="226" applyFont="1" applyFill="1" applyBorder="1" applyAlignment="1">
      <alignment vertical="center"/>
    </xf>
    <xf numFmtId="0" fontId="71" fillId="35" borderId="0" xfId="226" applyFont="1" applyFill="1" applyAlignment="1">
      <alignment vertical="center"/>
    </xf>
    <xf numFmtId="0" fontId="71" fillId="37" borderId="0" xfId="226" applyFont="1" applyFill="1" applyAlignment="1">
      <alignment vertical="center"/>
    </xf>
    <xf numFmtId="0" fontId="71" fillId="37"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xf numFmtId="0" fontId="49" fillId="35" borderId="0" xfId="229" applyFont="1" applyFill="1"/>
    <xf numFmtId="0" fontId="48" fillId="35" borderId="0" xfId="229" applyFont="1" applyFill="1"/>
    <xf numFmtId="0" fontId="71" fillId="35"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4" borderId="10" xfId="228" applyFont="1" applyFill="1" applyBorder="1"/>
    <xf numFmtId="0" fontId="10" fillId="41"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5" borderId="10" xfId="229" applyNumberFormat="1" applyFont="1" applyFill="1" applyBorder="1" applyAlignment="1">
      <alignment horizontal="center" vertical="center" wrapText="1"/>
    </xf>
    <xf numFmtId="166" fontId="12" fillId="35" borderId="10" xfId="229" applyNumberFormat="1" applyFont="1" applyFill="1" applyBorder="1" applyAlignment="1">
      <alignment horizontal="left"/>
    </xf>
    <xf numFmtId="0" fontId="12" fillId="35" borderId="10" xfId="229" applyFont="1" applyFill="1" applyBorder="1"/>
    <xf numFmtId="0" fontId="10" fillId="36" borderId="10" xfId="80" applyNumberFormat="1" applyFont="1" applyFill="1" applyBorder="1" applyAlignment="1" applyProtection="1">
      <alignment horizontal="right"/>
    </xf>
    <xf numFmtId="0" fontId="35" fillId="35" borderId="10" xfId="229" applyFont="1" applyFill="1" applyBorder="1"/>
    <xf numFmtId="49" fontId="35" fillId="37" borderId="10" xfId="229" applyNumberFormat="1" applyFont="1" applyFill="1" applyBorder="1"/>
    <xf numFmtId="49" fontId="10" fillId="9" borderId="0" xfId="228" applyNumberFormat="1" applyFont="1"/>
    <xf numFmtId="0" fontId="60" fillId="35" borderId="10" xfId="229" applyFont="1" applyFill="1" applyBorder="1"/>
    <xf numFmtId="164" fontId="10" fillId="38" borderId="10" xfId="80" applyNumberFormat="1" applyFont="1" applyFill="1" applyBorder="1" applyAlignment="1" applyProtection="1">
      <alignment horizontal="right"/>
    </xf>
    <xf numFmtId="0" fontId="0" fillId="9" borderId="0" xfId="229" applyFont="1"/>
    <xf numFmtId="0" fontId="40" fillId="34" borderId="10" xfId="229" applyFont="1" applyFill="1" applyBorder="1"/>
    <xf numFmtId="0" fontId="5" fillId="9" borderId="0" xfId="231" applyAlignment="1">
      <alignment horizontal="center" vertical="center"/>
    </xf>
    <xf numFmtId="0" fontId="68" fillId="9" borderId="0" xfId="228" applyFont="1"/>
    <xf numFmtId="0" fontId="10" fillId="41"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5" borderId="14" xfId="231" applyNumberFormat="1" applyFont="1" applyFill="1" applyBorder="1" applyAlignment="1">
      <alignment horizontal="center"/>
    </xf>
    <xf numFmtId="2" fontId="12" fillId="35"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6"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7" borderId="15" xfId="231" applyFont="1" applyFill="1" applyBorder="1" applyAlignment="1">
      <alignment horizontal="left"/>
    </xf>
    <xf numFmtId="10" fontId="10" fillId="36" borderId="10" xfId="78" applyNumberFormat="1" applyFont="1" applyFill="1" applyBorder="1" applyAlignment="1" applyProtection="1">
      <alignment horizontal="right"/>
      <protection locked="0"/>
    </xf>
    <xf numFmtId="49" fontId="60" fillId="35" borderId="10" xfId="229" applyNumberFormat="1" applyFont="1" applyFill="1" applyBorder="1" applyAlignment="1">
      <alignment vertical="center" wrapText="1"/>
    </xf>
    <xf numFmtId="49" fontId="35" fillId="35" borderId="31" xfId="229" applyNumberFormat="1" applyFont="1" applyFill="1" applyBorder="1" applyAlignment="1">
      <alignment horizontal="left" vertical="center" wrapText="1"/>
    </xf>
    <xf numFmtId="0" fontId="10" fillId="0" borderId="0" xfId="218" applyAlignment="1">
      <alignment vertical="center" wrapText="1"/>
    </xf>
    <xf numFmtId="168" fontId="10" fillId="36" borderId="10" xfId="231" applyNumberFormat="1" applyFont="1" applyFill="1" applyBorder="1" applyAlignment="1" applyProtection="1">
      <alignment horizontal="left" wrapText="1"/>
      <protection locked="0"/>
    </xf>
    <xf numFmtId="0" fontId="10" fillId="36" borderId="10" xfId="231" applyFont="1" applyFill="1" applyBorder="1" applyAlignment="1" applyProtection="1">
      <alignment horizontal="left" wrapText="1"/>
      <protection locked="0"/>
    </xf>
    <xf numFmtId="49" fontId="10" fillId="36" borderId="10" xfId="78" applyNumberFormat="1" applyFont="1" applyFill="1" applyBorder="1" applyAlignment="1" applyProtection="1">
      <alignment horizontal="right"/>
      <protection locked="0"/>
    </xf>
    <xf numFmtId="49" fontId="10" fillId="35" borderId="10" xfId="229" applyNumberFormat="1" applyFill="1" applyBorder="1" applyAlignment="1">
      <alignment horizontal="left"/>
    </xf>
    <xf numFmtId="49" fontId="10" fillId="36"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5" borderId="10" xfId="229" applyNumberFormat="1" applyFont="1" applyFill="1" applyBorder="1" applyAlignment="1">
      <alignment horizontal="left"/>
    </xf>
    <xf numFmtId="49" fontId="35" fillId="35" borderId="10" xfId="229" quotePrefix="1" applyNumberFormat="1" applyFont="1" applyFill="1" applyBorder="1" applyAlignment="1">
      <alignment horizontal="center" vertical="center" wrapText="1"/>
    </xf>
    <xf numFmtId="49" fontId="61" fillId="35" borderId="10" xfId="233" applyNumberFormat="1" applyFont="1" applyFill="1" applyBorder="1" applyAlignment="1">
      <alignment horizontal="left"/>
    </xf>
    <xf numFmtId="49" fontId="10" fillId="36"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5" borderId="10" xfId="233" applyNumberFormat="1" applyFont="1" applyFill="1" applyBorder="1" applyAlignment="1">
      <alignment horizontal="left"/>
    </xf>
    <xf numFmtId="49" fontId="10" fillId="36" borderId="10" xfId="233" applyNumberFormat="1" applyFont="1" applyFill="1" applyBorder="1" applyAlignment="1" applyProtection="1">
      <alignment vertical="top"/>
      <protection locked="0"/>
    </xf>
    <xf numFmtId="49" fontId="10" fillId="36" borderId="10" xfId="228" applyNumberFormat="1" applyFont="1" applyFill="1" applyBorder="1" applyAlignment="1" applyProtection="1">
      <alignment horizontal="center"/>
      <protection locked="0"/>
    </xf>
    <xf numFmtId="41" fontId="12" fillId="35"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5" borderId="42" xfId="0" applyFont="1" applyFill="1" applyBorder="1"/>
    <xf numFmtId="0" fontId="60" fillId="35" borderId="0" xfId="0" applyFont="1" applyFill="1" applyAlignment="1">
      <alignment horizontal="center"/>
    </xf>
    <xf numFmtId="0" fontId="60" fillId="35" borderId="0" xfId="0" applyFont="1" applyFill="1"/>
    <xf numFmtId="0" fontId="60" fillId="35" borderId="43" xfId="0" applyFont="1" applyFill="1" applyBorder="1"/>
    <xf numFmtId="14" fontId="0" fillId="0" borderId="0" xfId="0" applyNumberFormat="1"/>
    <xf numFmtId="0" fontId="48" fillId="9" borderId="0" xfId="226" applyFont="1" applyAlignment="1">
      <alignment horizontal="left" vertical="center"/>
    </xf>
    <xf numFmtId="0" fontId="49" fillId="35" borderId="0" xfId="229" applyFont="1" applyFill="1" applyAlignment="1">
      <alignment horizontal="right" indent="1"/>
    </xf>
    <xf numFmtId="2" fontId="35" fillId="35" borderId="10" xfId="229" applyNumberFormat="1" applyFont="1" applyFill="1" applyBorder="1" applyAlignment="1">
      <alignment horizontal="center" vertical="center" wrapText="1"/>
    </xf>
    <xf numFmtId="49" fontId="35" fillId="35" borderId="30" xfId="233" applyNumberFormat="1" applyFont="1" applyFill="1" applyBorder="1" applyAlignment="1">
      <alignment horizontal="center" vertical="center" wrapText="1"/>
    </xf>
    <xf numFmtId="49" fontId="35" fillId="35" borderId="0" xfId="233" applyNumberFormat="1" applyFont="1" applyFill="1" applyAlignment="1">
      <alignment horizontal="center" vertical="center" wrapText="1"/>
    </xf>
    <xf numFmtId="166" fontId="5" fillId="36" borderId="10" xfId="228" applyNumberFormat="1" applyFill="1" applyBorder="1" applyAlignment="1" applyProtection="1">
      <alignment horizontal="left" indent="1"/>
      <protection locked="0"/>
    </xf>
    <xf numFmtId="166" fontId="5" fillId="36" borderId="16" xfId="228" applyNumberFormat="1" applyFill="1" applyBorder="1" applyAlignment="1" applyProtection="1">
      <alignment horizontal="center"/>
      <protection locked="0"/>
    </xf>
    <xf numFmtId="164" fontId="5" fillId="36" borderId="10" xfId="231" applyNumberFormat="1" applyFill="1" applyBorder="1" applyAlignment="1" applyProtection="1">
      <alignment horizontal="right"/>
      <protection locked="0"/>
    </xf>
    <xf numFmtId="0" fontId="5" fillId="36" borderId="16" xfId="228" applyFill="1" applyBorder="1" applyAlignment="1" applyProtection="1">
      <alignment horizontal="center"/>
      <protection locked="0"/>
    </xf>
    <xf numFmtId="168" fontId="5" fillId="36" borderId="10" xfId="231" applyNumberFormat="1" applyFill="1" applyBorder="1" applyAlignment="1" applyProtection="1">
      <alignment horizontal="center" vertical="center" wrapText="1"/>
      <protection locked="0"/>
    </xf>
    <xf numFmtId="14" fontId="5" fillId="36" borderId="10" xfId="231" applyNumberFormat="1" applyFill="1" applyBorder="1" applyAlignment="1" applyProtection="1">
      <alignment horizontal="center"/>
      <protection locked="0"/>
    </xf>
    <xf numFmtId="14" fontId="5" fillId="36" borderId="10" xfId="231" quotePrefix="1" applyNumberFormat="1" applyFill="1" applyBorder="1" applyAlignment="1" applyProtection="1">
      <alignment horizontal="center"/>
      <protection locked="0"/>
    </xf>
    <xf numFmtId="169" fontId="10" fillId="36" borderId="10" xfId="233" applyNumberFormat="1" applyFont="1" applyFill="1" applyBorder="1" applyAlignment="1" applyProtection="1">
      <alignment horizontal="center"/>
      <protection locked="0"/>
    </xf>
    <xf numFmtId="164" fontId="10" fillId="36" borderId="10" xfId="233" applyNumberFormat="1" applyFont="1" applyFill="1" applyBorder="1" applyAlignment="1" applyProtection="1">
      <alignment horizontal="right" vertical="center"/>
      <protection locked="0"/>
    </xf>
    <xf numFmtId="164" fontId="5" fillId="36" borderId="10" xfId="233" applyNumberFormat="1" applyFill="1" applyBorder="1" applyAlignment="1" applyProtection="1">
      <alignment horizontal="right" vertical="center"/>
      <protection locked="0"/>
    </xf>
    <xf numFmtId="0" fontId="5" fillId="36" borderId="10" xfId="231" applyFill="1" applyBorder="1" applyProtection="1">
      <protection locked="0"/>
    </xf>
    <xf numFmtId="164" fontId="5" fillId="36" borderId="10" xfId="78" quotePrefix="1" applyNumberFormat="1" applyFont="1" applyFill="1" applyBorder="1" applyAlignment="1" applyProtection="1">
      <protection locked="0"/>
    </xf>
    <xf numFmtId="0" fontId="0" fillId="41" borderId="0" xfId="0" applyFill="1"/>
    <xf numFmtId="168" fontId="5" fillId="36" borderId="10" xfId="231" applyNumberFormat="1" applyFill="1" applyBorder="1" applyAlignment="1" applyProtection="1">
      <alignment horizontal="center" vertical="center"/>
      <protection locked="0"/>
    </xf>
    <xf numFmtId="0" fontId="5" fillId="9" borderId="0" xfId="226" applyAlignment="1">
      <alignment vertical="center"/>
    </xf>
    <xf numFmtId="0" fontId="48" fillId="9" borderId="0" xfId="226" applyFont="1" applyAlignment="1">
      <alignment vertical="center"/>
    </xf>
    <xf numFmtId="168" fontId="5" fillId="36" borderId="10" xfId="231" applyNumberFormat="1" applyFill="1" applyBorder="1" applyProtection="1">
      <protection locked="0"/>
    </xf>
    <xf numFmtId="43" fontId="37" fillId="13" borderId="10" xfId="78" applyFont="1" applyFill="1" applyBorder="1" applyAlignment="1">
      <alignment horizontal="right"/>
    </xf>
    <xf numFmtId="0" fontId="5" fillId="36" borderId="10" xfId="80" applyNumberFormat="1" applyFont="1" applyFill="1" applyBorder="1" applyAlignment="1" applyProtection="1">
      <alignment horizontal="center"/>
    </xf>
    <xf numFmtId="49" fontId="5" fillId="36" borderId="10" xfId="228" quotePrefix="1" applyNumberFormat="1" applyFill="1" applyBorder="1" applyAlignment="1" applyProtection="1">
      <alignment horizontal="center" vertical="center" wrapText="1"/>
      <protection locked="0"/>
    </xf>
    <xf numFmtId="49" fontId="5" fillId="36" borderId="10" xfId="78" applyNumberFormat="1" applyFont="1" applyFill="1" applyBorder="1" applyAlignment="1" applyProtection="1">
      <alignment horizontal="center"/>
      <protection locked="0"/>
    </xf>
    <xf numFmtId="49" fontId="5" fillId="36" borderId="10" xfId="78" applyNumberFormat="1" applyFont="1" applyFill="1" applyBorder="1" applyAlignment="1" applyProtection="1">
      <alignment horizontal="right"/>
      <protection locked="0"/>
    </xf>
    <xf numFmtId="49" fontId="5" fillId="36" borderId="10" xfId="80" applyNumberFormat="1" applyFont="1" applyFill="1" applyBorder="1" applyAlignment="1" applyProtection="1">
      <alignment horizontal="center"/>
      <protection locked="0"/>
    </xf>
    <xf numFmtId="49" fontId="0" fillId="36" borderId="10" xfId="80" applyNumberFormat="1" applyFont="1" applyFill="1" applyBorder="1" applyAlignment="1" applyProtection="1">
      <alignment horizontal="center"/>
      <protection locked="0"/>
    </xf>
    <xf numFmtId="49" fontId="5" fillId="36" borderId="10" xfId="231" applyNumberFormat="1" applyFill="1" applyBorder="1" applyAlignment="1" applyProtection="1">
      <alignment horizontal="center"/>
      <protection locked="0"/>
    </xf>
    <xf numFmtId="49" fontId="10" fillId="35" borderId="10" xfId="229" applyNumberFormat="1" applyFill="1" applyBorder="1" applyAlignment="1">
      <alignment horizontal="center"/>
    </xf>
    <xf numFmtId="49" fontId="0" fillId="36" borderId="10" xfId="78" applyNumberFormat="1" applyFont="1" applyFill="1" applyBorder="1" applyAlignment="1" applyProtection="1">
      <alignment horizontal="center"/>
      <protection locked="0"/>
    </xf>
    <xf numFmtId="49" fontId="5" fillId="36" borderId="10" xfId="233" applyNumberFormat="1" applyFill="1" applyBorder="1" applyAlignment="1" applyProtection="1">
      <alignment horizontal="center"/>
      <protection locked="0"/>
    </xf>
    <xf numFmtId="49" fontId="5" fillId="36" borderId="10" xfId="233" applyNumberFormat="1" applyFill="1" applyBorder="1" applyAlignment="1" applyProtection="1">
      <alignment horizontal="center" vertical="top"/>
      <protection locked="0"/>
    </xf>
    <xf numFmtId="168" fontId="5" fillId="36" borderId="10" xfId="231" applyNumberFormat="1" applyFill="1" applyBorder="1" applyAlignment="1" applyProtection="1">
      <alignment horizontal="center"/>
      <protection locked="0"/>
    </xf>
    <xf numFmtId="49" fontId="5" fillId="36" borderId="10" xfId="228" applyNumberFormat="1" applyFill="1" applyBorder="1" applyAlignment="1" applyProtection="1">
      <alignment horizontal="center"/>
      <protection locked="0"/>
    </xf>
    <xf numFmtId="49" fontId="10" fillId="36" borderId="10" xfId="231" applyNumberFormat="1" applyFont="1" applyFill="1" applyBorder="1" applyAlignment="1" applyProtection="1">
      <alignment horizontal="center"/>
      <protection locked="0"/>
    </xf>
    <xf numFmtId="0" fontId="10" fillId="36" borderId="10" xfId="231" applyFont="1" applyFill="1" applyBorder="1" applyAlignment="1" applyProtection="1">
      <alignment horizontal="center"/>
      <protection locked="0"/>
    </xf>
    <xf numFmtId="0" fontId="5" fillId="36" borderId="10" xfId="233" applyFill="1" applyBorder="1" applyAlignment="1" applyProtection="1">
      <alignment horizontal="center"/>
      <protection locked="0"/>
    </xf>
    <xf numFmtId="0" fontId="10" fillId="36" borderId="10" xfId="233" applyFont="1" applyFill="1" applyBorder="1" applyAlignment="1" applyProtection="1">
      <alignment horizontal="center"/>
      <protection locked="0"/>
    </xf>
    <xf numFmtId="0" fontId="71" fillId="35" borderId="15" xfId="226" applyFont="1" applyFill="1" applyBorder="1" applyAlignment="1">
      <alignment horizontal="left" vertical="center"/>
    </xf>
    <xf numFmtId="0" fontId="71" fillId="35" borderId="16" xfId="226" applyFont="1" applyFill="1" applyBorder="1" applyAlignment="1">
      <alignment horizontal="left" vertical="center"/>
    </xf>
    <xf numFmtId="0" fontId="71" fillId="35" borderId="32" xfId="226" applyFont="1" applyFill="1" applyBorder="1" applyAlignment="1">
      <alignment horizontal="left" vertical="center"/>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6" borderId="17" xfId="163" applyFont="1" applyFill="1" applyBorder="1" applyAlignment="1" applyProtection="1">
      <alignment horizontal="left" vertical="center"/>
    </xf>
    <xf numFmtId="0" fontId="48" fillId="36" borderId="0" xfId="226" applyFont="1" applyFill="1" applyAlignment="1">
      <alignment horizontal="left" vertical="center"/>
    </xf>
    <xf numFmtId="0" fontId="48" fillId="36"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vertical="center"/>
    </xf>
    <xf numFmtId="0" fontId="48" fillId="0" borderId="0" xfId="225" applyFont="1" applyFill="1" applyAlignment="1">
      <alignment vertical="center"/>
    </xf>
    <xf numFmtId="0" fontId="8" fillId="36" borderId="32" xfId="226" applyFont="1" applyFill="1" applyBorder="1" applyAlignment="1" applyProtection="1">
      <alignment vertical="center" wrapText="1"/>
      <protection locked="0"/>
    </xf>
    <xf numFmtId="0" fontId="48" fillId="36" borderId="32" xfId="225" applyFont="1" applyFill="1" applyBorder="1" applyAlignment="1" applyProtection="1">
      <alignment vertical="center" wrapText="1"/>
      <protection locked="0"/>
    </xf>
    <xf numFmtId="0" fontId="48" fillId="36" borderId="16" xfId="225" applyFont="1" applyFill="1" applyBorder="1" applyAlignment="1" applyProtection="1">
      <alignment vertical="center" wrapText="1"/>
      <protection locked="0"/>
    </xf>
    <xf numFmtId="0" fontId="8" fillId="36" borderId="10" xfId="226" applyFont="1" applyFill="1" applyBorder="1" applyAlignment="1" applyProtection="1">
      <alignment vertical="center" wrapText="1"/>
      <protection locked="0"/>
    </xf>
    <xf numFmtId="0" fontId="48" fillId="36" borderId="10" xfId="226" applyFont="1" applyFill="1" applyBorder="1" applyAlignment="1" applyProtection="1">
      <alignment vertical="center" wrapText="1"/>
      <protection locked="0"/>
    </xf>
    <xf numFmtId="14" fontId="8" fillId="36" borderId="32" xfId="226" applyNumberFormat="1" applyFont="1" applyFill="1" applyBorder="1" applyAlignment="1" applyProtection="1">
      <alignment vertical="center"/>
      <protection locked="0"/>
    </xf>
    <xf numFmtId="14" fontId="48" fillId="36" borderId="32" xfId="225" applyNumberFormat="1" applyFont="1" applyFill="1" applyBorder="1" applyAlignment="1" applyProtection="1">
      <alignment vertical="center"/>
      <protection locked="0"/>
    </xf>
    <xf numFmtId="14" fontId="48" fillId="36" borderId="16" xfId="225" applyNumberFormat="1" applyFont="1" applyFill="1" applyBorder="1" applyAlignment="1" applyProtection="1">
      <alignment vertical="center"/>
      <protection locked="0"/>
    </xf>
    <xf numFmtId="0" fontId="49" fillId="35" borderId="0" xfId="229" applyFont="1" applyFill="1" applyAlignment="1">
      <alignment horizontal="right" indent="1"/>
    </xf>
    <xf numFmtId="0" fontId="49" fillId="35" borderId="31" xfId="229" applyFont="1" applyFill="1" applyBorder="1" applyAlignment="1">
      <alignment horizontal="right" indent="1"/>
    </xf>
    <xf numFmtId="0" fontId="74" fillId="35" borderId="19" xfId="229" applyFont="1" applyFill="1" applyBorder="1" applyAlignment="1">
      <alignment horizontal="center"/>
    </xf>
    <xf numFmtId="0" fontId="74" fillId="35" borderId="20" xfId="229" applyFont="1" applyFill="1" applyBorder="1" applyAlignment="1">
      <alignment horizontal="center"/>
    </xf>
    <xf numFmtId="0" fontId="74" fillId="35" borderId="21" xfId="229" applyFont="1" applyFill="1" applyBorder="1" applyAlignment="1">
      <alignment horizontal="center"/>
    </xf>
    <xf numFmtId="0" fontId="74" fillId="35" borderId="22" xfId="229" applyFont="1" applyFill="1" applyBorder="1" applyAlignment="1">
      <alignment horizontal="center"/>
    </xf>
    <xf numFmtId="0" fontId="74" fillId="35" borderId="23" xfId="229" applyFont="1" applyFill="1" applyBorder="1" applyAlignment="1">
      <alignment horizontal="center"/>
    </xf>
    <xf numFmtId="0" fontId="74" fillId="35" borderId="24" xfId="229" applyFont="1" applyFill="1" applyBorder="1" applyAlignment="1">
      <alignment horizontal="center"/>
    </xf>
    <xf numFmtId="0" fontId="71" fillId="35" borderId="17" xfId="229" applyFont="1" applyFill="1" applyBorder="1" applyAlignment="1">
      <alignment horizontal="left" vertical="top"/>
    </xf>
    <xf numFmtId="0" fontId="71" fillId="35" borderId="22" xfId="229" applyFont="1" applyFill="1" applyBorder="1" applyAlignment="1">
      <alignment horizontal="left" vertical="top"/>
    </xf>
    <xf numFmtId="0" fontId="74" fillId="35" borderId="23" xfId="229" applyFont="1" applyFill="1" applyBorder="1" applyAlignment="1">
      <alignment horizontal="center" vertical="center"/>
    </xf>
    <xf numFmtId="0" fontId="74" fillId="35" borderId="24" xfId="229" applyFont="1" applyFill="1" applyBorder="1" applyAlignment="1">
      <alignment horizontal="center" vertical="center"/>
    </xf>
    <xf numFmtId="0" fontId="49" fillId="35" borderId="18" xfId="229" applyFont="1" applyFill="1" applyBorder="1" applyAlignment="1">
      <alignment horizontal="center"/>
    </xf>
    <xf numFmtId="0" fontId="49" fillId="35" borderId="0" xfId="229" applyFont="1" applyFill="1" applyAlignment="1">
      <alignment horizontal="center"/>
    </xf>
    <xf numFmtId="0" fontId="48" fillId="36" borderId="10" xfId="229" applyFont="1" applyFill="1" applyBorder="1" applyAlignment="1" applyProtection="1">
      <alignment horizontal="right" vertical="center"/>
      <protection locked="0"/>
    </xf>
    <xf numFmtId="0" fontId="48" fillId="35" borderId="30" xfId="229" applyFont="1" applyFill="1" applyBorder="1" applyAlignment="1">
      <alignment horizontal="center"/>
    </xf>
    <xf numFmtId="0" fontId="48" fillId="35" borderId="18" xfId="229" applyFont="1" applyFill="1" applyBorder="1" applyAlignment="1">
      <alignment horizontal="center"/>
    </xf>
    <xf numFmtId="0" fontId="48" fillId="36" borderId="15" xfId="229" applyFont="1" applyFill="1" applyBorder="1" applyAlignment="1" applyProtection="1">
      <alignment horizontal="right" vertical="center"/>
      <protection locked="0"/>
    </xf>
    <xf numFmtId="0" fontId="48" fillId="36" borderId="32" xfId="229" applyFont="1" applyFill="1" applyBorder="1" applyAlignment="1" applyProtection="1">
      <alignment horizontal="right" vertical="center"/>
      <protection locked="0"/>
    </xf>
    <xf numFmtId="0" fontId="48" fillId="36" borderId="16" xfId="229" applyFont="1" applyFill="1" applyBorder="1" applyAlignment="1" applyProtection="1">
      <alignment horizontal="right" vertical="center"/>
      <protection locked="0"/>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6" borderId="15" xfId="229" quotePrefix="1" applyFont="1" applyFill="1" applyBorder="1" applyAlignment="1" applyProtection="1">
      <alignment horizontal="right" vertical="center"/>
      <protection locked="0"/>
    </xf>
    <xf numFmtId="49" fontId="8" fillId="36" borderId="32" xfId="226" applyNumberFormat="1" applyFont="1" applyFill="1" applyBorder="1" applyAlignment="1" applyProtection="1">
      <alignment horizontal="right" vertical="center"/>
      <protection locked="0"/>
    </xf>
    <xf numFmtId="49" fontId="48" fillId="36" borderId="32" xfId="225" applyNumberFormat="1" applyFont="1" applyFill="1" applyBorder="1" applyAlignment="1" applyProtection="1">
      <alignment horizontal="right" vertical="center"/>
      <protection locked="0"/>
    </xf>
    <xf numFmtId="49" fontId="48" fillId="36" borderId="16" xfId="225" applyNumberFormat="1" applyFont="1" applyFill="1" applyBorder="1" applyAlignment="1" applyProtection="1">
      <alignment horizontal="right" vertical="center"/>
      <protection locked="0"/>
    </xf>
    <xf numFmtId="0" fontId="71" fillId="35" borderId="30" xfId="226" applyFont="1" applyFill="1" applyBorder="1" applyAlignment="1">
      <alignment horizontal="left" vertical="center" wrapText="1"/>
    </xf>
    <xf numFmtId="0" fontId="71" fillId="35" borderId="0" xfId="226" applyFont="1" applyFill="1" applyAlignment="1">
      <alignment horizontal="left" vertical="center" wrapText="1"/>
    </xf>
    <xf numFmtId="0" fontId="8" fillId="36" borderId="10" xfId="226" applyFont="1" applyFill="1" applyBorder="1" applyAlignment="1" applyProtection="1">
      <alignment vertical="center"/>
      <protection locked="0"/>
    </xf>
    <xf numFmtId="0" fontId="48" fillId="36" borderId="10" xfId="226" applyFont="1" applyFill="1" applyBorder="1" applyAlignment="1" applyProtection="1">
      <alignment vertical="center"/>
      <protection locked="0"/>
    </xf>
    <xf numFmtId="0" fontId="8" fillId="36" borderId="32" xfId="226" applyFont="1" applyFill="1" applyBorder="1" applyAlignment="1" applyProtection="1">
      <alignment vertical="center"/>
      <protection locked="0"/>
    </xf>
    <xf numFmtId="0" fontId="48" fillId="36" borderId="32" xfId="225" applyFont="1" applyFill="1" applyBorder="1" applyAlignment="1" applyProtection="1">
      <alignment vertical="center"/>
      <protection locked="0"/>
    </xf>
    <xf numFmtId="0" fontId="48" fillId="36" borderId="16" xfId="225" applyFont="1" applyFill="1" applyBorder="1" applyAlignment="1" applyProtection="1">
      <alignment vertical="center"/>
      <protection locked="0"/>
    </xf>
    <xf numFmtId="0" fontId="71" fillId="35" borderId="0" xfId="226" applyFont="1" applyFill="1" applyAlignment="1">
      <alignment horizontal="left" vertical="center"/>
    </xf>
    <xf numFmtId="49" fontId="8" fillId="36" borderId="32" xfId="226" applyNumberFormat="1" applyFont="1" applyFill="1" applyBorder="1" applyAlignment="1" applyProtection="1">
      <alignment vertical="center"/>
      <protection locked="0"/>
    </xf>
    <xf numFmtId="49" fontId="48" fillId="36" borderId="32" xfId="225" applyNumberFormat="1" applyFont="1" applyFill="1" applyBorder="1" applyAlignment="1" applyProtection="1">
      <alignment vertical="center"/>
      <protection locked="0"/>
    </xf>
    <xf numFmtId="49" fontId="48" fillId="36" borderId="16" xfId="225" applyNumberFormat="1" applyFont="1" applyFill="1" applyBorder="1" applyAlignment="1" applyProtection="1">
      <alignment vertical="center"/>
      <protection locked="0"/>
    </xf>
    <xf numFmtId="0" fontId="75" fillId="39" borderId="0" xfId="0" applyFont="1" applyFill="1" applyAlignment="1">
      <alignment horizontal="center"/>
    </xf>
    <xf numFmtId="49" fontId="35" fillId="35" borderId="15" xfId="229" applyNumberFormat="1" applyFont="1" applyFill="1" applyBorder="1" applyAlignment="1">
      <alignment horizontal="center" vertical="center"/>
    </xf>
    <xf numFmtId="49" fontId="35" fillId="35" borderId="16" xfId="229" applyNumberFormat="1" applyFont="1" applyFill="1" applyBorder="1" applyAlignment="1">
      <alignment horizontal="center" vertical="center"/>
    </xf>
    <xf numFmtId="49" fontId="35" fillId="35" borderId="33" xfId="229" applyNumberFormat="1" applyFont="1" applyFill="1" applyBorder="1" applyAlignment="1">
      <alignment horizontal="center" vertical="center"/>
    </xf>
    <xf numFmtId="49" fontId="35" fillId="35" borderId="11" xfId="229" applyNumberFormat="1" applyFont="1" applyFill="1" applyBorder="1" applyAlignment="1">
      <alignment horizontal="center" vertical="center"/>
    </xf>
    <xf numFmtId="2" fontId="35" fillId="35" borderId="11" xfId="228" applyNumberFormat="1" applyFont="1" applyFill="1" applyBorder="1" applyAlignment="1">
      <alignment horizontal="center" vertical="center" wrapText="1"/>
    </xf>
    <xf numFmtId="2" fontId="35" fillId="35" borderId="13" xfId="228" applyNumberFormat="1" applyFont="1" applyFill="1" applyBorder="1" applyAlignment="1">
      <alignment horizontal="center" vertical="center" wrapText="1"/>
    </xf>
    <xf numFmtId="2" fontId="35" fillId="35" borderId="15" xfId="228" applyNumberFormat="1" applyFont="1" applyFill="1" applyBorder="1" applyAlignment="1">
      <alignment horizontal="center" vertical="center" wrapText="1"/>
    </xf>
    <xf numFmtId="2" fontId="35" fillId="35" borderId="32" xfId="228" applyNumberFormat="1" applyFont="1" applyFill="1" applyBorder="1" applyAlignment="1">
      <alignment horizontal="center" vertical="center" wrapText="1"/>
    </xf>
    <xf numFmtId="2" fontId="35" fillId="35" borderId="15" xfId="229" applyNumberFormat="1" applyFont="1" applyFill="1" applyBorder="1" applyAlignment="1">
      <alignment horizontal="center" vertical="center" wrapText="1"/>
    </xf>
    <xf numFmtId="2" fontId="35" fillId="35" borderId="32" xfId="229" applyNumberFormat="1" applyFont="1" applyFill="1" applyBorder="1" applyAlignment="1">
      <alignment horizontal="center" vertical="center" wrapText="1"/>
    </xf>
    <xf numFmtId="2" fontId="35" fillId="35" borderId="16" xfId="229" applyNumberFormat="1" applyFont="1" applyFill="1" applyBorder="1" applyAlignment="1">
      <alignment horizontal="center" vertical="center" wrapText="1"/>
    </xf>
    <xf numFmtId="167" fontId="35" fillId="35" borderId="15" xfId="228" quotePrefix="1" applyNumberFormat="1" applyFont="1" applyFill="1" applyBorder="1" applyAlignment="1">
      <alignment horizontal="left" vertical="center" wrapText="1"/>
    </xf>
    <xf numFmtId="167" fontId="35" fillId="35" borderId="16" xfId="228" quotePrefix="1" applyNumberFormat="1" applyFont="1" applyFill="1" applyBorder="1" applyAlignment="1">
      <alignment horizontal="left" vertical="center" wrapText="1"/>
    </xf>
    <xf numFmtId="0" fontId="8" fillId="39" borderId="0" xfId="0" applyFont="1" applyFill="1" applyAlignment="1">
      <alignment horizontal="left" vertical="top" wrapText="1"/>
    </xf>
    <xf numFmtId="49" fontId="12" fillId="35" borderId="15" xfId="228" applyNumberFormat="1" applyFont="1" applyFill="1" applyBorder="1" applyAlignment="1">
      <alignment horizontal="left" wrapText="1"/>
    </xf>
    <xf numFmtId="49" fontId="12" fillId="35"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5" borderId="10" xfId="229" applyNumberFormat="1" applyFont="1" applyFill="1" applyBorder="1" applyAlignment="1">
      <alignment horizontal="center" vertical="center" wrapText="1"/>
    </xf>
    <xf numFmtId="0" fontId="8" fillId="39" borderId="0" xfId="0" applyFont="1" applyFill="1" applyAlignment="1">
      <alignment horizontal="left" vertical="center" wrapText="1"/>
    </xf>
    <xf numFmtId="0" fontId="35" fillId="37" borderId="32" xfId="231" applyFont="1" applyFill="1" applyBorder="1" applyAlignment="1">
      <alignment horizontal="left"/>
    </xf>
    <xf numFmtId="0" fontId="35" fillId="37" borderId="16" xfId="231" applyFont="1" applyFill="1" applyBorder="1" applyAlignment="1">
      <alignment horizontal="left"/>
    </xf>
    <xf numFmtId="49" fontId="35" fillId="35" borderId="30" xfId="233" applyNumberFormat="1" applyFont="1" applyFill="1" applyBorder="1" applyAlignment="1">
      <alignment horizontal="center" vertical="center" wrapText="1"/>
    </xf>
    <xf numFmtId="49" fontId="35" fillId="35" borderId="0" xfId="233" applyNumberFormat="1" applyFont="1" applyFill="1" applyAlignment="1">
      <alignment horizontal="center" vertical="center" wrapText="1"/>
    </xf>
    <xf numFmtId="49" fontId="35" fillId="35" borderId="15" xfId="233" applyNumberFormat="1" applyFont="1" applyFill="1" applyBorder="1" applyAlignment="1">
      <alignment horizontal="center" vertical="center" wrapText="1"/>
    </xf>
    <xf numFmtId="49" fontId="35" fillId="35" borderId="16" xfId="233" applyNumberFormat="1" applyFont="1" applyFill="1" applyBorder="1" applyAlignment="1">
      <alignment horizontal="center" vertical="center" wrapText="1"/>
    </xf>
    <xf numFmtId="49" fontId="58" fillId="37" borderId="33" xfId="228" applyNumberFormat="1" applyFont="1" applyFill="1" applyBorder="1" applyAlignment="1">
      <alignment horizontal="left"/>
    </xf>
    <xf numFmtId="49" fontId="58" fillId="37" borderId="34" xfId="228" applyNumberFormat="1" applyFont="1" applyFill="1" applyBorder="1" applyAlignment="1">
      <alignment horizontal="left"/>
    </xf>
    <xf numFmtId="168" fontId="58" fillId="37" borderId="15" xfId="231" applyNumberFormat="1" applyFont="1" applyFill="1" applyBorder="1" applyAlignment="1">
      <alignment horizontal="left"/>
    </xf>
    <xf numFmtId="168" fontId="58" fillId="37" borderId="32" xfId="231" applyNumberFormat="1" applyFont="1" applyFill="1" applyBorder="1" applyAlignment="1">
      <alignment horizontal="left"/>
    </xf>
    <xf numFmtId="168" fontId="58" fillId="37" borderId="16" xfId="231" applyNumberFormat="1" applyFont="1" applyFill="1" applyBorder="1" applyAlignment="1">
      <alignment horizontal="left"/>
    </xf>
    <xf numFmtId="173" fontId="37" fillId="13" borderId="10" xfId="80" applyNumberFormat="1" applyFont="1" applyFill="1" applyBorder="1" applyAlignment="1" applyProtection="1">
      <alignment horizontal="center" vertical="center" wrapText="1"/>
    </xf>
    <xf numFmtId="49" fontId="60" fillId="35" borderId="14" xfId="229" applyNumberFormat="1" applyFont="1" applyFill="1" applyBorder="1" applyAlignment="1">
      <alignment horizontal="center" vertical="center"/>
    </xf>
    <xf numFmtId="49" fontId="60" fillId="35" borderId="12" xfId="229" applyNumberFormat="1" applyFont="1" applyFill="1" applyBorder="1" applyAlignment="1">
      <alignment horizontal="center" vertical="center"/>
    </xf>
    <xf numFmtId="49" fontId="35" fillId="35" borderId="14" xfId="229" applyNumberFormat="1" applyFont="1" applyFill="1" applyBorder="1" applyAlignment="1">
      <alignment horizontal="center" vertical="center" wrapText="1"/>
    </xf>
    <xf numFmtId="49" fontId="35" fillId="35" borderId="12" xfId="229" applyNumberFormat="1" applyFont="1" applyFill="1" applyBorder="1" applyAlignment="1">
      <alignment horizontal="center" vertical="center" wrapText="1"/>
    </xf>
    <xf numFmtId="2" fontId="35" fillId="35" borderId="14" xfId="229" applyNumberFormat="1" applyFont="1" applyFill="1" applyBorder="1" applyAlignment="1">
      <alignment horizontal="center" vertical="center" wrapText="1"/>
    </xf>
    <xf numFmtId="2" fontId="35" fillId="35" borderId="12" xfId="229" applyNumberFormat="1" applyFont="1" applyFill="1" applyBorder="1" applyAlignment="1">
      <alignment horizontal="center" vertical="center" wrapText="1"/>
    </xf>
    <xf numFmtId="49" fontId="35" fillId="35" borderId="33" xfId="229" applyNumberFormat="1" applyFont="1" applyFill="1" applyBorder="1" applyAlignment="1">
      <alignment horizontal="center" vertical="center" wrapText="1"/>
    </xf>
    <xf numFmtId="49" fontId="35" fillId="35" borderId="11" xfId="229" applyNumberFormat="1" applyFont="1" applyFill="1" applyBorder="1" applyAlignment="1">
      <alignment horizontal="center" vertical="center" wrapText="1"/>
    </xf>
    <xf numFmtId="49" fontId="76" fillId="35" borderId="35" xfId="229" applyNumberFormat="1" applyFont="1" applyFill="1" applyBorder="1" applyAlignment="1">
      <alignment horizontal="center" vertical="center" wrapText="1"/>
    </xf>
    <xf numFmtId="49" fontId="76" fillId="35" borderId="36" xfId="229" applyNumberFormat="1" applyFont="1" applyFill="1" applyBorder="1" applyAlignment="1">
      <alignment horizontal="center" vertical="center" wrapText="1"/>
    </xf>
    <xf numFmtId="49" fontId="35" fillId="35" borderId="19" xfId="229" applyNumberFormat="1" applyFont="1" applyFill="1" applyBorder="1" applyAlignment="1">
      <alignment horizontal="center" vertical="center" wrapText="1"/>
    </xf>
    <xf numFmtId="49" fontId="35" fillId="35" borderId="20" xfId="229" applyNumberFormat="1" applyFont="1" applyFill="1" applyBorder="1" applyAlignment="1">
      <alignment horizontal="center" vertical="center" wrapText="1"/>
    </xf>
    <xf numFmtId="49" fontId="35" fillId="35" borderId="21" xfId="229" applyNumberFormat="1" applyFont="1" applyFill="1" applyBorder="1" applyAlignment="1">
      <alignment horizontal="center" vertical="center" wrapText="1"/>
    </xf>
    <xf numFmtId="49" fontId="35" fillId="35" borderId="35" xfId="229" applyNumberFormat="1" applyFont="1" applyFill="1" applyBorder="1" applyAlignment="1">
      <alignment horizontal="center" vertical="center" wrapText="1"/>
    </xf>
    <xf numFmtId="49" fontId="35" fillId="35" borderId="37" xfId="229" applyNumberFormat="1" applyFont="1" applyFill="1" applyBorder="1" applyAlignment="1">
      <alignment horizontal="center" vertical="center" wrapText="1"/>
    </xf>
    <xf numFmtId="49" fontId="35" fillId="35" borderId="36" xfId="229" applyNumberFormat="1" applyFont="1" applyFill="1" applyBorder="1" applyAlignment="1">
      <alignment horizontal="center" vertical="center" wrapText="1"/>
    </xf>
    <xf numFmtId="49" fontId="12" fillId="35" borderId="38" xfId="229" applyNumberFormat="1" applyFont="1" applyFill="1" applyBorder="1" applyAlignment="1">
      <alignment horizontal="center" vertical="center" wrapText="1"/>
    </xf>
    <xf numFmtId="49" fontId="12" fillId="35" borderId="39" xfId="229" applyNumberFormat="1" applyFont="1" applyFill="1" applyBorder="1" applyAlignment="1">
      <alignment horizontal="center" vertical="center" wrapText="1"/>
    </xf>
    <xf numFmtId="49" fontId="12" fillId="35" borderId="14" xfId="229" applyNumberFormat="1" applyFont="1" applyFill="1" applyBorder="1" applyAlignment="1">
      <alignment horizontal="center" vertical="center" wrapText="1"/>
    </xf>
    <xf numFmtId="49" fontId="12" fillId="35" borderId="12" xfId="229" applyNumberFormat="1" applyFont="1" applyFill="1" applyBorder="1" applyAlignment="1">
      <alignment horizontal="center" vertical="center" wrapText="1"/>
    </xf>
    <xf numFmtId="49" fontId="12" fillId="35" borderId="40" xfId="229" applyNumberFormat="1" applyFont="1" applyFill="1" applyBorder="1" applyAlignment="1">
      <alignment horizontal="center" vertical="center" wrapText="1"/>
    </xf>
    <xf numFmtId="49" fontId="12" fillId="35" borderId="41" xfId="229" applyNumberFormat="1" applyFont="1" applyFill="1" applyBorder="1" applyAlignment="1">
      <alignment horizontal="center" vertical="center" wrapText="1"/>
    </xf>
  </cellXfs>
  <cellStyles count="280">
    <cellStyle name="_APL (B001)_Jan11_Rec 2" xfId="270" xr:uid="{351776EE-40FB-4F1E-940C-764E00D9CD73}"/>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2 2" xfId="278" xr:uid="{88CD9B07-8289-4E72-8D33-FC41C0667130}"/>
    <cellStyle name="Comma 13" xfId="262" xr:uid="{26A5C37A-3F28-4C12-96E6-28173ED4D24C}"/>
    <cellStyle name="Comma 14" xfId="268" xr:uid="{01394A52-B412-4F9F-9CF3-AC27DF16E68B}"/>
    <cellStyle name="Comma 15" xfId="277" xr:uid="{6B3C4614-824A-4682-9F42-91FEF0D00EE7}"/>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9" xr:uid="{BAFB0E3B-753D-471D-B7C5-83A8C8F3CCA2}"/>
    <cellStyle name="Comma 2 6" xfId="103" xr:uid="{EA84FB16-5FA5-428F-A3BD-2E4018732EB7}"/>
    <cellStyle name="Comma 2 7" xfId="104" xr:uid="{B55AEAD4-5680-4ACF-AE44-FD45F543CB44}"/>
    <cellStyle name="Comma 2 8" xfId="276" xr:uid="{E719682D-0CED-4DAB-B4D2-A6BF41B4BE00}"/>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3" xr:uid="{6B6BDA52-F9EA-4E6D-BDFB-5EA3166CCC64}"/>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4F73A457-B8D0-46DE-8B1F-17D7D48DB17E}"/>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90A0DC57-C2C7-42F3-8CF4-FBF916D8B005}"/>
    <cellStyle name="Normal 18" xfId="275" xr:uid="{32ADC9B5-7DA3-49D3-B6CD-3ED94666CB80}"/>
    <cellStyle name="Normal 2" xfId="215" xr:uid="{BCF64815-8991-4520-9077-B22C533E8BEF}"/>
    <cellStyle name="Normal 2 2" xfId="216" xr:uid="{719DBC7F-130B-4123-8107-776B1CFC2FE8}"/>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3" xfId="259" xr:uid="{A28539B0-AA69-4C8D-B896-5970B9B76BC1}"/>
    <cellStyle name="Normal 3 3 2" xfId="279" xr:uid="{38FC576D-7616-48A2-AF6F-B8E7FFB23E3B}"/>
    <cellStyle name="Normal 36" xfId="257" xr:uid="{49C3616A-50EC-4DA4-811F-789BF3528854}"/>
    <cellStyle name="Normal 4" xfId="221" xr:uid="{4BCED485-4A9D-4AC5-9829-2AB67EECA1AC}"/>
    <cellStyle name="Normal 42" xfId="271" xr:uid="{91F2754A-33D8-4617-85B5-41AB9E2FA450}"/>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67" xr:uid="{99339C8E-AC60-42F3-8391-22256B744DA5}"/>
    <cellStyle name="Normal 9" xfId="274" xr:uid="{A525DE0F-4532-4A92-95B2-C8A7CF4BDC3F}"/>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88">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D7F1FC"/>
      <color rgb="FFFFF9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766948847.17262506</c:v>
                </c:pt>
                <c:pt idx="1">
                  <c:v>0</c:v>
                </c:pt>
                <c:pt idx="2">
                  <c:v>0</c:v>
                </c:pt>
                <c:pt idx="3">
                  <c:v>0</c:v>
                </c:pt>
                <c:pt idx="4">
                  <c:v>0</c:v>
                </c:pt>
                <c:pt idx="5">
                  <c:v>100.00027156286733</c:v>
                </c:pt>
                <c:pt idx="6">
                  <c:v>0</c:v>
                </c:pt>
                <c:pt idx="7">
                  <c:v>0</c:v>
                </c:pt>
                <c:pt idx="8">
                  <c:v>0</c:v>
                </c:pt>
                <c:pt idx="9">
                  <c:v>0</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322800533.76036066</c:v>
                </c:pt>
                <c:pt idx="1">
                  <c:v>0</c:v>
                </c:pt>
                <c:pt idx="2">
                  <c:v>0</c:v>
                </c:pt>
                <c:pt idx="3">
                  <c:v>0</c:v>
                </c:pt>
                <c:pt idx="4">
                  <c:v>0</c:v>
                </c:pt>
                <c:pt idx="5">
                  <c:v>42.08904043037041</c:v>
                </c:pt>
                <c:pt idx="6">
                  <c:v>0</c:v>
                </c:pt>
                <c:pt idx="7">
                  <c:v>0</c:v>
                </c:pt>
                <c:pt idx="8">
                  <c:v>0</c:v>
                </c:pt>
                <c:pt idx="9">
                  <c:v>0</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1510</c:v>
                </c:pt>
                <c:pt idx="1">
                  <c:v>1510</c:v>
                </c:pt>
                <c:pt idx="2">
                  <c:v>1510</c:v>
                </c:pt>
                <c:pt idx="3">
                  <c:v>1510</c:v>
                </c:pt>
                <c:pt idx="4">
                  <c:v>1510</c:v>
                </c:pt>
                <c:pt idx="5">
                  <c:v>1510</c:v>
                </c:pt>
                <c:pt idx="6">
                  <c:v>1510</c:v>
                </c:pt>
                <c:pt idx="7">
                  <c:v>1510</c:v>
                </c:pt>
                <c:pt idx="8">
                  <c:v>1510</c:v>
                </c:pt>
                <c:pt idx="9">
                  <c:v>1510</c:v>
                </c:pt>
                <c:pt idx="10">
                  <c:v>1510</c:v>
                </c:pt>
                <c:pt idx="11">
                  <c:v>1510</c:v>
                </c:pt>
                <c:pt idx="12">
                  <c:v>1510</c:v>
                </c:pt>
                <c:pt idx="13">
                  <c:v>1510</c:v>
                </c:pt>
                <c:pt idx="14">
                  <c:v>1510</c:v>
                </c:pt>
                <c:pt idx="15">
                  <c:v>1510</c:v>
                </c:pt>
                <c:pt idx="16">
                  <c:v>1510</c:v>
                </c:pt>
                <c:pt idx="17">
                  <c:v>1510</c:v>
                </c:pt>
                <c:pt idx="18">
                  <c:v>1510</c:v>
                </c:pt>
                <c:pt idx="19">
                  <c:v>1510</c:v>
                </c:pt>
                <c:pt idx="20">
                  <c:v>1510</c:v>
                </c:pt>
                <c:pt idx="21">
                  <c:v>1510</c:v>
                </c:pt>
                <c:pt idx="22">
                  <c:v>1510</c:v>
                </c:pt>
                <c:pt idx="23">
                  <c:v>1510</c:v>
                </c:pt>
                <c:pt idx="24">
                  <c:v>1510</c:v>
                </c:pt>
                <c:pt idx="25">
                  <c:v>1510</c:v>
                </c:pt>
                <c:pt idx="26">
                  <c:v>1510</c:v>
                </c:pt>
                <c:pt idx="27">
                  <c:v>1510</c:v>
                </c:pt>
                <c:pt idx="28">
                  <c:v>1510</c:v>
                </c:pt>
                <c:pt idx="29">
                  <c:v>1510</c:v>
                </c:pt>
                <c:pt idx="30">
                  <c:v>1510</c:v>
                </c:pt>
                <c:pt idx="31">
                  <c:v>1510</c:v>
                </c:pt>
                <c:pt idx="32">
                  <c:v>1510</c:v>
                </c:pt>
                <c:pt idx="33">
                  <c:v>1510</c:v>
                </c:pt>
                <c:pt idx="34">
                  <c:v>1510</c:v>
                </c:pt>
                <c:pt idx="35">
                  <c:v>1510</c:v>
                </c:pt>
                <c:pt idx="36">
                  <c:v>1510</c:v>
                </c:pt>
                <c:pt idx="37">
                  <c:v>1510</c:v>
                </c:pt>
                <c:pt idx="38">
                  <c:v>1510</c:v>
                </c:pt>
                <c:pt idx="39">
                  <c:v>1510</c:v>
                </c:pt>
                <c:pt idx="40">
                  <c:v>1510</c:v>
                </c:pt>
                <c:pt idx="41">
                  <c:v>1510</c:v>
                </c:pt>
                <c:pt idx="42">
                  <c:v>1510</c:v>
                </c:pt>
                <c:pt idx="43">
                  <c:v>1510</c:v>
                </c:pt>
                <c:pt idx="44">
                  <c:v>1510</c:v>
                </c:pt>
                <c:pt idx="45">
                  <c:v>1510</c:v>
                </c:pt>
                <c:pt idx="46">
                  <c:v>1510</c:v>
                </c:pt>
                <c:pt idx="47">
                  <c:v>1510</c:v>
                </c:pt>
                <c:pt idx="48">
                  <c:v>1510</c:v>
                </c:pt>
                <c:pt idx="49">
                  <c:v>1510</c:v>
                </c:pt>
                <c:pt idx="50">
                  <c:v>1510</c:v>
                </c:pt>
                <c:pt idx="51">
                  <c:v>1510</c:v>
                </c:pt>
                <c:pt idx="52">
                  <c:v>1510</c:v>
                </c:pt>
                <c:pt idx="53">
                  <c:v>1510</c:v>
                </c:pt>
                <c:pt idx="54">
                  <c:v>1510</c:v>
                </c:pt>
                <c:pt idx="55">
                  <c:v>1510</c:v>
                </c:pt>
                <c:pt idx="56">
                  <c:v>1510</c:v>
                </c:pt>
                <c:pt idx="57">
                  <c:v>1510</c:v>
                </c:pt>
                <c:pt idx="58">
                  <c:v>1510</c:v>
                </c:pt>
                <c:pt idx="59">
                  <c:v>1510</c:v>
                </c:pt>
                <c:pt idx="60">
                  <c:v>1510</c:v>
                </c:pt>
                <c:pt idx="61">
                  <c:v>1510</c:v>
                </c:pt>
                <c:pt idx="62">
                  <c:v>1510</c:v>
                </c:pt>
                <c:pt idx="63">
                  <c:v>1510</c:v>
                </c:pt>
                <c:pt idx="64">
                  <c:v>1510</c:v>
                </c:pt>
                <c:pt idx="65">
                  <c:v>1510</c:v>
                </c:pt>
                <c:pt idx="66">
                  <c:v>1510</c:v>
                </c:pt>
                <c:pt idx="67">
                  <c:v>1510</c:v>
                </c:pt>
                <c:pt idx="68">
                  <c:v>1510</c:v>
                </c:pt>
                <c:pt idx="69">
                  <c:v>1510</c:v>
                </c:pt>
                <c:pt idx="70">
                  <c:v>1510</c:v>
                </c:pt>
                <c:pt idx="71">
                  <c:v>1510</c:v>
                </c:pt>
                <c:pt idx="72">
                  <c:v>1510</c:v>
                </c:pt>
                <c:pt idx="73">
                  <c:v>1510</c:v>
                </c:pt>
                <c:pt idx="74">
                  <c:v>1510</c:v>
                </c:pt>
                <c:pt idx="75">
                  <c:v>1510</c:v>
                </c:pt>
                <c:pt idx="76">
                  <c:v>1510</c:v>
                </c:pt>
                <c:pt idx="77">
                  <c:v>1510</c:v>
                </c:pt>
                <c:pt idx="78">
                  <c:v>1510</c:v>
                </c:pt>
                <c:pt idx="79">
                  <c:v>1510</c:v>
                </c:pt>
                <c:pt idx="80">
                  <c:v>1510</c:v>
                </c:pt>
                <c:pt idx="81">
                  <c:v>1510</c:v>
                </c:pt>
                <c:pt idx="82">
                  <c:v>1510</c:v>
                </c:pt>
                <c:pt idx="83">
                  <c:v>1510</c:v>
                </c:pt>
                <c:pt idx="84">
                  <c:v>1510</c:v>
                </c:pt>
                <c:pt idx="85">
                  <c:v>1510</c:v>
                </c:pt>
                <c:pt idx="86">
                  <c:v>1510</c:v>
                </c:pt>
                <c:pt idx="87">
                  <c:v>1510</c:v>
                </c:pt>
                <c:pt idx="88">
                  <c:v>1510</c:v>
                </c:pt>
                <c:pt idx="89">
                  <c:v>1510</c:v>
                </c:pt>
                <c:pt idx="90">
                  <c:v>1510</c:v>
                </c:pt>
                <c:pt idx="91">
                  <c:v>1510</c:v>
                </c:pt>
                <c:pt idx="92">
                  <c:v>1510</c:v>
                </c:pt>
                <c:pt idx="93">
                  <c:v>1510</c:v>
                </c:pt>
                <c:pt idx="94">
                  <c:v>1510</c:v>
                </c:pt>
                <c:pt idx="95">
                  <c:v>1510</c:v>
                </c:pt>
                <c:pt idx="96">
                  <c:v>1510</c:v>
                </c:pt>
                <c:pt idx="97">
                  <c:v>1510</c:v>
                </c:pt>
                <c:pt idx="98">
                  <c:v>1510</c:v>
                </c:pt>
                <c:pt idx="99">
                  <c:v>1510</c:v>
                </c:pt>
                <c:pt idx="100">
                  <c:v>1510</c:v>
                </c:pt>
                <c:pt idx="101">
                  <c:v>1510</c:v>
                </c:pt>
                <c:pt idx="102">
                  <c:v>1510</c:v>
                </c:pt>
                <c:pt idx="103">
                  <c:v>1510</c:v>
                </c:pt>
                <c:pt idx="104">
                  <c:v>1510</c:v>
                </c:pt>
                <c:pt idx="105">
                  <c:v>1510</c:v>
                </c:pt>
                <c:pt idx="106">
                  <c:v>1510</c:v>
                </c:pt>
                <c:pt idx="107">
                  <c:v>1510</c:v>
                </c:pt>
                <c:pt idx="108">
                  <c:v>1510</c:v>
                </c:pt>
                <c:pt idx="109">
                  <c:v>1510</c:v>
                </c:pt>
                <c:pt idx="110">
                  <c:v>1510</c:v>
                </c:pt>
                <c:pt idx="111">
                  <c:v>1510</c:v>
                </c:pt>
                <c:pt idx="112">
                  <c:v>1510</c:v>
                </c:pt>
                <c:pt idx="113">
                  <c:v>1510</c:v>
                </c:pt>
                <c:pt idx="114">
                  <c:v>1510</c:v>
                </c:pt>
                <c:pt idx="115">
                  <c:v>1510</c:v>
                </c:pt>
                <c:pt idx="116">
                  <c:v>1510</c:v>
                </c:pt>
                <c:pt idx="117">
                  <c:v>1510</c:v>
                </c:pt>
                <c:pt idx="118">
                  <c:v>1510</c:v>
                </c:pt>
                <c:pt idx="119">
                  <c:v>1510</c:v>
                </c:pt>
                <c:pt idx="120">
                  <c:v>1510</c:v>
                </c:pt>
                <c:pt idx="121">
                  <c:v>1510</c:v>
                </c:pt>
                <c:pt idx="122">
                  <c:v>1510</c:v>
                </c:pt>
                <c:pt idx="123">
                  <c:v>1510</c:v>
                </c:pt>
                <c:pt idx="124">
                  <c:v>1510</c:v>
                </c:pt>
                <c:pt idx="125">
                  <c:v>1510</c:v>
                </c:pt>
                <c:pt idx="126">
                  <c:v>1510</c:v>
                </c:pt>
                <c:pt idx="127">
                  <c:v>1510</c:v>
                </c:pt>
                <c:pt idx="128">
                  <c:v>1510</c:v>
                </c:pt>
                <c:pt idx="129">
                  <c:v>1510</c:v>
                </c:pt>
                <c:pt idx="130">
                  <c:v>1510</c:v>
                </c:pt>
                <c:pt idx="131">
                  <c:v>1510</c:v>
                </c:pt>
                <c:pt idx="132">
                  <c:v>1510</c:v>
                </c:pt>
                <c:pt idx="133">
                  <c:v>1510</c:v>
                </c:pt>
                <c:pt idx="134">
                  <c:v>1510</c:v>
                </c:pt>
                <c:pt idx="135">
                  <c:v>1510</c:v>
                </c:pt>
                <c:pt idx="136">
                  <c:v>1510</c:v>
                </c:pt>
                <c:pt idx="137">
                  <c:v>1510</c:v>
                </c:pt>
                <c:pt idx="138">
                  <c:v>1510</c:v>
                </c:pt>
                <c:pt idx="139">
                  <c:v>1510</c:v>
                </c:pt>
                <c:pt idx="140">
                  <c:v>1510</c:v>
                </c:pt>
                <c:pt idx="141">
                  <c:v>1510</c:v>
                </c:pt>
                <c:pt idx="142">
                  <c:v>1510</c:v>
                </c:pt>
                <c:pt idx="143">
                  <c:v>1510</c:v>
                </c:pt>
                <c:pt idx="144">
                  <c:v>1510</c:v>
                </c:pt>
                <c:pt idx="145">
                  <c:v>1510</c:v>
                </c:pt>
                <c:pt idx="146">
                  <c:v>1510</c:v>
                </c:pt>
                <c:pt idx="147">
                  <c:v>1510</c:v>
                </c:pt>
                <c:pt idx="148">
                  <c:v>1510</c:v>
                </c:pt>
                <c:pt idx="149">
                  <c:v>1510</c:v>
                </c:pt>
                <c:pt idx="150">
                  <c:v>1510</c:v>
                </c:pt>
                <c:pt idx="151">
                  <c:v>1510</c:v>
                </c:pt>
                <c:pt idx="152">
                  <c:v>1510</c:v>
                </c:pt>
                <c:pt idx="153">
                  <c:v>1510</c:v>
                </c:pt>
                <c:pt idx="154">
                  <c:v>1510</c:v>
                </c:pt>
                <c:pt idx="155">
                  <c:v>1510</c:v>
                </c:pt>
                <c:pt idx="156">
                  <c:v>1510</c:v>
                </c:pt>
                <c:pt idx="157">
                  <c:v>1510</c:v>
                </c:pt>
                <c:pt idx="158">
                  <c:v>1510</c:v>
                </c:pt>
                <c:pt idx="159">
                  <c:v>1510</c:v>
                </c:pt>
                <c:pt idx="160">
                  <c:v>1510</c:v>
                </c:pt>
                <c:pt idx="161">
                  <c:v>1510</c:v>
                </c:pt>
                <c:pt idx="162">
                  <c:v>1510</c:v>
                </c:pt>
                <c:pt idx="163">
                  <c:v>1510</c:v>
                </c:pt>
                <c:pt idx="164">
                  <c:v>1510</c:v>
                </c:pt>
                <c:pt idx="165">
                  <c:v>1510</c:v>
                </c:pt>
                <c:pt idx="166">
                  <c:v>1510</c:v>
                </c:pt>
                <c:pt idx="167">
                  <c:v>1510</c:v>
                </c:pt>
                <c:pt idx="168">
                  <c:v>1510</c:v>
                </c:pt>
                <c:pt idx="169">
                  <c:v>1510</c:v>
                </c:pt>
                <c:pt idx="170">
                  <c:v>1510</c:v>
                </c:pt>
                <c:pt idx="171">
                  <c:v>1510</c:v>
                </c:pt>
                <c:pt idx="172">
                  <c:v>1510</c:v>
                </c:pt>
                <c:pt idx="173">
                  <c:v>1510</c:v>
                </c:pt>
                <c:pt idx="174">
                  <c:v>1510</c:v>
                </c:pt>
                <c:pt idx="175">
                  <c:v>1510</c:v>
                </c:pt>
                <c:pt idx="176">
                  <c:v>1510</c:v>
                </c:pt>
                <c:pt idx="177">
                  <c:v>1510</c:v>
                </c:pt>
                <c:pt idx="178">
                  <c:v>1510</c:v>
                </c:pt>
                <c:pt idx="179">
                  <c:v>1510</c:v>
                </c:pt>
                <c:pt idx="180">
                  <c:v>1510</c:v>
                </c:pt>
                <c:pt idx="181">
                  <c:v>1510</c:v>
                </c:pt>
                <c:pt idx="182">
                  <c:v>1510</c:v>
                </c:pt>
                <c:pt idx="183">
                  <c:v>1510</c:v>
                </c:pt>
                <c:pt idx="184">
                  <c:v>1510</c:v>
                </c:pt>
                <c:pt idx="185">
                  <c:v>1510</c:v>
                </c:pt>
                <c:pt idx="186">
                  <c:v>1510</c:v>
                </c:pt>
                <c:pt idx="187">
                  <c:v>1510</c:v>
                </c:pt>
                <c:pt idx="188">
                  <c:v>1510</c:v>
                </c:pt>
                <c:pt idx="189">
                  <c:v>1510</c:v>
                </c:pt>
                <c:pt idx="190">
                  <c:v>1510</c:v>
                </c:pt>
                <c:pt idx="191">
                  <c:v>1510</c:v>
                </c:pt>
                <c:pt idx="192">
                  <c:v>1510</c:v>
                </c:pt>
                <c:pt idx="193">
                  <c:v>1510</c:v>
                </c:pt>
                <c:pt idx="194">
                  <c:v>1510</c:v>
                </c:pt>
                <c:pt idx="195">
                  <c:v>1510</c:v>
                </c:pt>
                <c:pt idx="196">
                  <c:v>1510</c:v>
                </c:pt>
                <c:pt idx="197">
                  <c:v>1510</c:v>
                </c:pt>
                <c:pt idx="198">
                  <c:v>1510</c:v>
                </c:pt>
                <c:pt idx="199">
                  <c:v>1510</c:v>
                </c:pt>
                <c:pt idx="200">
                  <c:v>1510</c:v>
                </c:pt>
                <c:pt idx="201">
                  <c:v>1510</c:v>
                </c:pt>
                <c:pt idx="202">
                  <c:v>1510</c:v>
                </c:pt>
                <c:pt idx="203">
                  <c:v>1510</c:v>
                </c:pt>
                <c:pt idx="204">
                  <c:v>1510</c:v>
                </c:pt>
                <c:pt idx="205">
                  <c:v>1510</c:v>
                </c:pt>
                <c:pt idx="206">
                  <c:v>1510</c:v>
                </c:pt>
                <c:pt idx="207">
                  <c:v>1510</c:v>
                </c:pt>
                <c:pt idx="208">
                  <c:v>1510</c:v>
                </c:pt>
                <c:pt idx="209">
                  <c:v>1510</c:v>
                </c:pt>
                <c:pt idx="210">
                  <c:v>1510</c:v>
                </c:pt>
                <c:pt idx="211">
                  <c:v>1510</c:v>
                </c:pt>
                <c:pt idx="212">
                  <c:v>1510</c:v>
                </c:pt>
                <c:pt idx="213">
                  <c:v>1510</c:v>
                </c:pt>
                <c:pt idx="214">
                  <c:v>1510</c:v>
                </c:pt>
                <c:pt idx="215">
                  <c:v>1510</c:v>
                </c:pt>
                <c:pt idx="216">
                  <c:v>1510</c:v>
                </c:pt>
                <c:pt idx="217">
                  <c:v>1510</c:v>
                </c:pt>
                <c:pt idx="218">
                  <c:v>1510</c:v>
                </c:pt>
                <c:pt idx="219">
                  <c:v>1510</c:v>
                </c:pt>
                <c:pt idx="220">
                  <c:v>1510</c:v>
                </c:pt>
                <c:pt idx="221">
                  <c:v>1510</c:v>
                </c:pt>
                <c:pt idx="222">
                  <c:v>1510</c:v>
                </c:pt>
                <c:pt idx="223">
                  <c:v>1510</c:v>
                </c:pt>
                <c:pt idx="224">
                  <c:v>1510</c:v>
                </c:pt>
                <c:pt idx="225">
                  <c:v>1510</c:v>
                </c:pt>
                <c:pt idx="226">
                  <c:v>1510</c:v>
                </c:pt>
                <c:pt idx="227">
                  <c:v>1510</c:v>
                </c:pt>
                <c:pt idx="228">
                  <c:v>1510</c:v>
                </c:pt>
                <c:pt idx="229">
                  <c:v>1510</c:v>
                </c:pt>
                <c:pt idx="230">
                  <c:v>1510</c:v>
                </c:pt>
                <c:pt idx="231">
                  <c:v>1510</c:v>
                </c:pt>
                <c:pt idx="232">
                  <c:v>1510</c:v>
                </c:pt>
                <c:pt idx="233">
                  <c:v>1510</c:v>
                </c:pt>
                <c:pt idx="234">
                  <c:v>1510</c:v>
                </c:pt>
                <c:pt idx="235">
                  <c:v>1510</c:v>
                </c:pt>
                <c:pt idx="236">
                  <c:v>1510</c:v>
                </c:pt>
                <c:pt idx="237">
                  <c:v>1510</c:v>
                </c:pt>
                <c:pt idx="238">
                  <c:v>1510</c:v>
                </c:pt>
                <c:pt idx="239">
                  <c:v>1510</c:v>
                </c:pt>
                <c:pt idx="240">
                  <c:v>1510</c:v>
                </c:pt>
                <c:pt idx="241">
                  <c:v>1510</c:v>
                </c:pt>
                <c:pt idx="242">
                  <c:v>1510</c:v>
                </c:pt>
                <c:pt idx="243">
                  <c:v>1510</c:v>
                </c:pt>
                <c:pt idx="244">
                  <c:v>1510</c:v>
                </c:pt>
                <c:pt idx="245">
                  <c:v>1510</c:v>
                </c:pt>
                <c:pt idx="246">
                  <c:v>1510</c:v>
                </c:pt>
                <c:pt idx="247">
                  <c:v>1510</c:v>
                </c:pt>
                <c:pt idx="248">
                  <c:v>1510</c:v>
                </c:pt>
                <c:pt idx="249">
                  <c:v>1510</c:v>
                </c:pt>
                <c:pt idx="250">
                  <c:v>1510</c:v>
                </c:pt>
                <c:pt idx="251">
                  <c:v>1510</c:v>
                </c:pt>
                <c:pt idx="252">
                  <c:v>1510</c:v>
                </c:pt>
                <c:pt idx="253">
                  <c:v>1510</c:v>
                </c:pt>
                <c:pt idx="254">
                  <c:v>1510</c:v>
                </c:pt>
                <c:pt idx="255">
                  <c:v>1510</c:v>
                </c:pt>
                <c:pt idx="256">
                  <c:v>1510</c:v>
                </c:pt>
                <c:pt idx="257">
                  <c:v>1510</c:v>
                </c:pt>
                <c:pt idx="258">
                  <c:v>1510</c:v>
                </c:pt>
                <c:pt idx="259">
                  <c:v>1510</c:v>
                </c:pt>
                <c:pt idx="260">
                  <c:v>1510</c:v>
                </c:pt>
                <c:pt idx="261">
                  <c:v>1510</c:v>
                </c:pt>
                <c:pt idx="262">
                  <c:v>1510</c:v>
                </c:pt>
                <c:pt idx="263">
                  <c:v>1510</c:v>
                </c:pt>
                <c:pt idx="264">
                  <c:v>1510</c:v>
                </c:pt>
                <c:pt idx="265">
                  <c:v>1510</c:v>
                </c:pt>
                <c:pt idx="266">
                  <c:v>1510</c:v>
                </c:pt>
                <c:pt idx="267">
                  <c:v>1510</c:v>
                </c:pt>
                <c:pt idx="268">
                  <c:v>1510</c:v>
                </c:pt>
                <c:pt idx="269">
                  <c:v>1510</c:v>
                </c:pt>
                <c:pt idx="270">
                  <c:v>1510</c:v>
                </c:pt>
                <c:pt idx="271">
                  <c:v>1510</c:v>
                </c:pt>
                <c:pt idx="272">
                  <c:v>1510</c:v>
                </c:pt>
                <c:pt idx="273">
                  <c:v>1510</c:v>
                </c:pt>
                <c:pt idx="274">
                  <c:v>1510</c:v>
                </c:pt>
                <c:pt idx="275">
                  <c:v>1510</c:v>
                </c:pt>
                <c:pt idx="276">
                  <c:v>1510</c:v>
                </c:pt>
                <c:pt idx="277">
                  <c:v>1510</c:v>
                </c:pt>
                <c:pt idx="278">
                  <c:v>1510</c:v>
                </c:pt>
                <c:pt idx="279">
                  <c:v>1510</c:v>
                </c:pt>
                <c:pt idx="280">
                  <c:v>1510</c:v>
                </c:pt>
                <c:pt idx="281">
                  <c:v>1510</c:v>
                </c:pt>
                <c:pt idx="282">
                  <c:v>1510</c:v>
                </c:pt>
                <c:pt idx="283">
                  <c:v>1510</c:v>
                </c:pt>
                <c:pt idx="284">
                  <c:v>1510</c:v>
                </c:pt>
                <c:pt idx="285">
                  <c:v>1510</c:v>
                </c:pt>
                <c:pt idx="286">
                  <c:v>1510</c:v>
                </c:pt>
                <c:pt idx="287">
                  <c:v>1510</c:v>
                </c:pt>
                <c:pt idx="288">
                  <c:v>1510</c:v>
                </c:pt>
                <c:pt idx="289">
                  <c:v>1510</c:v>
                </c:pt>
                <c:pt idx="290">
                  <c:v>1510</c:v>
                </c:pt>
                <c:pt idx="291">
                  <c:v>1510</c:v>
                </c:pt>
                <c:pt idx="292">
                  <c:v>1510</c:v>
                </c:pt>
                <c:pt idx="293">
                  <c:v>1510</c:v>
                </c:pt>
                <c:pt idx="294">
                  <c:v>1510</c:v>
                </c:pt>
                <c:pt idx="295">
                  <c:v>1510</c:v>
                </c:pt>
                <c:pt idx="296">
                  <c:v>1510</c:v>
                </c:pt>
                <c:pt idx="297">
                  <c:v>1510</c:v>
                </c:pt>
                <c:pt idx="298">
                  <c:v>1510</c:v>
                </c:pt>
                <c:pt idx="299">
                  <c:v>1510</c:v>
                </c:pt>
                <c:pt idx="300">
                  <c:v>1510</c:v>
                </c:pt>
                <c:pt idx="301">
                  <c:v>1510</c:v>
                </c:pt>
                <c:pt idx="302">
                  <c:v>1510</c:v>
                </c:pt>
                <c:pt idx="303">
                  <c:v>1510</c:v>
                </c:pt>
                <c:pt idx="304">
                  <c:v>1510</c:v>
                </c:pt>
                <c:pt idx="305">
                  <c:v>1510</c:v>
                </c:pt>
                <c:pt idx="306">
                  <c:v>1510</c:v>
                </c:pt>
                <c:pt idx="307">
                  <c:v>1510</c:v>
                </c:pt>
                <c:pt idx="308">
                  <c:v>1510</c:v>
                </c:pt>
                <c:pt idx="309">
                  <c:v>1510</c:v>
                </c:pt>
                <c:pt idx="310">
                  <c:v>1510</c:v>
                </c:pt>
                <c:pt idx="311">
                  <c:v>1510</c:v>
                </c:pt>
                <c:pt idx="312">
                  <c:v>1510</c:v>
                </c:pt>
                <c:pt idx="313">
                  <c:v>1510</c:v>
                </c:pt>
                <c:pt idx="314">
                  <c:v>1510</c:v>
                </c:pt>
                <c:pt idx="315">
                  <c:v>1510</c:v>
                </c:pt>
                <c:pt idx="316">
                  <c:v>1510</c:v>
                </c:pt>
                <c:pt idx="317">
                  <c:v>1510</c:v>
                </c:pt>
                <c:pt idx="318">
                  <c:v>1510</c:v>
                </c:pt>
                <c:pt idx="319">
                  <c:v>1510</c:v>
                </c:pt>
                <c:pt idx="320">
                  <c:v>1510</c:v>
                </c:pt>
                <c:pt idx="321">
                  <c:v>1510</c:v>
                </c:pt>
                <c:pt idx="322">
                  <c:v>1510</c:v>
                </c:pt>
                <c:pt idx="323">
                  <c:v>1510</c:v>
                </c:pt>
                <c:pt idx="324">
                  <c:v>1510</c:v>
                </c:pt>
                <c:pt idx="325">
                  <c:v>1510</c:v>
                </c:pt>
                <c:pt idx="326">
                  <c:v>1510</c:v>
                </c:pt>
                <c:pt idx="327">
                  <c:v>1510</c:v>
                </c:pt>
                <c:pt idx="328">
                  <c:v>1510</c:v>
                </c:pt>
                <c:pt idx="329">
                  <c:v>1510</c:v>
                </c:pt>
                <c:pt idx="330">
                  <c:v>1510</c:v>
                </c:pt>
                <c:pt idx="331">
                  <c:v>1510</c:v>
                </c:pt>
                <c:pt idx="332">
                  <c:v>1510</c:v>
                </c:pt>
                <c:pt idx="333">
                  <c:v>1510</c:v>
                </c:pt>
                <c:pt idx="334">
                  <c:v>1510</c:v>
                </c:pt>
                <c:pt idx="335">
                  <c:v>1510</c:v>
                </c:pt>
                <c:pt idx="336">
                  <c:v>1510</c:v>
                </c:pt>
                <c:pt idx="337">
                  <c:v>1510</c:v>
                </c:pt>
                <c:pt idx="338">
                  <c:v>1510</c:v>
                </c:pt>
                <c:pt idx="339">
                  <c:v>1510</c:v>
                </c:pt>
                <c:pt idx="340">
                  <c:v>1510</c:v>
                </c:pt>
                <c:pt idx="341">
                  <c:v>1510</c:v>
                </c:pt>
                <c:pt idx="342">
                  <c:v>1510</c:v>
                </c:pt>
                <c:pt idx="343">
                  <c:v>1510</c:v>
                </c:pt>
                <c:pt idx="344">
                  <c:v>1510</c:v>
                </c:pt>
                <c:pt idx="345">
                  <c:v>1510</c:v>
                </c:pt>
                <c:pt idx="346">
                  <c:v>1510</c:v>
                </c:pt>
                <c:pt idx="347">
                  <c:v>1510</c:v>
                </c:pt>
                <c:pt idx="348">
                  <c:v>1510</c:v>
                </c:pt>
                <c:pt idx="349">
                  <c:v>1510</c:v>
                </c:pt>
                <c:pt idx="350">
                  <c:v>1510</c:v>
                </c:pt>
                <c:pt idx="351">
                  <c:v>1510</c:v>
                </c:pt>
                <c:pt idx="352">
                  <c:v>1510</c:v>
                </c:pt>
                <c:pt idx="353">
                  <c:v>1510</c:v>
                </c:pt>
                <c:pt idx="354">
                  <c:v>1510</c:v>
                </c:pt>
                <c:pt idx="355">
                  <c:v>1510</c:v>
                </c:pt>
                <c:pt idx="356">
                  <c:v>1510</c:v>
                </c:pt>
                <c:pt idx="357">
                  <c:v>1510</c:v>
                </c:pt>
                <c:pt idx="358">
                  <c:v>1510</c:v>
                </c:pt>
                <c:pt idx="359">
                  <c:v>1510</c:v>
                </c:pt>
                <c:pt idx="360">
                  <c:v>1510</c:v>
                </c:pt>
                <c:pt idx="361">
                  <c:v>1510</c:v>
                </c:pt>
                <c:pt idx="362">
                  <c:v>1510</c:v>
                </c:pt>
                <c:pt idx="363">
                  <c:v>1510</c:v>
                </c:pt>
                <c:pt idx="364">
                  <c:v>1510</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1311.347</c:v>
                </c:pt>
                <c:pt idx="1">
                  <c:v>1269.008</c:v>
                </c:pt>
                <c:pt idx="2">
                  <c:v>1225.327</c:v>
                </c:pt>
                <c:pt idx="3">
                  <c:v>1229.867</c:v>
                </c:pt>
                <c:pt idx="4">
                  <c:v>1306.0840000000001</c:v>
                </c:pt>
                <c:pt idx="5">
                  <c:v>1292.758</c:v>
                </c:pt>
                <c:pt idx="6">
                  <c:v>1317.1289999999999</c:v>
                </c:pt>
                <c:pt idx="7">
                  <c:v>1309.277</c:v>
                </c:pt>
                <c:pt idx="8">
                  <c:v>1293.2</c:v>
                </c:pt>
                <c:pt idx="9">
                  <c:v>1292.164</c:v>
                </c:pt>
                <c:pt idx="10">
                  <c:v>1459.537</c:v>
                </c:pt>
                <c:pt idx="11">
                  <c:v>1499.223</c:v>
                </c:pt>
                <c:pt idx="12">
                  <c:v>1488.6320000000001</c:v>
                </c:pt>
                <c:pt idx="13">
                  <c:v>1498.2660000000001</c:v>
                </c:pt>
                <c:pt idx="14">
                  <c:v>1512.08</c:v>
                </c:pt>
                <c:pt idx="15">
                  <c:v>1543.3489999999999</c:v>
                </c:pt>
                <c:pt idx="16">
                  <c:v>1555.5219999999999</c:v>
                </c:pt>
                <c:pt idx="17">
                  <c:v>1550.1210000000001</c:v>
                </c:pt>
                <c:pt idx="18">
                  <c:v>1532.7809999999999</c:v>
                </c:pt>
                <c:pt idx="19">
                  <c:v>1503.6489999999999</c:v>
                </c:pt>
                <c:pt idx="20">
                  <c:v>1495.1469999999999</c:v>
                </c:pt>
                <c:pt idx="21">
                  <c:v>1464.021</c:v>
                </c:pt>
                <c:pt idx="22">
                  <c:v>1410.4570000000001</c:v>
                </c:pt>
                <c:pt idx="23">
                  <c:v>1458.373</c:v>
                </c:pt>
                <c:pt idx="24">
                  <c:v>1523.95</c:v>
                </c:pt>
                <c:pt idx="25">
                  <c:v>1458.4290000000001</c:v>
                </c:pt>
                <c:pt idx="26">
                  <c:v>1373.9870000000001</c:v>
                </c:pt>
                <c:pt idx="27">
                  <c:v>1356.1030000000001</c:v>
                </c:pt>
                <c:pt idx="28">
                  <c:v>1328.7090000000001</c:v>
                </c:pt>
                <c:pt idx="29">
                  <c:v>1274.662</c:v>
                </c:pt>
                <c:pt idx="30">
                  <c:v>1286.605</c:v>
                </c:pt>
                <c:pt idx="31">
                  <c:v>1302.04</c:v>
                </c:pt>
                <c:pt idx="32">
                  <c:v>1305.287</c:v>
                </c:pt>
                <c:pt idx="33">
                  <c:v>1330.741</c:v>
                </c:pt>
                <c:pt idx="34">
                  <c:v>1347.7560000000001</c:v>
                </c:pt>
                <c:pt idx="35">
                  <c:v>1339.06</c:v>
                </c:pt>
                <c:pt idx="36">
                  <c:v>1180.9490000000001</c:v>
                </c:pt>
                <c:pt idx="37">
                  <c:v>1194.636</c:v>
                </c:pt>
                <c:pt idx="38">
                  <c:v>1226.7080000000001</c:v>
                </c:pt>
                <c:pt idx="39">
                  <c:v>1225.838</c:v>
                </c:pt>
                <c:pt idx="40">
                  <c:v>1235.4590000000001</c:v>
                </c:pt>
                <c:pt idx="41">
                  <c:v>1222.3440000000001</c:v>
                </c:pt>
                <c:pt idx="42">
                  <c:v>1223.3720000000001</c:v>
                </c:pt>
                <c:pt idx="43">
                  <c:v>1264.8520000000001</c:v>
                </c:pt>
                <c:pt idx="44">
                  <c:v>1350.3710000000001</c:v>
                </c:pt>
                <c:pt idx="45">
                  <c:v>1482.94</c:v>
                </c:pt>
                <c:pt idx="46">
                  <c:v>1414.4639999999999</c:v>
                </c:pt>
                <c:pt idx="47">
                  <c:v>1208.2049999999999</c:v>
                </c:pt>
                <c:pt idx="48">
                  <c:v>1236.2470000000001</c:v>
                </c:pt>
                <c:pt idx="49">
                  <c:v>1262.55</c:v>
                </c:pt>
                <c:pt idx="50">
                  <c:v>1304.078</c:v>
                </c:pt>
                <c:pt idx="51">
                  <c:v>1450.818</c:v>
                </c:pt>
                <c:pt idx="52">
                  <c:v>1391.979</c:v>
                </c:pt>
                <c:pt idx="53">
                  <c:v>1410.6769999999999</c:v>
                </c:pt>
                <c:pt idx="54">
                  <c:v>1454.183</c:v>
                </c:pt>
                <c:pt idx="55">
                  <c:v>1492.2090000000001</c:v>
                </c:pt>
                <c:pt idx="56">
                  <c:v>1493.7449999999999</c:v>
                </c:pt>
                <c:pt idx="57">
                  <c:v>1481.414</c:v>
                </c:pt>
                <c:pt idx="58">
                  <c:v>1469.3520000000001</c:v>
                </c:pt>
                <c:pt idx="59">
                  <c:v>1479.0930000000001</c:v>
                </c:pt>
                <c:pt idx="60">
                  <c:v>1280.9259999999999</c:v>
                </c:pt>
                <c:pt idx="61">
                  <c:v>1497.9490000000001</c:v>
                </c:pt>
                <c:pt idx="62">
                  <c:v>1500.5360000000001</c:v>
                </c:pt>
                <c:pt idx="63">
                  <c:v>364.03899999999999</c:v>
                </c:pt>
                <c:pt idx="64">
                  <c:v>475.642</c:v>
                </c:pt>
                <c:pt idx="65">
                  <c:v>750.15599999999995</c:v>
                </c:pt>
                <c:pt idx="66">
                  <c:v>777.59799999999996</c:v>
                </c:pt>
                <c:pt idx="67">
                  <c:v>976.66200000000003</c:v>
                </c:pt>
                <c:pt idx="68">
                  <c:v>1519.5229999999999</c:v>
                </c:pt>
                <c:pt idx="69">
                  <c:v>1525.325</c:v>
                </c:pt>
                <c:pt idx="70">
                  <c:v>1464.0630000000001</c:v>
                </c:pt>
                <c:pt idx="71">
                  <c:v>1398.2249999999999</c:v>
                </c:pt>
                <c:pt idx="72">
                  <c:v>1457.752</c:v>
                </c:pt>
                <c:pt idx="73">
                  <c:v>1408.4079999999999</c:v>
                </c:pt>
                <c:pt idx="74">
                  <c:v>1416.826</c:v>
                </c:pt>
                <c:pt idx="75">
                  <c:v>1450.346</c:v>
                </c:pt>
                <c:pt idx="76">
                  <c:v>1459.1980000000001</c:v>
                </c:pt>
                <c:pt idx="77">
                  <c:v>1475.6</c:v>
                </c:pt>
                <c:pt idx="78">
                  <c:v>1474.125</c:v>
                </c:pt>
                <c:pt idx="79">
                  <c:v>1470.355</c:v>
                </c:pt>
                <c:pt idx="80">
                  <c:v>1449.998</c:v>
                </c:pt>
                <c:pt idx="81">
                  <c:v>1391.953</c:v>
                </c:pt>
                <c:pt idx="82">
                  <c:v>1388.126</c:v>
                </c:pt>
                <c:pt idx="83">
                  <c:v>1502.028</c:v>
                </c:pt>
                <c:pt idx="84">
                  <c:v>1460.809</c:v>
                </c:pt>
                <c:pt idx="85">
                  <c:v>1429.384</c:v>
                </c:pt>
                <c:pt idx="86">
                  <c:v>1430.759</c:v>
                </c:pt>
                <c:pt idx="87">
                  <c:v>1435.104</c:v>
                </c:pt>
                <c:pt idx="88">
                  <c:v>1427.87</c:v>
                </c:pt>
                <c:pt idx="89">
                  <c:v>1480.44</c:v>
                </c:pt>
                <c:pt idx="90">
                  <c:v>1465.537</c:v>
                </c:pt>
                <c:pt idx="91">
                  <c:v>1453.87</c:v>
                </c:pt>
                <c:pt idx="92">
                  <c:v>1433.0429999999999</c:v>
                </c:pt>
                <c:pt idx="93">
                  <c:v>1450.9559999999999</c:v>
                </c:pt>
                <c:pt idx="94">
                  <c:v>1482.404</c:v>
                </c:pt>
                <c:pt idx="95">
                  <c:v>1492.5029999999999</c:v>
                </c:pt>
                <c:pt idx="96">
                  <c:v>1474.2909999999999</c:v>
                </c:pt>
                <c:pt idx="97">
                  <c:v>1470.4259999999999</c:v>
                </c:pt>
                <c:pt idx="98">
                  <c:v>1453.8119999999999</c:v>
                </c:pt>
                <c:pt idx="99">
                  <c:v>1442.8589999999999</c:v>
                </c:pt>
                <c:pt idx="100">
                  <c:v>1413.76</c:v>
                </c:pt>
                <c:pt idx="101">
                  <c:v>1442.3109999999999</c:v>
                </c:pt>
                <c:pt idx="102">
                  <c:v>1494.5719999999999</c:v>
                </c:pt>
                <c:pt idx="103">
                  <c:v>1471.0619999999999</c:v>
                </c:pt>
                <c:pt idx="104">
                  <c:v>1440.309</c:v>
                </c:pt>
                <c:pt idx="105">
                  <c:v>1313.431</c:v>
                </c:pt>
                <c:pt idx="106">
                  <c:v>1494.8030000000001</c:v>
                </c:pt>
                <c:pt idx="107">
                  <c:v>1414.1379999999999</c:v>
                </c:pt>
                <c:pt idx="108">
                  <c:v>1400.8610000000001</c:v>
                </c:pt>
                <c:pt idx="109">
                  <c:v>1395.998</c:v>
                </c:pt>
                <c:pt idx="110">
                  <c:v>1402.3230000000001</c:v>
                </c:pt>
                <c:pt idx="111">
                  <c:v>1415.6189999999999</c:v>
                </c:pt>
                <c:pt idx="112">
                  <c:v>1368.4649999999999</c:v>
                </c:pt>
                <c:pt idx="113">
                  <c:v>1321.4490000000001</c:v>
                </c:pt>
                <c:pt idx="114">
                  <c:v>1056.3119999999999</c:v>
                </c:pt>
                <c:pt idx="115">
                  <c:v>1152.6479999999999</c:v>
                </c:pt>
                <c:pt idx="116">
                  <c:v>1270.241</c:v>
                </c:pt>
                <c:pt idx="117">
                  <c:v>1473.115</c:v>
                </c:pt>
                <c:pt idx="118">
                  <c:v>1335.645</c:v>
                </c:pt>
                <c:pt idx="119">
                  <c:v>1507.7139999999999</c:v>
                </c:pt>
                <c:pt idx="120">
                  <c:v>1450.931</c:v>
                </c:pt>
                <c:pt idx="121">
                  <c:v>1410.817</c:v>
                </c:pt>
                <c:pt idx="122">
                  <c:v>1388.202</c:v>
                </c:pt>
                <c:pt idx="123">
                  <c:v>1402.3150000000001</c:v>
                </c:pt>
                <c:pt idx="124">
                  <c:v>1427.6410000000001</c:v>
                </c:pt>
                <c:pt idx="125">
                  <c:v>1454.4480000000001</c:v>
                </c:pt>
                <c:pt idx="126">
                  <c:v>1421.385</c:v>
                </c:pt>
                <c:pt idx="127">
                  <c:v>1410.962</c:v>
                </c:pt>
                <c:pt idx="128">
                  <c:v>1407.046</c:v>
                </c:pt>
                <c:pt idx="129">
                  <c:v>1398.7170000000001</c:v>
                </c:pt>
                <c:pt idx="130">
                  <c:v>1369.23</c:v>
                </c:pt>
                <c:pt idx="131">
                  <c:v>1369.9770000000001</c:v>
                </c:pt>
                <c:pt idx="132">
                  <c:v>1367.57</c:v>
                </c:pt>
                <c:pt idx="133">
                  <c:v>1362.0889999999999</c:v>
                </c:pt>
                <c:pt idx="134">
                  <c:v>1332.7339999999999</c:v>
                </c:pt>
                <c:pt idx="135">
                  <c:v>1330.9639999999999</c:v>
                </c:pt>
                <c:pt idx="136">
                  <c:v>1386.4469999999999</c:v>
                </c:pt>
                <c:pt idx="137">
                  <c:v>1379.14</c:v>
                </c:pt>
                <c:pt idx="138">
                  <c:v>1369.4839999999999</c:v>
                </c:pt>
                <c:pt idx="139">
                  <c:v>1323.7439999999999</c:v>
                </c:pt>
                <c:pt idx="140">
                  <c:v>1344.172</c:v>
                </c:pt>
                <c:pt idx="141">
                  <c:v>1358.039</c:v>
                </c:pt>
                <c:pt idx="142">
                  <c:v>1376.1690000000001</c:v>
                </c:pt>
                <c:pt idx="143">
                  <c:v>1374.943</c:v>
                </c:pt>
                <c:pt idx="144">
                  <c:v>1371.136</c:v>
                </c:pt>
                <c:pt idx="145">
                  <c:v>1380.0329999999999</c:v>
                </c:pt>
                <c:pt idx="146">
                  <c:v>1384.329</c:v>
                </c:pt>
                <c:pt idx="147">
                  <c:v>1355.0609999999999</c:v>
                </c:pt>
                <c:pt idx="148">
                  <c:v>1331.7429999999999</c:v>
                </c:pt>
                <c:pt idx="149">
                  <c:v>1313.847</c:v>
                </c:pt>
                <c:pt idx="150">
                  <c:v>1297.3399999999999</c:v>
                </c:pt>
                <c:pt idx="151">
                  <c:v>1375.1020000000001</c:v>
                </c:pt>
                <c:pt idx="152">
                  <c:v>1456.9849999999999</c:v>
                </c:pt>
                <c:pt idx="153">
                  <c:v>1436.153</c:v>
                </c:pt>
                <c:pt idx="154">
                  <c:v>1398.4849999999999</c:v>
                </c:pt>
                <c:pt idx="155">
                  <c:v>1373.011</c:v>
                </c:pt>
                <c:pt idx="156">
                  <c:v>1366.0150000000001</c:v>
                </c:pt>
                <c:pt idx="157">
                  <c:v>1361.0239999999999</c:v>
                </c:pt>
                <c:pt idx="158">
                  <c:v>1360.5239999999999</c:v>
                </c:pt>
                <c:pt idx="159">
                  <c:v>1364.0719999999999</c:v>
                </c:pt>
                <c:pt idx="160">
                  <c:v>1365.4860000000001</c:v>
                </c:pt>
                <c:pt idx="161">
                  <c:v>1350.9680000000001</c:v>
                </c:pt>
                <c:pt idx="162">
                  <c:v>1308.75</c:v>
                </c:pt>
                <c:pt idx="163">
                  <c:v>1310.693</c:v>
                </c:pt>
                <c:pt idx="164">
                  <c:v>1324.877</c:v>
                </c:pt>
                <c:pt idx="165">
                  <c:v>1315.655</c:v>
                </c:pt>
                <c:pt idx="166">
                  <c:v>1329.67</c:v>
                </c:pt>
                <c:pt idx="167">
                  <c:v>1337.674</c:v>
                </c:pt>
                <c:pt idx="168">
                  <c:v>1284.662</c:v>
                </c:pt>
                <c:pt idx="169">
                  <c:v>1264.1659999999999</c:v>
                </c:pt>
                <c:pt idx="170">
                  <c:v>1282.566</c:v>
                </c:pt>
                <c:pt idx="171">
                  <c:v>1357.732</c:v>
                </c:pt>
                <c:pt idx="172">
                  <c:v>1409.2449999999999</c:v>
                </c:pt>
                <c:pt idx="173">
                  <c:v>1414.373</c:v>
                </c:pt>
                <c:pt idx="174">
                  <c:v>1416.2529999999999</c:v>
                </c:pt>
                <c:pt idx="175">
                  <c:v>1399.3030000000001</c:v>
                </c:pt>
                <c:pt idx="176">
                  <c:v>1345.788</c:v>
                </c:pt>
                <c:pt idx="177">
                  <c:v>1451.654</c:v>
                </c:pt>
                <c:pt idx="178">
                  <c:v>1448.307</c:v>
                </c:pt>
                <c:pt idx="179">
                  <c:v>1440.692</c:v>
                </c:pt>
                <c:pt idx="180">
                  <c:v>1420.6320000000001</c:v>
                </c:pt>
                <c:pt idx="181">
                  <c:v>1422.96</c:v>
                </c:pt>
                <c:pt idx="182">
                  <c:v>1450.9939999999999</c:v>
                </c:pt>
                <c:pt idx="183">
                  <c:v>1448.635</c:v>
                </c:pt>
                <c:pt idx="184">
                  <c:v>1425.9670000000001</c:v>
                </c:pt>
                <c:pt idx="185">
                  <c:v>1406.739</c:v>
                </c:pt>
                <c:pt idx="186">
                  <c:v>1429.4639999999999</c:v>
                </c:pt>
                <c:pt idx="187">
                  <c:v>1452.739</c:v>
                </c:pt>
                <c:pt idx="188">
                  <c:v>1429.194</c:v>
                </c:pt>
                <c:pt idx="189">
                  <c:v>1417.9829999999999</c:v>
                </c:pt>
                <c:pt idx="190">
                  <c:v>1442.5350000000001</c:v>
                </c:pt>
                <c:pt idx="191">
                  <c:v>1435.3340000000001</c:v>
                </c:pt>
                <c:pt idx="192">
                  <c:v>1354.809</c:v>
                </c:pt>
                <c:pt idx="193">
                  <c:v>1473.1220000000001</c:v>
                </c:pt>
                <c:pt idx="194">
                  <c:v>1429.424</c:v>
                </c:pt>
                <c:pt idx="195">
                  <c:v>1424.8810000000001</c:v>
                </c:pt>
                <c:pt idx="196">
                  <c:v>1397.79</c:v>
                </c:pt>
                <c:pt idx="197">
                  <c:v>1356.7149999999999</c:v>
                </c:pt>
                <c:pt idx="198">
                  <c:v>1316.7570000000001</c:v>
                </c:pt>
                <c:pt idx="199">
                  <c:v>1186.7380000000001</c:v>
                </c:pt>
                <c:pt idx="200">
                  <c:v>1423.6010000000001</c:v>
                </c:pt>
                <c:pt idx="201">
                  <c:v>1403.6210000000001</c:v>
                </c:pt>
                <c:pt idx="202">
                  <c:v>1459.136</c:v>
                </c:pt>
                <c:pt idx="203">
                  <c:v>1408.943</c:v>
                </c:pt>
                <c:pt idx="204">
                  <c:v>1387.1659999999999</c:v>
                </c:pt>
                <c:pt idx="205">
                  <c:v>1327.8240000000001</c:v>
                </c:pt>
                <c:pt idx="206">
                  <c:v>1217.3920000000001</c:v>
                </c:pt>
                <c:pt idx="207">
                  <c:v>1290.0840000000001</c:v>
                </c:pt>
                <c:pt idx="208">
                  <c:v>1438.1289999999999</c:v>
                </c:pt>
                <c:pt idx="209">
                  <c:v>1433.06</c:v>
                </c:pt>
                <c:pt idx="210">
                  <c:v>1449.2940000000001</c:v>
                </c:pt>
                <c:pt idx="211">
                  <c:v>1433.5540000000001</c:v>
                </c:pt>
                <c:pt idx="212">
                  <c:v>1245.4000000000001</c:v>
                </c:pt>
                <c:pt idx="213">
                  <c:v>1341.1179999999999</c:v>
                </c:pt>
                <c:pt idx="214">
                  <c:v>1334.232</c:v>
                </c:pt>
                <c:pt idx="215">
                  <c:v>1340.961</c:v>
                </c:pt>
                <c:pt idx="216">
                  <c:v>1414.972</c:v>
                </c:pt>
                <c:pt idx="217">
                  <c:v>1351.482</c:v>
                </c:pt>
                <c:pt idx="218">
                  <c:v>1306.873</c:v>
                </c:pt>
                <c:pt idx="219">
                  <c:v>1473.2329999999999</c:v>
                </c:pt>
                <c:pt idx="220">
                  <c:v>1248.1500000000001</c:v>
                </c:pt>
                <c:pt idx="221">
                  <c:v>1449.636</c:v>
                </c:pt>
                <c:pt idx="222">
                  <c:v>1455.3340000000001</c:v>
                </c:pt>
                <c:pt idx="223">
                  <c:v>1464.999</c:v>
                </c:pt>
                <c:pt idx="224">
                  <c:v>1442.1759999999999</c:v>
                </c:pt>
                <c:pt idx="225">
                  <c:v>1436.357</c:v>
                </c:pt>
                <c:pt idx="226">
                  <c:v>1413.9829999999999</c:v>
                </c:pt>
                <c:pt idx="227">
                  <c:v>1406.2380000000001</c:v>
                </c:pt>
                <c:pt idx="228">
                  <c:v>1412.508</c:v>
                </c:pt>
                <c:pt idx="229">
                  <c:v>1420.93</c:v>
                </c:pt>
                <c:pt idx="230">
                  <c:v>1377.838</c:v>
                </c:pt>
                <c:pt idx="231">
                  <c:v>1459.9570000000001</c:v>
                </c:pt>
                <c:pt idx="232">
                  <c:v>1458.077</c:v>
                </c:pt>
                <c:pt idx="233">
                  <c:v>1469.0619999999999</c:v>
                </c:pt>
                <c:pt idx="234">
                  <c:v>1468.34</c:v>
                </c:pt>
                <c:pt idx="235">
                  <c:v>1298.3820000000001</c:v>
                </c:pt>
                <c:pt idx="236">
                  <c:v>1358.21</c:v>
                </c:pt>
                <c:pt idx="237">
                  <c:v>1390.2760000000001</c:v>
                </c:pt>
                <c:pt idx="238">
                  <c:v>1125.8219999999999</c:v>
                </c:pt>
                <c:pt idx="239">
                  <c:v>773.51300000000003</c:v>
                </c:pt>
                <c:pt idx="240">
                  <c:v>769.82899999999995</c:v>
                </c:pt>
                <c:pt idx="241">
                  <c:v>957.28099999999995</c:v>
                </c:pt>
                <c:pt idx="242">
                  <c:v>962.82799999999997</c:v>
                </c:pt>
                <c:pt idx="243">
                  <c:v>941.28800000000001</c:v>
                </c:pt>
                <c:pt idx="244">
                  <c:v>1177.3699999999999</c:v>
                </c:pt>
                <c:pt idx="245">
                  <c:v>1400.883</c:v>
                </c:pt>
                <c:pt idx="246">
                  <c:v>1453.386</c:v>
                </c:pt>
                <c:pt idx="247">
                  <c:v>1410.393</c:v>
                </c:pt>
                <c:pt idx="248">
                  <c:v>1367.877</c:v>
                </c:pt>
                <c:pt idx="249">
                  <c:v>1320.0309999999999</c:v>
                </c:pt>
                <c:pt idx="250">
                  <c:v>1266.2059999999999</c:v>
                </c:pt>
                <c:pt idx="251">
                  <c:v>1396.14</c:v>
                </c:pt>
                <c:pt idx="252">
                  <c:v>1470.7070000000001</c:v>
                </c:pt>
                <c:pt idx="253">
                  <c:v>1488.5989999999999</c:v>
                </c:pt>
                <c:pt idx="254">
                  <c:v>1473.309</c:v>
                </c:pt>
                <c:pt idx="255">
                  <c:v>1461.298</c:v>
                </c:pt>
                <c:pt idx="256">
                  <c:v>1367.203</c:v>
                </c:pt>
                <c:pt idx="257">
                  <c:v>1496.1949999999999</c:v>
                </c:pt>
                <c:pt idx="258">
                  <c:v>1466.116</c:v>
                </c:pt>
                <c:pt idx="259">
                  <c:v>1441.11</c:v>
                </c:pt>
                <c:pt idx="260">
                  <c:v>1472.0129999999999</c:v>
                </c:pt>
                <c:pt idx="261">
                  <c:v>1484.22</c:v>
                </c:pt>
                <c:pt idx="262">
                  <c:v>1472.8989999999999</c:v>
                </c:pt>
                <c:pt idx="263">
                  <c:v>1462.058</c:v>
                </c:pt>
                <c:pt idx="264">
                  <c:v>1437.0340000000001</c:v>
                </c:pt>
                <c:pt idx="265">
                  <c:v>1441.0260000000001</c:v>
                </c:pt>
                <c:pt idx="266">
                  <c:v>1478.492</c:v>
                </c:pt>
                <c:pt idx="267">
                  <c:v>1474.193</c:v>
                </c:pt>
                <c:pt idx="268">
                  <c:v>1464.5840000000001</c:v>
                </c:pt>
                <c:pt idx="269">
                  <c:v>1462.3910000000001</c:v>
                </c:pt>
                <c:pt idx="270">
                  <c:v>1466.9659999999999</c:v>
                </c:pt>
                <c:pt idx="271">
                  <c:v>1440.5139999999999</c:v>
                </c:pt>
                <c:pt idx="272">
                  <c:v>1403.2860000000001</c:v>
                </c:pt>
                <c:pt idx="273">
                  <c:v>1464.319</c:v>
                </c:pt>
                <c:pt idx="274">
                  <c:v>1456.0409999999999</c:v>
                </c:pt>
                <c:pt idx="275">
                  <c:v>1388.769</c:v>
                </c:pt>
                <c:pt idx="276">
                  <c:v>1409.107</c:v>
                </c:pt>
                <c:pt idx="277">
                  <c:v>1432.203</c:v>
                </c:pt>
                <c:pt idx="278">
                  <c:v>1435.681</c:v>
                </c:pt>
                <c:pt idx="279">
                  <c:v>1469.7170000000001</c:v>
                </c:pt>
                <c:pt idx="280">
                  <c:v>1464.9690000000001</c:v>
                </c:pt>
                <c:pt idx="281">
                  <c:v>1446.5930000000001</c:v>
                </c:pt>
                <c:pt idx="282">
                  <c:v>1438.346</c:v>
                </c:pt>
                <c:pt idx="283">
                  <c:v>1106.175</c:v>
                </c:pt>
                <c:pt idx="284">
                  <c:v>1457.0340000000001</c:v>
                </c:pt>
                <c:pt idx="285">
                  <c:v>1471.6220000000001</c:v>
                </c:pt>
                <c:pt idx="286">
                  <c:v>1488.4069999999999</c:v>
                </c:pt>
                <c:pt idx="287">
                  <c:v>1473.498</c:v>
                </c:pt>
                <c:pt idx="288">
                  <c:v>1494.356</c:v>
                </c:pt>
                <c:pt idx="289">
                  <c:v>1281.4059999999999</c:v>
                </c:pt>
                <c:pt idx="290">
                  <c:v>1326.2760000000001</c:v>
                </c:pt>
                <c:pt idx="291">
                  <c:v>1502.29</c:v>
                </c:pt>
                <c:pt idx="292">
                  <c:v>1491.5070000000001</c:v>
                </c:pt>
                <c:pt idx="293">
                  <c:v>1480.6189999999999</c:v>
                </c:pt>
                <c:pt idx="294">
                  <c:v>1500.402</c:v>
                </c:pt>
                <c:pt idx="295">
                  <c:v>1498.6410000000001</c:v>
                </c:pt>
                <c:pt idx="296">
                  <c:v>1513.2650000000001</c:v>
                </c:pt>
                <c:pt idx="297">
                  <c:v>1505.6310000000001</c:v>
                </c:pt>
                <c:pt idx="298">
                  <c:v>1490.1320000000001</c:v>
                </c:pt>
                <c:pt idx="299">
                  <c:v>1491.16</c:v>
                </c:pt>
                <c:pt idx="300">
                  <c:v>1475.7829999999999</c:v>
                </c:pt>
                <c:pt idx="301">
                  <c:v>1473.9559999999999</c:v>
                </c:pt>
                <c:pt idx="302">
                  <c:v>1480.559</c:v>
                </c:pt>
                <c:pt idx="303">
                  <c:v>1463.5740000000001</c:v>
                </c:pt>
                <c:pt idx="304">
                  <c:v>1478.0840000000001</c:v>
                </c:pt>
                <c:pt idx="305">
                  <c:v>1492.645</c:v>
                </c:pt>
                <c:pt idx="306">
                  <c:v>1496.549</c:v>
                </c:pt>
                <c:pt idx="307">
                  <c:v>1509.0889999999999</c:v>
                </c:pt>
                <c:pt idx="308">
                  <c:v>1510.4</c:v>
                </c:pt>
                <c:pt idx="309">
                  <c:v>1501.6510000000001</c:v>
                </c:pt>
                <c:pt idx="310">
                  <c:v>1517.2460000000001</c:v>
                </c:pt>
                <c:pt idx="311">
                  <c:v>1504.5329999999999</c:v>
                </c:pt>
                <c:pt idx="312">
                  <c:v>1510.5329999999999</c:v>
                </c:pt>
                <c:pt idx="313">
                  <c:v>1168.0070000000001</c:v>
                </c:pt>
                <c:pt idx="314">
                  <c:v>1410.7529999999999</c:v>
                </c:pt>
                <c:pt idx="315">
                  <c:v>1518.6510000000001</c:v>
                </c:pt>
                <c:pt idx="316">
                  <c:v>1499.944</c:v>
                </c:pt>
                <c:pt idx="317">
                  <c:v>1460.249</c:v>
                </c:pt>
                <c:pt idx="318">
                  <c:v>1463.547</c:v>
                </c:pt>
                <c:pt idx="319">
                  <c:v>944.24199999999996</c:v>
                </c:pt>
                <c:pt idx="320">
                  <c:v>762.279</c:v>
                </c:pt>
                <c:pt idx="321">
                  <c:v>769.31700000000001</c:v>
                </c:pt>
                <c:pt idx="322">
                  <c:v>767.05799999999999</c:v>
                </c:pt>
                <c:pt idx="323">
                  <c:v>762.06799999999998</c:v>
                </c:pt>
                <c:pt idx="324">
                  <c:v>767.62599999999998</c:v>
                </c:pt>
                <c:pt idx="325">
                  <c:v>760.87599999999998</c:v>
                </c:pt>
                <c:pt idx="326">
                  <c:v>762.53200000000004</c:v>
                </c:pt>
                <c:pt idx="327">
                  <c:v>731.26499999999999</c:v>
                </c:pt>
                <c:pt idx="328">
                  <c:v>655.03200000000004</c:v>
                </c:pt>
                <c:pt idx="329">
                  <c:v>754.899</c:v>
                </c:pt>
                <c:pt idx="330">
                  <c:v>750.80499999999995</c:v>
                </c:pt>
                <c:pt idx="331">
                  <c:v>422.90499999999997</c:v>
                </c:pt>
                <c:pt idx="332">
                  <c:v>763.66399999999999</c:v>
                </c:pt>
                <c:pt idx="333">
                  <c:v>781.08299999999997</c:v>
                </c:pt>
                <c:pt idx="334">
                  <c:v>771.52</c:v>
                </c:pt>
                <c:pt idx="335">
                  <c:v>766.66099999999994</c:v>
                </c:pt>
                <c:pt idx="336">
                  <c:v>759.33699999999999</c:v>
                </c:pt>
                <c:pt idx="337">
                  <c:v>768.83799999999997</c:v>
                </c:pt>
                <c:pt idx="338">
                  <c:v>777.68200000000002</c:v>
                </c:pt>
                <c:pt idx="339">
                  <c:v>779.71900000000005</c:v>
                </c:pt>
                <c:pt idx="340">
                  <c:v>776.42499999999995</c:v>
                </c:pt>
                <c:pt idx="341">
                  <c:v>613.67399999999998</c:v>
                </c:pt>
                <c:pt idx="342">
                  <c:v>640.63699999999994</c:v>
                </c:pt>
                <c:pt idx="343">
                  <c:v>776.90099999999995</c:v>
                </c:pt>
                <c:pt idx="344">
                  <c:v>796.048</c:v>
                </c:pt>
                <c:pt idx="345">
                  <c:v>1110.2619999999999</c:v>
                </c:pt>
                <c:pt idx="346">
                  <c:v>1360.2180000000001</c:v>
                </c:pt>
                <c:pt idx="347">
                  <c:v>1082.846</c:v>
                </c:pt>
                <c:pt idx="348">
                  <c:v>1442.2090000000001</c:v>
                </c:pt>
                <c:pt idx="349">
                  <c:v>1375.9590000000001</c:v>
                </c:pt>
                <c:pt idx="350">
                  <c:v>1460.61</c:v>
                </c:pt>
                <c:pt idx="351">
                  <c:v>1438.0730000000001</c:v>
                </c:pt>
                <c:pt idx="352">
                  <c:v>1408.5170000000001</c:v>
                </c:pt>
                <c:pt idx="353">
                  <c:v>1385.0940000000001</c:v>
                </c:pt>
                <c:pt idx="354">
                  <c:v>1428.6769999999999</c:v>
                </c:pt>
                <c:pt idx="355">
                  <c:v>1300.5509999999999</c:v>
                </c:pt>
                <c:pt idx="356">
                  <c:v>1436.1030000000001</c:v>
                </c:pt>
                <c:pt idx="357">
                  <c:v>1509.556</c:v>
                </c:pt>
                <c:pt idx="358">
                  <c:v>1496.9369999999999</c:v>
                </c:pt>
                <c:pt idx="359">
                  <c:v>1472.046</c:v>
                </c:pt>
                <c:pt idx="360">
                  <c:v>1380.0129999999999</c:v>
                </c:pt>
                <c:pt idx="361">
                  <c:v>1307.7360000000001</c:v>
                </c:pt>
                <c:pt idx="362">
                  <c:v>1329.886</c:v>
                </c:pt>
                <c:pt idx="363">
                  <c:v>1344.575</c:v>
                </c:pt>
                <c:pt idx="364">
                  <c:v>1250.375</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1598</c:v>
                </c:pt>
                <c:pt idx="1">
                  <c:v>1598</c:v>
                </c:pt>
                <c:pt idx="2">
                  <c:v>1598</c:v>
                </c:pt>
                <c:pt idx="3">
                  <c:v>1598</c:v>
                </c:pt>
                <c:pt idx="4">
                  <c:v>1598</c:v>
                </c:pt>
                <c:pt idx="5">
                  <c:v>1598</c:v>
                </c:pt>
                <c:pt idx="6">
                  <c:v>1598</c:v>
                </c:pt>
                <c:pt idx="7">
                  <c:v>1598</c:v>
                </c:pt>
                <c:pt idx="8">
                  <c:v>1598</c:v>
                </c:pt>
                <c:pt idx="9">
                  <c:v>1598</c:v>
                </c:pt>
                <c:pt idx="10">
                  <c:v>1598</c:v>
                </c:pt>
                <c:pt idx="11">
                  <c:v>1598</c:v>
                </c:pt>
                <c:pt idx="12">
                  <c:v>1598</c:v>
                </c:pt>
                <c:pt idx="13">
                  <c:v>1598</c:v>
                </c:pt>
                <c:pt idx="14">
                  <c:v>1598</c:v>
                </c:pt>
                <c:pt idx="15">
                  <c:v>1598</c:v>
                </c:pt>
                <c:pt idx="16">
                  <c:v>1598</c:v>
                </c:pt>
                <c:pt idx="17">
                  <c:v>1598</c:v>
                </c:pt>
                <c:pt idx="18">
                  <c:v>1598</c:v>
                </c:pt>
                <c:pt idx="19">
                  <c:v>1598</c:v>
                </c:pt>
                <c:pt idx="20">
                  <c:v>1598</c:v>
                </c:pt>
                <c:pt idx="21">
                  <c:v>1598</c:v>
                </c:pt>
                <c:pt idx="22">
                  <c:v>1598</c:v>
                </c:pt>
                <c:pt idx="23">
                  <c:v>1598</c:v>
                </c:pt>
                <c:pt idx="24">
                  <c:v>1598</c:v>
                </c:pt>
                <c:pt idx="25">
                  <c:v>1598</c:v>
                </c:pt>
                <c:pt idx="26">
                  <c:v>1598</c:v>
                </c:pt>
                <c:pt idx="27">
                  <c:v>1598</c:v>
                </c:pt>
                <c:pt idx="28">
                  <c:v>1598</c:v>
                </c:pt>
                <c:pt idx="29">
                  <c:v>1598</c:v>
                </c:pt>
                <c:pt idx="30">
                  <c:v>1598</c:v>
                </c:pt>
                <c:pt idx="31">
                  <c:v>1598</c:v>
                </c:pt>
                <c:pt idx="32">
                  <c:v>1598</c:v>
                </c:pt>
                <c:pt idx="33">
                  <c:v>1598</c:v>
                </c:pt>
                <c:pt idx="34">
                  <c:v>1598</c:v>
                </c:pt>
                <c:pt idx="35">
                  <c:v>1598</c:v>
                </c:pt>
                <c:pt idx="36">
                  <c:v>1598</c:v>
                </c:pt>
                <c:pt idx="37">
                  <c:v>1598</c:v>
                </c:pt>
                <c:pt idx="38">
                  <c:v>1598</c:v>
                </c:pt>
                <c:pt idx="39">
                  <c:v>1598</c:v>
                </c:pt>
                <c:pt idx="40">
                  <c:v>1598</c:v>
                </c:pt>
                <c:pt idx="41">
                  <c:v>1598</c:v>
                </c:pt>
                <c:pt idx="42">
                  <c:v>1598</c:v>
                </c:pt>
                <c:pt idx="43">
                  <c:v>1598</c:v>
                </c:pt>
                <c:pt idx="44">
                  <c:v>1598</c:v>
                </c:pt>
                <c:pt idx="45">
                  <c:v>1598</c:v>
                </c:pt>
                <c:pt idx="46">
                  <c:v>1598</c:v>
                </c:pt>
                <c:pt idx="47">
                  <c:v>1598</c:v>
                </c:pt>
                <c:pt idx="48">
                  <c:v>1598</c:v>
                </c:pt>
                <c:pt idx="49">
                  <c:v>1598</c:v>
                </c:pt>
                <c:pt idx="50">
                  <c:v>1598</c:v>
                </c:pt>
                <c:pt idx="51">
                  <c:v>1598</c:v>
                </c:pt>
                <c:pt idx="52">
                  <c:v>1598</c:v>
                </c:pt>
                <c:pt idx="53">
                  <c:v>1598</c:v>
                </c:pt>
                <c:pt idx="54">
                  <c:v>1598</c:v>
                </c:pt>
                <c:pt idx="55">
                  <c:v>1598</c:v>
                </c:pt>
                <c:pt idx="56">
                  <c:v>1598</c:v>
                </c:pt>
                <c:pt idx="57">
                  <c:v>1598</c:v>
                </c:pt>
                <c:pt idx="58">
                  <c:v>1598</c:v>
                </c:pt>
                <c:pt idx="59">
                  <c:v>1598</c:v>
                </c:pt>
                <c:pt idx="60">
                  <c:v>1598</c:v>
                </c:pt>
                <c:pt idx="61">
                  <c:v>1598</c:v>
                </c:pt>
                <c:pt idx="62">
                  <c:v>1598</c:v>
                </c:pt>
                <c:pt idx="63">
                  <c:v>1598</c:v>
                </c:pt>
                <c:pt idx="64">
                  <c:v>1598</c:v>
                </c:pt>
                <c:pt idx="65">
                  <c:v>1598</c:v>
                </c:pt>
                <c:pt idx="66">
                  <c:v>1598</c:v>
                </c:pt>
                <c:pt idx="67">
                  <c:v>1598</c:v>
                </c:pt>
                <c:pt idx="68">
                  <c:v>1598</c:v>
                </c:pt>
                <c:pt idx="69">
                  <c:v>1598</c:v>
                </c:pt>
                <c:pt idx="70">
                  <c:v>1598</c:v>
                </c:pt>
                <c:pt idx="71">
                  <c:v>1598</c:v>
                </c:pt>
                <c:pt idx="72">
                  <c:v>1598</c:v>
                </c:pt>
                <c:pt idx="73">
                  <c:v>1598</c:v>
                </c:pt>
                <c:pt idx="74">
                  <c:v>1598</c:v>
                </c:pt>
                <c:pt idx="75">
                  <c:v>1598</c:v>
                </c:pt>
                <c:pt idx="76">
                  <c:v>1598</c:v>
                </c:pt>
                <c:pt idx="77">
                  <c:v>1598</c:v>
                </c:pt>
                <c:pt idx="78">
                  <c:v>1598</c:v>
                </c:pt>
                <c:pt idx="79">
                  <c:v>1598</c:v>
                </c:pt>
                <c:pt idx="80">
                  <c:v>1598</c:v>
                </c:pt>
                <c:pt idx="81">
                  <c:v>1598</c:v>
                </c:pt>
                <c:pt idx="82">
                  <c:v>1598</c:v>
                </c:pt>
                <c:pt idx="83">
                  <c:v>1598</c:v>
                </c:pt>
                <c:pt idx="84">
                  <c:v>1598</c:v>
                </c:pt>
                <c:pt idx="85">
                  <c:v>1598</c:v>
                </c:pt>
                <c:pt idx="86">
                  <c:v>1598</c:v>
                </c:pt>
                <c:pt idx="87">
                  <c:v>1598</c:v>
                </c:pt>
                <c:pt idx="88">
                  <c:v>1598</c:v>
                </c:pt>
                <c:pt idx="89">
                  <c:v>1598</c:v>
                </c:pt>
                <c:pt idx="90">
                  <c:v>1598</c:v>
                </c:pt>
                <c:pt idx="91">
                  <c:v>1598</c:v>
                </c:pt>
                <c:pt idx="92">
                  <c:v>1598</c:v>
                </c:pt>
                <c:pt idx="93">
                  <c:v>1598</c:v>
                </c:pt>
                <c:pt idx="94">
                  <c:v>1598</c:v>
                </c:pt>
                <c:pt idx="95">
                  <c:v>1598</c:v>
                </c:pt>
                <c:pt idx="96">
                  <c:v>1598</c:v>
                </c:pt>
                <c:pt idx="97">
                  <c:v>1598</c:v>
                </c:pt>
                <c:pt idx="98">
                  <c:v>1598</c:v>
                </c:pt>
                <c:pt idx="99">
                  <c:v>1598</c:v>
                </c:pt>
                <c:pt idx="100">
                  <c:v>1598</c:v>
                </c:pt>
                <c:pt idx="101">
                  <c:v>1598</c:v>
                </c:pt>
                <c:pt idx="102">
                  <c:v>1598</c:v>
                </c:pt>
                <c:pt idx="103">
                  <c:v>1598</c:v>
                </c:pt>
                <c:pt idx="104">
                  <c:v>1598</c:v>
                </c:pt>
                <c:pt idx="105">
                  <c:v>1598</c:v>
                </c:pt>
                <c:pt idx="106">
                  <c:v>1598</c:v>
                </c:pt>
                <c:pt idx="107">
                  <c:v>1598</c:v>
                </c:pt>
                <c:pt idx="108">
                  <c:v>1598</c:v>
                </c:pt>
                <c:pt idx="109">
                  <c:v>1598</c:v>
                </c:pt>
                <c:pt idx="110">
                  <c:v>1598</c:v>
                </c:pt>
                <c:pt idx="111">
                  <c:v>1598</c:v>
                </c:pt>
                <c:pt idx="112">
                  <c:v>1598</c:v>
                </c:pt>
                <c:pt idx="113">
                  <c:v>1598</c:v>
                </c:pt>
                <c:pt idx="114">
                  <c:v>1598</c:v>
                </c:pt>
                <c:pt idx="115">
                  <c:v>1598</c:v>
                </c:pt>
                <c:pt idx="116">
                  <c:v>1598</c:v>
                </c:pt>
                <c:pt idx="117">
                  <c:v>1598</c:v>
                </c:pt>
                <c:pt idx="118">
                  <c:v>1598</c:v>
                </c:pt>
                <c:pt idx="119">
                  <c:v>1598</c:v>
                </c:pt>
                <c:pt idx="120">
                  <c:v>1598</c:v>
                </c:pt>
                <c:pt idx="121">
                  <c:v>1598</c:v>
                </c:pt>
                <c:pt idx="122">
                  <c:v>1598</c:v>
                </c:pt>
                <c:pt idx="123">
                  <c:v>1598</c:v>
                </c:pt>
                <c:pt idx="124">
                  <c:v>1598</c:v>
                </c:pt>
                <c:pt idx="125">
                  <c:v>1598</c:v>
                </c:pt>
                <c:pt idx="126">
                  <c:v>1598</c:v>
                </c:pt>
                <c:pt idx="127">
                  <c:v>1598</c:v>
                </c:pt>
                <c:pt idx="128">
                  <c:v>1598</c:v>
                </c:pt>
                <c:pt idx="129">
                  <c:v>1598</c:v>
                </c:pt>
                <c:pt idx="130">
                  <c:v>1598</c:v>
                </c:pt>
                <c:pt idx="131">
                  <c:v>1598</c:v>
                </c:pt>
                <c:pt idx="132">
                  <c:v>1598</c:v>
                </c:pt>
                <c:pt idx="133">
                  <c:v>1598</c:v>
                </c:pt>
                <c:pt idx="134">
                  <c:v>1598</c:v>
                </c:pt>
                <c:pt idx="135">
                  <c:v>1598</c:v>
                </c:pt>
                <c:pt idx="136">
                  <c:v>1598</c:v>
                </c:pt>
                <c:pt idx="137">
                  <c:v>1598</c:v>
                </c:pt>
                <c:pt idx="138">
                  <c:v>1598</c:v>
                </c:pt>
                <c:pt idx="139">
                  <c:v>1598</c:v>
                </c:pt>
                <c:pt idx="140">
                  <c:v>1598</c:v>
                </c:pt>
                <c:pt idx="141">
                  <c:v>1598</c:v>
                </c:pt>
                <c:pt idx="142">
                  <c:v>1598</c:v>
                </c:pt>
                <c:pt idx="143">
                  <c:v>1598</c:v>
                </c:pt>
                <c:pt idx="144">
                  <c:v>1598</c:v>
                </c:pt>
                <c:pt idx="145">
                  <c:v>1598</c:v>
                </c:pt>
                <c:pt idx="146">
                  <c:v>1598</c:v>
                </c:pt>
                <c:pt idx="147">
                  <c:v>1598</c:v>
                </c:pt>
                <c:pt idx="148">
                  <c:v>1598</c:v>
                </c:pt>
                <c:pt idx="149">
                  <c:v>1598</c:v>
                </c:pt>
                <c:pt idx="150">
                  <c:v>1598</c:v>
                </c:pt>
                <c:pt idx="151">
                  <c:v>1598</c:v>
                </c:pt>
                <c:pt idx="152">
                  <c:v>1598</c:v>
                </c:pt>
                <c:pt idx="153">
                  <c:v>1598</c:v>
                </c:pt>
                <c:pt idx="154">
                  <c:v>1598</c:v>
                </c:pt>
                <c:pt idx="155">
                  <c:v>1598</c:v>
                </c:pt>
                <c:pt idx="156">
                  <c:v>1598</c:v>
                </c:pt>
                <c:pt idx="157">
                  <c:v>1598</c:v>
                </c:pt>
                <c:pt idx="158">
                  <c:v>1598</c:v>
                </c:pt>
                <c:pt idx="159">
                  <c:v>1598</c:v>
                </c:pt>
                <c:pt idx="160">
                  <c:v>1598</c:v>
                </c:pt>
                <c:pt idx="161">
                  <c:v>1598</c:v>
                </c:pt>
                <c:pt idx="162">
                  <c:v>1598</c:v>
                </c:pt>
                <c:pt idx="163">
                  <c:v>1598</c:v>
                </c:pt>
                <c:pt idx="164">
                  <c:v>1598</c:v>
                </c:pt>
                <c:pt idx="165">
                  <c:v>1598</c:v>
                </c:pt>
                <c:pt idx="166">
                  <c:v>1598</c:v>
                </c:pt>
                <c:pt idx="167">
                  <c:v>1598</c:v>
                </c:pt>
                <c:pt idx="168">
                  <c:v>1598</c:v>
                </c:pt>
                <c:pt idx="169">
                  <c:v>1598</c:v>
                </c:pt>
                <c:pt idx="170">
                  <c:v>1598</c:v>
                </c:pt>
                <c:pt idx="171">
                  <c:v>1598</c:v>
                </c:pt>
                <c:pt idx="172">
                  <c:v>1598</c:v>
                </c:pt>
                <c:pt idx="173">
                  <c:v>1598</c:v>
                </c:pt>
                <c:pt idx="174">
                  <c:v>1598</c:v>
                </c:pt>
                <c:pt idx="175">
                  <c:v>1598</c:v>
                </c:pt>
                <c:pt idx="176">
                  <c:v>1598</c:v>
                </c:pt>
                <c:pt idx="177">
                  <c:v>1598</c:v>
                </c:pt>
                <c:pt idx="178">
                  <c:v>1598</c:v>
                </c:pt>
                <c:pt idx="179">
                  <c:v>1598</c:v>
                </c:pt>
                <c:pt idx="180">
                  <c:v>1598</c:v>
                </c:pt>
                <c:pt idx="181">
                  <c:v>1598</c:v>
                </c:pt>
                <c:pt idx="182">
                  <c:v>1598</c:v>
                </c:pt>
                <c:pt idx="183">
                  <c:v>1598</c:v>
                </c:pt>
                <c:pt idx="184">
                  <c:v>1598</c:v>
                </c:pt>
                <c:pt idx="185">
                  <c:v>1598</c:v>
                </c:pt>
                <c:pt idx="186">
                  <c:v>1598</c:v>
                </c:pt>
                <c:pt idx="187">
                  <c:v>1598</c:v>
                </c:pt>
                <c:pt idx="188">
                  <c:v>1598</c:v>
                </c:pt>
                <c:pt idx="189">
                  <c:v>1598</c:v>
                </c:pt>
                <c:pt idx="190">
                  <c:v>1598</c:v>
                </c:pt>
                <c:pt idx="191">
                  <c:v>1598</c:v>
                </c:pt>
                <c:pt idx="192">
                  <c:v>1598</c:v>
                </c:pt>
                <c:pt idx="193">
                  <c:v>1598</c:v>
                </c:pt>
                <c:pt idx="194">
                  <c:v>1598</c:v>
                </c:pt>
                <c:pt idx="195">
                  <c:v>1598</c:v>
                </c:pt>
                <c:pt idx="196">
                  <c:v>1598</c:v>
                </c:pt>
                <c:pt idx="197">
                  <c:v>1598</c:v>
                </c:pt>
                <c:pt idx="198">
                  <c:v>1598</c:v>
                </c:pt>
                <c:pt idx="199">
                  <c:v>1598</c:v>
                </c:pt>
                <c:pt idx="200">
                  <c:v>1598</c:v>
                </c:pt>
                <c:pt idx="201">
                  <c:v>1598</c:v>
                </c:pt>
                <c:pt idx="202">
                  <c:v>1598</c:v>
                </c:pt>
                <c:pt idx="203">
                  <c:v>1598</c:v>
                </c:pt>
                <c:pt idx="204">
                  <c:v>1598</c:v>
                </c:pt>
                <c:pt idx="205">
                  <c:v>1598</c:v>
                </c:pt>
                <c:pt idx="206">
                  <c:v>1598</c:v>
                </c:pt>
                <c:pt idx="207">
                  <c:v>1598</c:v>
                </c:pt>
                <c:pt idx="208">
                  <c:v>1598</c:v>
                </c:pt>
                <c:pt idx="209">
                  <c:v>1598</c:v>
                </c:pt>
                <c:pt idx="210">
                  <c:v>1598</c:v>
                </c:pt>
                <c:pt idx="211">
                  <c:v>1598</c:v>
                </c:pt>
                <c:pt idx="212">
                  <c:v>1598</c:v>
                </c:pt>
                <c:pt idx="213">
                  <c:v>1598</c:v>
                </c:pt>
                <c:pt idx="214">
                  <c:v>1598</c:v>
                </c:pt>
                <c:pt idx="215">
                  <c:v>1598</c:v>
                </c:pt>
                <c:pt idx="216">
                  <c:v>1598</c:v>
                </c:pt>
                <c:pt idx="217">
                  <c:v>1598</c:v>
                </c:pt>
                <c:pt idx="218">
                  <c:v>1598</c:v>
                </c:pt>
                <c:pt idx="219">
                  <c:v>1598</c:v>
                </c:pt>
                <c:pt idx="220">
                  <c:v>1598</c:v>
                </c:pt>
                <c:pt idx="221">
                  <c:v>1598</c:v>
                </c:pt>
                <c:pt idx="222">
                  <c:v>1598</c:v>
                </c:pt>
                <c:pt idx="223">
                  <c:v>1598</c:v>
                </c:pt>
                <c:pt idx="224">
                  <c:v>1598</c:v>
                </c:pt>
                <c:pt idx="225">
                  <c:v>1598</c:v>
                </c:pt>
                <c:pt idx="226">
                  <c:v>1598</c:v>
                </c:pt>
                <c:pt idx="227">
                  <c:v>1598</c:v>
                </c:pt>
                <c:pt idx="228">
                  <c:v>1598</c:v>
                </c:pt>
                <c:pt idx="229">
                  <c:v>1598</c:v>
                </c:pt>
                <c:pt idx="230">
                  <c:v>1598</c:v>
                </c:pt>
                <c:pt idx="231">
                  <c:v>1598</c:v>
                </c:pt>
                <c:pt idx="232">
                  <c:v>1598</c:v>
                </c:pt>
                <c:pt idx="233">
                  <c:v>1598</c:v>
                </c:pt>
                <c:pt idx="234">
                  <c:v>1598</c:v>
                </c:pt>
                <c:pt idx="235">
                  <c:v>1598</c:v>
                </c:pt>
                <c:pt idx="236">
                  <c:v>1598</c:v>
                </c:pt>
                <c:pt idx="237">
                  <c:v>1598</c:v>
                </c:pt>
                <c:pt idx="238">
                  <c:v>1598</c:v>
                </c:pt>
                <c:pt idx="239">
                  <c:v>1598</c:v>
                </c:pt>
                <c:pt idx="240">
                  <c:v>1598</c:v>
                </c:pt>
                <c:pt idx="241">
                  <c:v>1598</c:v>
                </c:pt>
                <c:pt idx="242">
                  <c:v>1598</c:v>
                </c:pt>
                <c:pt idx="243">
                  <c:v>1598</c:v>
                </c:pt>
                <c:pt idx="244">
                  <c:v>1598</c:v>
                </c:pt>
                <c:pt idx="245">
                  <c:v>1598</c:v>
                </c:pt>
                <c:pt idx="246">
                  <c:v>1598</c:v>
                </c:pt>
                <c:pt idx="247">
                  <c:v>1598</c:v>
                </c:pt>
                <c:pt idx="248">
                  <c:v>1598</c:v>
                </c:pt>
                <c:pt idx="249">
                  <c:v>1598</c:v>
                </c:pt>
                <c:pt idx="250">
                  <c:v>1598</c:v>
                </c:pt>
                <c:pt idx="251">
                  <c:v>1598</c:v>
                </c:pt>
                <c:pt idx="252">
                  <c:v>1598</c:v>
                </c:pt>
                <c:pt idx="253">
                  <c:v>1598</c:v>
                </c:pt>
                <c:pt idx="254">
                  <c:v>1598</c:v>
                </c:pt>
                <c:pt idx="255">
                  <c:v>1598</c:v>
                </c:pt>
                <c:pt idx="256">
                  <c:v>1598</c:v>
                </c:pt>
                <c:pt idx="257">
                  <c:v>1598</c:v>
                </c:pt>
                <c:pt idx="258">
                  <c:v>1598</c:v>
                </c:pt>
                <c:pt idx="259">
                  <c:v>1598</c:v>
                </c:pt>
                <c:pt idx="260">
                  <c:v>1598</c:v>
                </c:pt>
                <c:pt idx="261">
                  <c:v>1598</c:v>
                </c:pt>
                <c:pt idx="262">
                  <c:v>1598</c:v>
                </c:pt>
                <c:pt idx="263">
                  <c:v>1598</c:v>
                </c:pt>
                <c:pt idx="264">
                  <c:v>1598</c:v>
                </c:pt>
                <c:pt idx="265">
                  <c:v>1598</c:v>
                </c:pt>
                <c:pt idx="266">
                  <c:v>1598</c:v>
                </c:pt>
                <c:pt idx="267">
                  <c:v>1598</c:v>
                </c:pt>
                <c:pt idx="268">
                  <c:v>1598</c:v>
                </c:pt>
                <c:pt idx="269">
                  <c:v>1598</c:v>
                </c:pt>
                <c:pt idx="270">
                  <c:v>1598</c:v>
                </c:pt>
                <c:pt idx="271">
                  <c:v>1598</c:v>
                </c:pt>
                <c:pt idx="272">
                  <c:v>1598</c:v>
                </c:pt>
                <c:pt idx="273">
                  <c:v>1598</c:v>
                </c:pt>
                <c:pt idx="274">
                  <c:v>1598</c:v>
                </c:pt>
                <c:pt idx="275">
                  <c:v>1598</c:v>
                </c:pt>
                <c:pt idx="276">
                  <c:v>1598</c:v>
                </c:pt>
                <c:pt idx="277">
                  <c:v>1598</c:v>
                </c:pt>
                <c:pt idx="278">
                  <c:v>1598</c:v>
                </c:pt>
                <c:pt idx="279">
                  <c:v>1598</c:v>
                </c:pt>
                <c:pt idx="280">
                  <c:v>1598</c:v>
                </c:pt>
                <c:pt idx="281">
                  <c:v>1598</c:v>
                </c:pt>
                <c:pt idx="282">
                  <c:v>1598</c:v>
                </c:pt>
                <c:pt idx="283">
                  <c:v>1598</c:v>
                </c:pt>
                <c:pt idx="284">
                  <c:v>1598</c:v>
                </c:pt>
                <c:pt idx="285">
                  <c:v>1598</c:v>
                </c:pt>
                <c:pt idx="286">
                  <c:v>1598</c:v>
                </c:pt>
                <c:pt idx="287">
                  <c:v>1598</c:v>
                </c:pt>
                <c:pt idx="288">
                  <c:v>1598</c:v>
                </c:pt>
                <c:pt idx="289">
                  <c:v>1598</c:v>
                </c:pt>
                <c:pt idx="290">
                  <c:v>1598</c:v>
                </c:pt>
                <c:pt idx="291">
                  <c:v>1598</c:v>
                </c:pt>
                <c:pt idx="292">
                  <c:v>1598</c:v>
                </c:pt>
                <c:pt idx="293">
                  <c:v>1598</c:v>
                </c:pt>
                <c:pt idx="294">
                  <c:v>1598</c:v>
                </c:pt>
                <c:pt idx="295">
                  <c:v>1598</c:v>
                </c:pt>
                <c:pt idx="296">
                  <c:v>1598</c:v>
                </c:pt>
                <c:pt idx="297">
                  <c:v>1598</c:v>
                </c:pt>
                <c:pt idx="298">
                  <c:v>1598</c:v>
                </c:pt>
                <c:pt idx="299">
                  <c:v>1598</c:v>
                </c:pt>
                <c:pt idx="300">
                  <c:v>1598</c:v>
                </c:pt>
                <c:pt idx="301">
                  <c:v>1598</c:v>
                </c:pt>
                <c:pt idx="302">
                  <c:v>1598</c:v>
                </c:pt>
                <c:pt idx="303">
                  <c:v>1598</c:v>
                </c:pt>
                <c:pt idx="304">
                  <c:v>1598</c:v>
                </c:pt>
                <c:pt idx="305">
                  <c:v>1598</c:v>
                </c:pt>
                <c:pt idx="306">
                  <c:v>1598</c:v>
                </c:pt>
                <c:pt idx="307">
                  <c:v>1598</c:v>
                </c:pt>
                <c:pt idx="308">
                  <c:v>1598</c:v>
                </c:pt>
                <c:pt idx="309">
                  <c:v>1598</c:v>
                </c:pt>
                <c:pt idx="310">
                  <c:v>1598</c:v>
                </c:pt>
                <c:pt idx="311">
                  <c:v>1598</c:v>
                </c:pt>
                <c:pt idx="312">
                  <c:v>1598</c:v>
                </c:pt>
                <c:pt idx="313">
                  <c:v>1598</c:v>
                </c:pt>
                <c:pt idx="314">
                  <c:v>1598</c:v>
                </c:pt>
                <c:pt idx="315">
                  <c:v>1598</c:v>
                </c:pt>
                <c:pt idx="316">
                  <c:v>1598</c:v>
                </c:pt>
                <c:pt idx="317">
                  <c:v>1598</c:v>
                </c:pt>
                <c:pt idx="318">
                  <c:v>1598</c:v>
                </c:pt>
                <c:pt idx="319">
                  <c:v>1598</c:v>
                </c:pt>
                <c:pt idx="320">
                  <c:v>1598</c:v>
                </c:pt>
                <c:pt idx="321">
                  <c:v>1598</c:v>
                </c:pt>
                <c:pt idx="322">
                  <c:v>1598</c:v>
                </c:pt>
                <c:pt idx="323">
                  <c:v>1598</c:v>
                </c:pt>
                <c:pt idx="324">
                  <c:v>1598</c:v>
                </c:pt>
                <c:pt idx="325">
                  <c:v>1598</c:v>
                </c:pt>
                <c:pt idx="326">
                  <c:v>1598</c:v>
                </c:pt>
                <c:pt idx="327">
                  <c:v>1598</c:v>
                </c:pt>
                <c:pt idx="328">
                  <c:v>1598</c:v>
                </c:pt>
                <c:pt idx="329">
                  <c:v>1598</c:v>
                </c:pt>
                <c:pt idx="330">
                  <c:v>1598</c:v>
                </c:pt>
                <c:pt idx="331">
                  <c:v>1598</c:v>
                </c:pt>
                <c:pt idx="332">
                  <c:v>1598</c:v>
                </c:pt>
                <c:pt idx="333">
                  <c:v>1598</c:v>
                </c:pt>
                <c:pt idx="334">
                  <c:v>1598</c:v>
                </c:pt>
                <c:pt idx="335">
                  <c:v>1598</c:v>
                </c:pt>
                <c:pt idx="336">
                  <c:v>1598</c:v>
                </c:pt>
                <c:pt idx="337">
                  <c:v>1598</c:v>
                </c:pt>
                <c:pt idx="338">
                  <c:v>1598</c:v>
                </c:pt>
                <c:pt idx="339">
                  <c:v>1598</c:v>
                </c:pt>
                <c:pt idx="340">
                  <c:v>1598</c:v>
                </c:pt>
                <c:pt idx="341">
                  <c:v>1598</c:v>
                </c:pt>
                <c:pt idx="342">
                  <c:v>1598</c:v>
                </c:pt>
                <c:pt idx="343">
                  <c:v>1598</c:v>
                </c:pt>
                <c:pt idx="344">
                  <c:v>1598</c:v>
                </c:pt>
                <c:pt idx="345">
                  <c:v>1598</c:v>
                </c:pt>
                <c:pt idx="346">
                  <c:v>1598</c:v>
                </c:pt>
                <c:pt idx="347">
                  <c:v>1598</c:v>
                </c:pt>
                <c:pt idx="348">
                  <c:v>1598</c:v>
                </c:pt>
                <c:pt idx="349">
                  <c:v>1598</c:v>
                </c:pt>
                <c:pt idx="350">
                  <c:v>1598</c:v>
                </c:pt>
                <c:pt idx="351">
                  <c:v>1598</c:v>
                </c:pt>
                <c:pt idx="352">
                  <c:v>1598</c:v>
                </c:pt>
                <c:pt idx="353">
                  <c:v>1598</c:v>
                </c:pt>
                <c:pt idx="354">
                  <c:v>1598</c:v>
                </c:pt>
                <c:pt idx="355">
                  <c:v>1598</c:v>
                </c:pt>
                <c:pt idx="356">
                  <c:v>1598</c:v>
                </c:pt>
                <c:pt idx="357">
                  <c:v>1598</c:v>
                </c:pt>
                <c:pt idx="358">
                  <c:v>1598</c:v>
                </c:pt>
                <c:pt idx="359">
                  <c:v>1598</c:v>
                </c:pt>
                <c:pt idx="360">
                  <c:v>1598</c:v>
                </c:pt>
                <c:pt idx="361">
                  <c:v>1598</c:v>
                </c:pt>
                <c:pt idx="362">
                  <c:v>1598</c:v>
                </c:pt>
                <c:pt idx="363">
                  <c:v>1598</c:v>
                </c:pt>
                <c:pt idx="364">
                  <c:v>1598</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0.34364400124156197</c:v>
                </c:pt>
                <c:pt idx="1">
                  <c:v>0.34560019434615508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0.24169427796364898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0.12341369659881796</c:v>
                </c:pt>
                <c:pt idx="1">
                  <c:v>0.12341369659881796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0.46705769784037993</c:v>
                </c:pt>
                <c:pt idx="1">
                  <c:v>0.71070816890862198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102870</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84455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739140</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95885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774065</xdr:colOff>
      <xdr:row>3</xdr:row>
      <xdr:rowOff>84455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638869</xdr:colOff>
      <xdr:row>62</xdr:row>
      <xdr:rowOff>19050</xdr:rowOff>
    </xdr:to>
    <xdr:pic>
      <xdr:nvPicPr>
        <xdr:cNvPr id="3" name="Picture 2">
          <a:extLst>
            <a:ext uri="{FF2B5EF4-FFF2-40B4-BE49-F238E27FC236}">
              <a16:creationId xmlns:a16="http://schemas.microsoft.com/office/drawing/2014/main" id="{CF173E01-B0B2-3C29-2B50-A94C4AB02D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22</xdr:col>
      <xdr:colOff>635694</xdr:colOff>
      <xdr:row>62</xdr:row>
      <xdr:rowOff>19050</xdr:rowOff>
    </xdr:to>
    <xdr:pic>
      <xdr:nvPicPr>
        <xdr:cNvPr id="5" name="Picture 4">
          <a:extLst>
            <a:ext uri="{FF2B5EF4-FFF2-40B4-BE49-F238E27FC236}">
              <a16:creationId xmlns:a16="http://schemas.microsoft.com/office/drawing/2014/main" id="{602E941A-AAB6-EBC8-B824-62DA1B59AB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2400" y="0"/>
          <a:ext cx="7112694" cy="10058400"/>
        </a:xfrm>
        <a:prstGeom prst="rect">
          <a:avLst/>
        </a:prstGeom>
      </xdr:spPr>
    </xdr:pic>
    <xdr:clientData/>
  </xdr:twoCellAnchor>
  <xdr:twoCellAnchor editAs="oneCell">
    <xdr:from>
      <xdr:col>24</xdr:col>
      <xdr:colOff>0</xdr:colOff>
      <xdr:row>0</xdr:row>
      <xdr:rowOff>0</xdr:rowOff>
    </xdr:from>
    <xdr:to>
      <xdr:col>34</xdr:col>
      <xdr:colOff>635694</xdr:colOff>
      <xdr:row>62</xdr:row>
      <xdr:rowOff>19050</xdr:rowOff>
    </xdr:to>
    <xdr:pic>
      <xdr:nvPicPr>
        <xdr:cNvPr id="7" name="Picture 6">
          <a:extLst>
            <a:ext uri="{FF2B5EF4-FFF2-40B4-BE49-F238E27FC236}">
              <a16:creationId xmlns:a16="http://schemas.microsoft.com/office/drawing/2014/main" id="{BF028FC1-2324-2406-585D-F83CD9B5C0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5448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97155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635694</xdr:colOff>
      <xdr:row>62</xdr:row>
      <xdr:rowOff>19050</xdr:rowOff>
    </xdr:to>
    <xdr:pic>
      <xdr:nvPicPr>
        <xdr:cNvPr id="3" name="Picture 2">
          <a:extLst>
            <a:ext uri="{FF2B5EF4-FFF2-40B4-BE49-F238E27FC236}">
              <a16:creationId xmlns:a16="http://schemas.microsoft.com/office/drawing/2014/main" id="{F5EC9B68-1594-DCC2-DAFB-FAEDD927F3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22</xdr:col>
      <xdr:colOff>635694</xdr:colOff>
      <xdr:row>62</xdr:row>
      <xdr:rowOff>19050</xdr:rowOff>
    </xdr:to>
    <xdr:pic>
      <xdr:nvPicPr>
        <xdr:cNvPr id="5" name="Picture 4">
          <a:extLst>
            <a:ext uri="{FF2B5EF4-FFF2-40B4-BE49-F238E27FC236}">
              <a16:creationId xmlns:a16="http://schemas.microsoft.com/office/drawing/2014/main" id="{3ECE1338-ADA5-5841-9B86-90385FB1DB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2400" y="0"/>
          <a:ext cx="7112694" cy="10058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17780</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637192</xdr:colOff>
      <xdr:row>62</xdr:row>
      <xdr:rowOff>19050</xdr:rowOff>
    </xdr:to>
    <xdr:pic>
      <xdr:nvPicPr>
        <xdr:cNvPr id="3" name="Picture 2">
          <a:extLst>
            <a:ext uri="{FF2B5EF4-FFF2-40B4-BE49-F238E27FC236}">
              <a16:creationId xmlns:a16="http://schemas.microsoft.com/office/drawing/2014/main" id="{E4A967AC-F6E3-B667-2108-29F7210EA2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22</xdr:col>
      <xdr:colOff>638869</xdr:colOff>
      <xdr:row>62</xdr:row>
      <xdr:rowOff>19050</xdr:rowOff>
    </xdr:to>
    <xdr:pic>
      <xdr:nvPicPr>
        <xdr:cNvPr id="5" name="Picture 4">
          <a:extLst>
            <a:ext uri="{FF2B5EF4-FFF2-40B4-BE49-F238E27FC236}">
              <a16:creationId xmlns:a16="http://schemas.microsoft.com/office/drawing/2014/main" id="{62019E84-DCD7-934C-0870-0C0790EB59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2400" y="0"/>
          <a:ext cx="7112694" cy="10058400"/>
        </a:xfrm>
        <a:prstGeom prst="rect">
          <a:avLst/>
        </a:prstGeom>
      </xdr:spPr>
    </xdr:pic>
    <xdr:clientData/>
  </xdr:twoCellAnchor>
  <xdr:twoCellAnchor editAs="oneCell">
    <xdr:from>
      <xdr:col>24</xdr:col>
      <xdr:colOff>0</xdr:colOff>
      <xdr:row>0</xdr:row>
      <xdr:rowOff>0</xdr:rowOff>
    </xdr:from>
    <xdr:to>
      <xdr:col>34</xdr:col>
      <xdr:colOff>638869</xdr:colOff>
      <xdr:row>62</xdr:row>
      <xdr:rowOff>19050</xdr:rowOff>
    </xdr:to>
    <xdr:pic>
      <xdr:nvPicPr>
        <xdr:cNvPr id="7" name="Picture 6">
          <a:extLst>
            <a:ext uri="{FF2B5EF4-FFF2-40B4-BE49-F238E27FC236}">
              <a16:creationId xmlns:a16="http://schemas.microsoft.com/office/drawing/2014/main" id="{992522ED-5D1D-C420-A4B3-033024E219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544800" y="0"/>
          <a:ext cx="7112694" cy="10058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87" tableBorderDxfId="86">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85"/>
    <tableColumn id="4" xr3:uid="{00000000-0010-0000-0100-000004000000}" name="Table"/>
    <tableColumn id="5" xr3:uid="{00000000-0010-0000-0100-000005000000}" name="Cell" dataDxfId="84"/>
    <tableColumn id="6" xr3:uid="{00000000-0010-0000-0100-000006000000}" name="Change"/>
    <tableColumn id="7" xr3:uid="{00000000-0010-0000-0100-000007000000}" name="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activeCell="G47" sqref="G47"/>
      <selection pane="bottomLeft"/>
    </sheetView>
  </sheetViews>
  <sheetFormatPr defaultColWidth="9.28515625" defaultRowHeight="12.75" x14ac:dyDescent="0.2"/>
  <cols>
    <col min="1" max="1" width="41" style="220" customWidth="1"/>
    <col min="2" max="2" width="23.5703125" style="220" customWidth="1"/>
    <col min="3" max="6" width="20.7109375" style="220" customWidth="1"/>
    <col min="7" max="8" width="11.28515625" style="220" customWidth="1"/>
    <col min="9" max="11" width="20.7109375" style="220" customWidth="1"/>
    <col min="12" max="13" width="9.28515625" style="220"/>
    <col min="14" max="14" width="27.28515625" style="220" customWidth="1"/>
    <col min="15" max="16384" width="9.28515625" style="220"/>
  </cols>
  <sheetData>
    <row r="1" spans="1:11" ht="66" customHeight="1" x14ac:dyDescent="0.2"/>
    <row r="2" spans="1:11" ht="20.25" customHeight="1" x14ac:dyDescent="0.2">
      <c r="A2" s="221" t="s">
        <v>0</v>
      </c>
      <c r="B2" s="221"/>
      <c r="C2" s="221"/>
      <c r="D2" s="221"/>
      <c r="E2" s="221"/>
      <c r="F2" s="221"/>
      <c r="G2" s="221"/>
      <c r="H2" s="221"/>
      <c r="I2" s="221"/>
      <c r="J2" s="221"/>
      <c r="K2" s="221"/>
    </row>
    <row r="3" spans="1:11" ht="20.25" x14ac:dyDescent="0.2">
      <c r="A3" s="221" t="s">
        <v>1</v>
      </c>
      <c r="B3" s="221"/>
      <c r="C3" s="221"/>
      <c r="D3" s="221"/>
      <c r="E3" s="221"/>
      <c r="F3" s="221"/>
      <c r="G3" s="221"/>
      <c r="H3" s="221"/>
      <c r="I3" s="221"/>
      <c r="J3" s="221"/>
      <c r="K3" s="221"/>
    </row>
    <row r="4" spans="1:11" x14ac:dyDescent="0.2">
      <c r="A4" s="222"/>
      <c r="B4" s="222"/>
      <c r="C4" s="222"/>
      <c r="D4" s="222"/>
      <c r="E4" s="222"/>
      <c r="F4" s="222"/>
      <c r="G4" s="222"/>
      <c r="H4" s="222"/>
      <c r="I4" s="222"/>
      <c r="J4" s="222"/>
      <c r="K4" s="222"/>
    </row>
    <row r="5" spans="1:11" s="226" customFormat="1" ht="15.75" x14ac:dyDescent="0.2">
      <c r="A5" s="223" t="s">
        <v>2</v>
      </c>
      <c r="B5" s="224"/>
      <c r="C5" s="224"/>
      <c r="D5" s="224"/>
      <c r="E5" s="224"/>
      <c r="F5" s="224"/>
      <c r="G5" s="224"/>
      <c r="H5" s="224"/>
      <c r="I5" s="224"/>
      <c r="J5" s="225"/>
      <c r="K5" s="225"/>
    </row>
    <row r="6" spans="1:11" s="226" customFormat="1" ht="15.75" x14ac:dyDescent="0.2">
      <c r="A6" s="223" t="s">
        <v>3</v>
      </c>
      <c r="B6" s="224"/>
      <c r="C6" s="224"/>
      <c r="D6" s="224"/>
      <c r="E6" s="224"/>
      <c r="F6" s="224"/>
      <c r="G6" s="224"/>
      <c r="H6" s="224"/>
      <c r="I6" s="224"/>
      <c r="J6" s="225"/>
      <c r="K6" s="225"/>
    </row>
    <row r="7" spans="1:11" ht="15.75" thickBot="1" x14ac:dyDescent="0.25">
      <c r="A7" s="299"/>
      <c r="B7" s="299"/>
      <c r="C7" s="299"/>
      <c r="D7" s="299"/>
      <c r="E7" s="299"/>
      <c r="F7" s="299"/>
      <c r="G7" s="299"/>
      <c r="H7" s="299"/>
      <c r="I7" s="299"/>
      <c r="J7" s="222"/>
      <c r="K7" s="222"/>
    </row>
    <row r="8" spans="1:11" ht="12.75" customHeight="1" x14ac:dyDescent="0.2">
      <c r="A8" s="342" t="s">
        <v>4</v>
      </c>
      <c r="B8" s="343"/>
      <c r="C8" s="343"/>
      <c r="D8" s="343"/>
      <c r="E8" s="343"/>
      <c r="F8" s="343"/>
      <c r="G8" s="343"/>
      <c r="H8" s="343"/>
      <c r="I8" s="344"/>
      <c r="J8" s="222"/>
      <c r="K8" s="222"/>
    </row>
    <row r="9" spans="1:11" ht="15.75" x14ac:dyDescent="0.2">
      <c r="A9" s="227" t="s">
        <v>5</v>
      </c>
      <c r="B9" s="228"/>
      <c r="C9" s="228"/>
      <c r="D9" s="229"/>
      <c r="E9" s="229"/>
      <c r="F9" s="229"/>
      <c r="G9" s="229"/>
      <c r="H9" s="229"/>
      <c r="I9" s="230"/>
      <c r="J9" s="222"/>
      <c r="K9" s="222"/>
    </row>
    <row r="10" spans="1:11" ht="15.75" x14ac:dyDescent="0.2">
      <c r="A10" s="348" t="s">
        <v>6</v>
      </c>
      <c r="B10" s="349"/>
      <c r="C10" s="349"/>
      <c r="D10" s="349"/>
      <c r="E10" s="349"/>
      <c r="F10" s="349"/>
      <c r="G10" s="349"/>
      <c r="H10" s="349"/>
      <c r="I10" s="350"/>
      <c r="J10" s="222"/>
      <c r="K10" s="222"/>
    </row>
    <row r="11" spans="1:11" ht="16.5" thickBot="1" x14ac:dyDescent="0.25">
      <c r="A11" s="345" t="s">
        <v>7</v>
      </c>
      <c r="B11" s="346"/>
      <c r="C11" s="346"/>
      <c r="D11" s="346"/>
      <c r="E11" s="346"/>
      <c r="F11" s="346"/>
      <c r="G11" s="346"/>
      <c r="H11" s="346"/>
      <c r="I11" s="347"/>
      <c r="J11" s="222"/>
      <c r="K11" s="222"/>
    </row>
    <row r="12" spans="1:11" ht="15" x14ac:dyDescent="0.2">
      <c r="A12" s="351"/>
      <c r="B12" s="352"/>
      <c r="C12" s="352"/>
      <c r="D12" s="352"/>
      <c r="E12" s="352"/>
      <c r="F12" s="352"/>
      <c r="G12" s="352"/>
      <c r="H12" s="352"/>
      <c r="I12" s="352"/>
      <c r="J12" s="222"/>
      <c r="K12" s="222"/>
    </row>
    <row r="13" spans="1:11" ht="15.75" x14ac:dyDescent="0.2">
      <c r="A13" s="231" t="s">
        <v>8</v>
      </c>
      <c r="B13" s="299"/>
      <c r="C13" s="299"/>
      <c r="D13" s="299"/>
      <c r="E13" s="299"/>
      <c r="F13" s="299"/>
      <c r="G13" s="299"/>
      <c r="H13" s="299"/>
      <c r="I13" s="299"/>
      <c r="J13" s="222"/>
      <c r="K13" s="222"/>
    </row>
    <row r="14" spans="1:11" ht="15.75" x14ac:dyDescent="0.2">
      <c r="A14" s="232" t="s">
        <v>9</v>
      </c>
      <c r="B14" s="299"/>
      <c r="C14" s="299"/>
      <c r="D14" s="299"/>
      <c r="E14" s="299"/>
      <c r="F14" s="299"/>
      <c r="G14" s="299"/>
      <c r="H14" s="299"/>
      <c r="I14" s="299"/>
      <c r="J14" s="222"/>
      <c r="K14" s="222"/>
    </row>
    <row r="15" spans="1:11" x14ac:dyDescent="0.2">
      <c r="A15" s="222"/>
      <c r="B15" s="222"/>
      <c r="C15" s="318"/>
      <c r="D15" s="318"/>
      <c r="E15" s="318"/>
      <c r="F15" s="222"/>
      <c r="G15" s="222"/>
      <c r="H15" s="222"/>
      <c r="I15" s="222"/>
      <c r="J15" s="222"/>
      <c r="K15" s="222"/>
    </row>
    <row r="16" spans="1:11" x14ac:dyDescent="0.2">
      <c r="A16" s="222"/>
      <c r="B16" s="222"/>
      <c r="C16" s="318"/>
      <c r="D16" s="318"/>
      <c r="E16" s="318"/>
      <c r="F16" s="222"/>
      <c r="G16" s="222"/>
      <c r="H16" s="222"/>
      <c r="I16" s="222"/>
      <c r="J16" s="222"/>
      <c r="K16" s="222"/>
    </row>
    <row r="17" spans="1:11" ht="15.75" x14ac:dyDescent="0.2">
      <c r="A17" s="339" t="s">
        <v>10</v>
      </c>
      <c r="B17" s="340"/>
      <c r="C17" s="358" t="s">
        <v>499</v>
      </c>
      <c r="D17" s="359"/>
      <c r="E17" s="359"/>
      <c r="F17" s="299"/>
      <c r="G17" s="299"/>
      <c r="H17" s="299"/>
      <c r="I17" s="299"/>
      <c r="J17" s="299"/>
      <c r="K17" s="299"/>
    </row>
    <row r="18" spans="1:11" ht="15.75" x14ac:dyDescent="0.2">
      <c r="A18" s="232"/>
      <c r="B18" s="232"/>
      <c r="C18" s="319"/>
      <c r="D18" s="319"/>
      <c r="E18" s="319"/>
      <c r="F18" s="299"/>
      <c r="G18" s="299"/>
      <c r="H18" s="299"/>
      <c r="I18" s="299"/>
      <c r="J18" s="299"/>
      <c r="K18" s="299"/>
    </row>
    <row r="19" spans="1:11" ht="18" customHeight="1" x14ac:dyDescent="0.2">
      <c r="A19" s="339" t="s">
        <v>11</v>
      </c>
      <c r="B19" s="340"/>
      <c r="C19" s="391" t="s">
        <v>500</v>
      </c>
      <c r="D19" s="392"/>
      <c r="E19" s="392"/>
      <c r="F19" s="299"/>
      <c r="G19" s="299"/>
      <c r="H19" s="299"/>
      <c r="I19" s="299"/>
      <c r="J19" s="299"/>
      <c r="K19" s="299"/>
    </row>
    <row r="20" spans="1:11" ht="15.75" x14ac:dyDescent="0.2">
      <c r="A20" s="232"/>
      <c r="B20" s="232"/>
      <c r="C20" s="353"/>
      <c r="D20" s="354"/>
      <c r="E20" s="354"/>
      <c r="F20" s="299"/>
      <c r="G20" s="299"/>
      <c r="H20" s="299"/>
      <c r="I20" s="299"/>
      <c r="J20" s="299"/>
      <c r="K20" s="299"/>
    </row>
    <row r="21" spans="1:11" ht="15.75" x14ac:dyDescent="0.2">
      <c r="A21" s="339" t="s">
        <v>12</v>
      </c>
      <c r="B21" s="341"/>
      <c r="C21" s="355" t="s">
        <v>518</v>
      </c>
      <c r="D21" s="356"/>
      <c r="E21" s="357"/>
      <c r="F21" s="299"/>
      <c r="G21" s="299"/>
      <c r="H21" s="299"/>
      <c r="I21" s="299"/>
      <c r="J21" s="299"/>
      <c r="K21" s="299"/>
    </row>
    <row r="22" spans="1:11" ht="15" x14ac:dyDescent="0.2">
      <c r="A22" s="299"/>
      <c r="B22" s="299"/>
      <c r="C22" s="319"/>
      <c r="D22" s="319"/>
      <c r="E22" s="319"/>
      <c r="F22" s="299"/>
      <c r="G22" s="299"/>
      <c r="H22" s="299"/>
      <c r="I22" s="299"/>
      <c r="J22" s="299"/>
      <c r="K22" s="299"/>
    </row>
    <row r="23" spans="1:11" ht="18" customHeight="1" x14ac:dyDescent="0.2">
      <c r="A23" s="339" t="s">
        <v>13</v>
      </c>
      <c r="B23" s="341"/>
      <c r="C23" s="393" t="s">
        <v>484</v>
      </c>
      <c r="D23" s="394"/>
      <c r="E23" s="395"/>
      <c r="F23" s="299"/>
      <c r="G23" s="299"/>
      <c r="H23" s="299"/>
      <c r="I23" s="299"/>
      <c r="J23" s="299"/>
      <c r="K23" s="299"/>
    </row>
    <row r="24" spans="1:11" ht="15" x14ac:dyDescent="0.2">
      <c r="A24" s="299"/>
      <c r="B24" s="299"/>
      <c r="C24" s="319"/>
      <c r="D24" s="319"/>
      <c r="E24" s="319"/>
      <c r="F24" s="299"/>
      <c r="G24" s="299"/>
      <c r="H24" s="299"/>
      <c r="I24" s="299"/>
      <c r="J24" s="299"/>
      <c r="K24" s="299"/>
    </row>
    <row r="25" spans="1:11" ht="15.75" x14ac:dyDescent="0.2">
      <c r="A25" s="339" t="s">
        <v>14</v>
      </c>
      <c r="B25" s="341"/>
      <c r="C25" s="360">
        <v>45474</v>
      </c>
      <c r="D25" s="361"/>
      <c r="E25" s="362"/>
      <c r="F25" s="299"/>
      <c r="G25" s="299"/>
      <c r="H25" s="299"/>
      <c r="I25" s="299"/>
      <c r="J25" s="299"/>
      <c r="K25" s="299"/>
    </row>
    <row r="26" spans="1:11" ht="15" x14ac:dyDescent="0.2">
      <c r="A26" s="299"/>
      <c r="B26" s="299"/>
      <c r="C26" s="319"/>
      <c r="D26" s="319"/>
      <c r="E26" s="319"/>
      <c r="F26" s="299"/>
      <c r="G26" s="299"/>
      <c r="H26" s="299"/>
      <c r="I26" s="299"/>
      <c r="J26" s="299"/>
      <c r="K26" s="299"/>
    </row>
    <row r="27" spans="1:11" ht="15.75" x14ac:dyDescent="0.2">
      <c r="A27" s="339" t="s">
        <v>15</v>
      </c>
      <c r="B27" s="341"/>
      <c r="C27" s="360">
        <v>45838</v>
      </c>
      <c r="D27" s="361"/>
      <c r="E27" s="362"/>
      <c r="F27" s="299"/>
      <c r="G27" s="299"/>
      <c r="H27" s="299"/>
      <c r="I27" s="299"/>
      <c r="J27" s="299"/>
      <c r="K27" s="299"/>
    </row>
    <row r="28" spans="1:11" ht="15" x14ac:dyDescent="0.2">
      <c r="A28" s="299"/>
      <c r="B28" s="299"/>
      <c r="C28" s="319"/>
      <c r="D28" s="319"/>
      <c r="E28" s="319"/>
      <c r="F28" s="299"/>
      <c r="G28" s="299"/>
      <c r="H28" s="299"/>
      <c r="I28" s="299"/>
      <c r="J28" s="299"/>
      <c r="K28" s="299"/>
    </row>
    <row r="29" spans="1:11" ht="15.75" x14ac:dyDescent="0.2">
      <c r="A29" s="396" t="s">
        <v>16</v>
      </c>
      <c r="B29" s="396"/>
      <c r="C29" s="360">
        <v>46013</v>
      </c>
      <c r="D29" s="361"/>
      <c r="E29" s="362"/>
      <c r="F29" s="299"/>
      <c r="G29" s="299"/>
      <c r="H29" s="299"/>
      <c r="I29" s="299"/>
      <c r="J29" s="299"/>
      <c r="K29" s="299"/>
    </row>
    <row r="30" spans="1:11" ht="15" x14ac:dyDescent="0.2">
      <c r="A30" s="299"/>
      <c r="B30" s="299"/>
      <c r="C30" s="319"/>
      <c r="D30" s="319"/>
      <c r="E30" s="319"/>
      <c r="F30" s="299"/>
      <c r="G30" s="299"/>
      <c r="H30" s="299"/>
      <c r="I30" s="299"/>
      <c r="J30" s="299"/>
      <c r="K30" s="299"/>
    </row>
    <row r="31" spans="1:11" ht="15.75" x14ac:dyDescent="0.2">
      <c r="A31" s="396" t="s">
        <v>17</v>
      </c>
      <c r="B31" s="396"/>
      <c r="C31" s="360">
        <v>45838</v>
      </c>
      <c r="D31" s="361"/>
      <c r="E31" s="362"/>
      <c r="F31" s="299"/>
      <c r="G31" s="299"/>
      <c r="H31" s="299"/>
      <c r="I31" s="299"/>
      <c r="J31" s="299"/>
      <c r="K31" s="299"/>
    </row>
    <row r="32" spans="1:11" ht="15" x14ac:dyDescent="0.2">
      <c r="A32" s="299"/>
      <c r="B32" s="299"/>
      <c r="C32" s="319"/>
      <c r="D32" s="319"/>
      <c r="E32" s="319"/>
      <c r="F32" s="299"/>
      <c r="G32" s="299"/>
      <c r="H32" s="299"/>
      <c r="I32" s="299"/>
      <c r="J32" s="299"/>
      <c r="K32" s="299"/>
    </row>
    <row r="33" spans="1:11" ht="60" customHeight="1" x14ac:dyDescent="0.2">
      <c r="A33" s="390" t="s">
        <v>18</v>
      </c>
      <c r="B33" s="390"/>
      <c r="C33" s="397" t="s">
        <v>485</v>
      </c>
      <c r="D33" s="398"/>
      <c r="E33" s="399"/>
      <c r="F33" s="389" t="s">
        <v>19</v>
      </c>
      <c r="G33" s="390"/>
      <c r="H33" s="390"/>
      <c r="I33" s="386" t="s">
        <v>481</v>
      </c>
      <c r="J33" s="387"/>
      <c r="K33" s="388"/>
    </row>
    <row r="34" spans="1:11" ht="15.75" thickBot="1" x14ac:dyDescent="0.25">
      <c r="A34" s="233"/>
      <c r="B34" s="233"/>
      <c r="C34" s="233"/>
      <c r="D34" s="233"/>
      <c r="E34" s="233"/>
      <c r="F34" s="233"/>
      <c r="G34" s="233"/>
      <c r="H34" s="233"/>
      <c r="I34" s="233"/>
      <c r="J34" s="233"/>
      <c r="K34" s="233"/>
    </row>
    <row r="35" spans="1:11" ht="15" x14ac:dyDescent="0.2">
      <c r="A35" s="365"/>
      <c r="B35" s="366"/>
      <c r="C35" s="366"/>
      <c r="D35" s="366"/>
      <c r="E35" s="366"/>
      <c r="F35" s="366"/>
      <c r="G35" s="366"/>
      <c r="H35" s="367"/>
      <c r="I35" s="233"/>
      <c r="J35" s="233"/>
      <c r="K35" s="233"/>
    </row>
    <row r="36" spans="1:11" ht="15" x14ac:dyDescent="0.2">
      <c r="A36" s="371" t="s">
        <v>20</v>
      </c>
      <c r="B36" s="363" t="s">
        <v>21</v>
      </c>
      <c r="C36" s="364"/>
      <c r="D36" s="380" t="s">
        <v>520</v>
      </c>
      <c r="E36" s="381"/>
      <c r="F36" s="381"/>
      <c r="G36" s="382"/>
      <c r="H36" s="375"/>
      <c r="I36" s="233"/>
      <c r="J36" s="233"/>
      <c r="K36" s="233"/>
    </row>
    <row r="37" spans="1:11" ht="15" x14ac:dyDescent="0.2">
      <c r="A37" s="371"/>
      <c r="B37" s="363" t="s">
        <v>22</v>
      </c>
      <c r="C37" s="364"/>
      <c r="D37" s="380" t="s">
        <v>486</v>
      </c>
      <c r="E37" s="381"/>
      <c r="F37" s="381"/>
      <c r="G37" s="382"/>
      <c r="H37" s="375"/>
      <c r="I37" s="233"/>
      <c r="J37" s="233"/>
      <c r="K37" s="233"/>
    </row>
    <row r="38" spans="1:11" ht="15" x14ac:dyDescent="0.2">
      <c r="A38" s="371"/>
      <c r="B38" s="234"/>
      <c r="C38" s="300" t="s">
        <v>23</v>
      </c>
      <c r="D38" s="158" t="s">
        <v>487</v>
      </c>
      <c r="E38" s="300" t="s">
        <v>24</v>
      </c>
      <c r="F38" s="158">
        <v>2000</v>
      </c>
      <c r="G38" s="235"/>
      <c r="H38" s="375"/>
      <c r="I38" s="233"/>
      <c r="J38" s="233"/>
      <c r="K38" s="233"/>
    </row>
    <row r="39" spans="1:11" ht="15" x14ac:dyDescent="0.2">
      <c r="A39" s="371"/>
      <c r="B39" s="376"/>
      <c r="C39" s="376"/>
      <c r="D39" s="376"/>
      <c r="E39" s="376"/>
      <c r="F39" s="376"/>
      <c r="G39" s="376"/>
      <c r="H39" s="375"/>
      <c r="I39" s="233"/>
      <c r="J39" s="233"/>
      <c r="K39" s="233"/>
    </row>
    <row r="40" spans="1:11" ht="15" x14ac:dyDescent="0.2">
      <c r="A40" s="371" t="s">
        <v>25</v>
      </c>
      <c r="B40" s="363" t="s">
        <v>21</v>
      </c>
      <c r="C40" s="364"/>
      <c r="D40" s="377" t="s">
        <v>488</v>
      </c>
      <c r="E40" s="377"/>
      <c r="F40" s="377"/>
      <c r="G40" s="377"/>
      <c r="H40" s="375"/>
      <c r="I40" s="233"/>
      <c r="J40" s="233"/>
      <c r="K40" s="233"/>
    </row>
    <row r="41" spans="1:11" ht="15" x14ac:dyDescent="0.2">
      <c r="A41" s="371"/>
      <c r="B41" s="363" t="s">
        <v>22</v>
      </c>
      <c r="C41" s="364"/>
      <c r="D41" s="377" t="s">
        <v>489</v>
      </c>
      <c r="E41" s="377"/>
      <c r="F41" s="377"/>
      <c r="G41" s="377"/>
      <c r="H41" s="375"/>
      <c r="I41" s="233"/>
      <c r="J41" s="233"/>
      <c r="K41" s="233"/>
    </row>
    <row r="42" spans="1:11" ht="15" x14ac:dyDescent="0.2">
      <c r="A42" s="371"/>
      <c r="B42" s="234"/>
      <c r="C42" s="300" t="s">
        <v>23</v>
      </c>
      <c r="D42" s="158" t="s">
        <v>487</v>
      </c>
      <c r="E42" s="300" t="s">
        <v>24</v>
      </c>
      <c r="F42" s="158">
        <v>1225</v>
      </c>
      <c r="G42" s="235"/>
      <c r="H42" s="375"/>
      <c r="I42" s="233"/>
      <c r="J42" s="233"/>
      <c r="K42" s="233"/>
    </row>
    <row r="43" spans="1:11" ht="15.75" thickBot="1" x14ac:dyDescent="0.25">
      <c r="A43" s="372"/>
      <c r="B43" s="373"/>
      <c r="C43" s="373"/>
      <c r="D43" s="373"/>
      <c r="E43" s="373"/>
      <c r="F43" s="373"/>
      <c r="G43" s="373"/>
      <c r="H43" s="374"/>
      <c r="I43" s="233"/>
      <c r="J43" s="233"/>
      <c r="K43" s="233"/>
    </row>
    <row r="44" spans="1:11" ht="15" x14ac:dyDescent="0.2">
      <c r="A44" s="365"/>
      <c r="B44" s="366"/>
      <c r="C44" s="366"/>
      <c r="D44" s="366"/>
      <c r="E44" s="366"/>
      <c r="F44" s="366"/>
      <c r="G44" s="366"/>
      <c r="H44" s="367"/>
      <c r="I44" s="233"/>
      <c r="J44" s="233"/>
      <c r="K44" s="233"/>
    </row>
    <row r="45" spans="1:11" ht="15.75" x14ac:dyDescent="0.25">
      <c r="A45" s="236" t="s">
        <v>26</v>
      </c>
      <c r="B45" s="380" t="s">
        <v>490</v>
      </c>
      <c r="C45" s="381"/>
      <c r="D45" s="383"/>
      <c r="E45" s="383"/>
      <c r="F45" s="384"/>
      <c r="G45" s="378"/>
      <c r="H45" s="379"/>
      <c r="I45" s="233"/>
      <c r="J45" s="233"/>
      <c r="K45" s="233"/>
    </row>
    <row r="46" spans="1:11" ht="15.75" x14ac:dyDescent="0.25">
      <c r="A46" s="236" t="s">
        <v>27</v>
      </c>
      <c r="B46" s="385" t="s">
        <v>491</v>
      </c>
      <c r="C46" s="381"/>
      <c r="D46" s="381"/>
      <c r="E46" s="381"/>
      <c r="F46" s="382"/>
      <c r="G46" s="378"/>
      <c r="H46" s="379"/>
      <c r="I46" s="233"/>
      <c r="J46" s="233"/>
      <c r="K46" s="233"/>
    </row>
    <row r="47" spans="1:11" ht="15.75" x14ac:dyDescent="0.25">
      <c r="A47" s="236" t="s">
        <v>28</v>
      </c>
      <c r="B47" s="380" t="s">
        <v>492</v>
      </c>
      <c r="C47" s="381"/>
      <c r="D47" s="381"/>
      <c r="E47" s="381"/>
      <c r="F47" s="382"/>
      <c r="G47" s="378"/>
      <c r="H47" s="379"/>
      <c r="I47" s="233"/>
      <c r="J47" s="233"/>
      <c r="K47" s="233"/>
    </row>
    <row r="48" spans="1:11" ht="15.75" thickBot="1" x14ac:dyDescent="0.25">
      <c r="A48" s="368"/>
      <c r="B48" s="369"/>
      <c r="C48" s="369"/>
      <c r="D48" s="369"/>
      <c r="E48" s="369"/>
      <c r="F48" s="369"/>
      <c r="G48" s="369"/>
      <c r="H48" s="370"/>
      <c r="I48" s="233"/>
      <c r="J48" s="233"/>
      <c r="K48" s="233"/>
    </row>
    <row r="49" spans="1:11" ht="15" x14ac:dyDescent="0.2">
      <c r="A49" s="233"/>
      <c r="B49" s="233"/>
      <c r="C49" s="233"/>
      <c r="D49" s="233"/>
      <c r="E49" s="233"/>
      <c r="F49" s="233"/>
      <c r="G49" s="233"/>
      <c r="H49" s="233"/>
      <c r="I49" s="233"/>
      <c r="J49" s="233"/>
      <c r="K49" s="233"/>
    </row>
    <row r="50" spans="1:11" ht="15" x14ac:dyDescent="0.2">
      <c r="A50" s="233"/>
      <c r="B50" s="233"/>
      <c r="C50" s="233"/>
      <c r="D50" s="233"/>
      <c r="E50" s="233"/>
      <c r="F50" s="233"/>
      <c r="G50" s="233"/>
      <c r="H50" s="233"/>
      <c r="I50" s="233"/>
      <c r="J50" s="233"/>
      <c r="K50" s="233"/>
    </row>
    <row r="51" spans="1:11" ht="15" x14ac:dyDescent="0.2">
      <c r="A51" s="233"/>
      <c r="B51" s="233"/>
      <c r="C51" s="233"/>
      <c r="D51" s="233"/>
      <c r="E51" s="233"/>
      <c r="F51" s="233"/>
      <c r="G51" s="233"/>
      <c r="H51" s="233"/>
      <c r="I51" s="233"/>
      <c r="J51" s="233"/>
      <c r="K51" s="233"/>
    </row>
  </sheetData>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1" type="noConversion"/>
  <dataValidations disablePrompts="1"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6" zoomScaleNormal="85" workbookViewId="0"/>
  </sheetViews>
  <sheetFormatPr defaultColWidth="9.28515625" defaultRowHeight="23.25" x14ac:dyDescent="0.3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x14ac:dyDescent="0.35">
      <c r="A1" s="1" t="s">
        <v>29</v>
      </c>
      <c r="C1" s="96" t="s">
        <v>1</v>
      </c>
      <c r="D1" s="96"/>
      <c r="E1" s="96"/>
      <c r="F1" s="96"/>
      <c r="G1" s="3"/>
      <c r="H1" s="3"/>
    </row>
    <row r="2" spans="1:8" ht="20.25" customHeight="1" x14ac:dyDescent="0.35">
      <c r="B2" s="3"/>
      <c r="C2" s="96" t="str">
        <f>IF(Tradingname=0," ",Tradingname)</f>
        <v>APA WGP PTY LTD</v>
      </c>
      <c r="D2" s="96"/>
      <c r="E2" s="96"/>
      <c r="F2" s="96"/>
      <c r="G2" s="3"/>
    </row>
    <row r="3" spans="1:8" ht="33.75" customHeight="1" x14ac:dyDescent="0.4">
      <c r="B3" s="3"/>
      <c r="C3" s="96" t="s">
        <v>30</v>
      </c>
      <c r="D3" s="98">
        <f>IF(Yearending=0, "01/01/2000", Yearending)</f>
        <v>45838</v>
      </c>
      <c r="E3" s="96"/>
      <c r="F3" s="97"/>
    </row>
    <row r="4" spans="1:8" ht="15" customHeight="1" x14ac:dyDescent="0.35">
      <c r="B4" s="3"/>
      <c r="C4" s="3"/>
      <c r="D4" s="3"/>
      <c r="E4" s="3"/>
      <c r="F4" s="3"/>
      <c r="G4" s="3"/>
    </row>
    <row r="5" spans="1:8" s="3" customFormat="1" ht="15" customHeight="1" thickBot="1" x14ac:dyDescent="0.25"/>
    <row r="6" spans="1:8" s="3" customFormat="1" ht="15" customHeight="1" x14ac:dyDescent="0.35">
      <c r="C6" s="143"/>
      <c r="D6" s="144"/>
      <c r="E6" s="144"/>
      <c r="F6" s="145"/>
    </row>
    <row r="7" spans="1:8" s="3" customFormat="1" ht="26.25" x14ac:dyDescent="0.4">
      <c r="C7" s="146"/>
      <c r="D7" s="400" t="s">
        <v>31</v>
      </c>
      <c r="E7" s="400"/>
      <c r="F7" s="147"/>
    </row>
    <row r="8" spans="1:8" s="3" customFormat="1" ht="25.5" x14ac:dyDescent="0.35">
      <c r="C8" s="146"/>
      <c r="D8" s="148"/>
      <c r="E8" s="148"/>
      <c r="F8" s="147"/>
    </row>
    <row r="9" spans="1:8" s="3" customFormat="1" ht="26.25" x14ac:dyDescent="0.4">
      <c r="C9" s="146"/>
      <c r="D9" s="153" t="s">
        <v>32</v>
      </c>
      <c r="E9" s="157" t="s">
        <v>33</v>
      </c>
      <c r="F9" s="147"/>
    </row>
    <row r="10" spans="1:8" s="3" customFormat="1" ht="26.25" x14ac:dyDescent="0.4">
      <c r="C10" s="146"/>
      <c r="D10" s="153"/>
      <c r="E10" s="157" t="s">
        <v>34</v>
      </c>
      <c r="F10" s="147"/>
    </row>
    <row r="11" spans="1:8" s="3" customFormat="1" ht="26.25" x14ac:dyDescent="0.4">
      <c r="C11" s="146"/>
      <c r="D11" s="153"/>
      <c r="E11" s="157" t="s">
        <v>35</v>
      </c>
      <c r="F11" s="147"/>
    </row>
    <row r="12" spans="1:8" s="3" customFormat="1" ht="25.5" x14ac:dyDescent="0.35">
      <c r="C12" s="146"/>
      <c r="D12" s="148"/>
      <c r="E12" s="148"/>
      <c r="F12" s="147"/>
    </row>
    <row r="13" spans="1:8" s="3" customFormat="1" ht="26.25" x14ac:dyDescent="0.4">
      <c r="C13" s="146"/>
      <c r="D13" s="153" t="s">
        <v>36</v>
      </c>
      <c r="E13" s="154"/>
      <c r="F13" s="147"/>
    </row>
    <row r="14" spans="1:8" s="3" customFormat="1" ht="25.5" x14ac:dyDescent="0.35">
      <c r="C14" s="146"/>
      <c r="D14" s="92"/>
      <c r="E14" s="93"/>
      <c r="F14" s="147"/>
    </row>
    <row r="15" spans="1:8" s="3" customFormat="1" ht="26.25" x14ac:dyDescent="0.4">
      <c r="C15" s="146"/>
      <c r="D15" s="153" t="s">
        <v>37</v>
      </c>
      <c r="E15" s="156" t="s">
        <v>38</v>
      </c>
      <c r="F15" s="147"/>
    </row>
    <row r="16" spans="1:8" s="3" customFormat="1" ht="26.25" x14ac:dyDescent="0.4">
      <c r="C16" s="146"/>
      <c r="D16" s="153"/>
      <c r="E16" s="156" t="s">
        <v>39</v>
      </c>
      <c r="F16" s="147"/>
    </row>
    <row r="17" spans="3:6" s="3" customFormat="1" ht="26.25" x14ac:dyDescent="0.4">
      <c r="C17" s="146"/>
      <c r="D17" s="153"/>
      <c r="E17" s="156" t="s">
        <v>40</v>
      </c>
      <c r="F17" s="147"/>
    </row>
    <row r="18" spans="3:6" s="3" customFormat="1" ht="26.25" x14ac:dyDescent="0.4">
      <c r="C18" s="146"/>
      <c r="D18" s="153"/>
      <c r="E18" s="156" t="s">
        <v>41</v>
      </c>
      <c r="F18" s="147"/>
    </row>
    <row r="19" spans="3:6" s="3" customFormat="1" ht="26.25" x14ac:dyDescent="0.4">
      <c r="C19" s="146"/>
      <c r="D19" s="153"/>
      <c r="E19" s="156" t="s">
        <v>42</v>
      </c>
      <c r="F19" s="147"/>
    </row>
    <row r="20" spans="3:6" s="3" customFormat="1" ht="25.5" customHeight="1" x14ac:dyDescent="0.35">
      <c r="C20" s="94"/>
      <c r="D20" s="92"/>
      <c r="E20" s="93"/>
      <c r="F20" s="95"/>
    </row>
    <row r="21" spans="3:6" s="3" customFormat="1" ht="25.5" customHeight="1" x14ac:dyDescent="0.4">
      <c r="C21" s="146"/>
      <c r="D21" s="153" t="s">
        <v>43</v>
      </c>
      <c r="E21" s="156" t="s">
        <v>44</v>
      </c>
      <c r="F21" s="147"/>
    </row>
    <row r="22" spans="3:6" s="3" customFormat="1" ht="25.5" customHeight="1" x14ac:dyDescent="0.4">
      <c r="C22" s="146"/>
      <c r="D22" s="153" t="s">
        <v>45</v>
      </c>
      <c r="E22" s="156" t="s">
        <v>46</v>
      </c>
      <c r="F22" s="147"/>
    </row>
    <row r="23" spans="3:6" s="3" customFormat="1" ht="25.5" customHeight="1" x14ac:dyDescent="0.4">
      <c r="C23" s="146"/>
      <c r="D23" s="153"/>
      <c r="E23" s="156" t="s">
        <v>47</v>
      </c>
      <c r="F23" s="147"/>
    </row>
    <row r="24" spans="3:6" s="3" customFormat="1" ht="25.5" customHeight="1" x14ac:dyDescent="0.4">
      <c r="C24" s="146"/>
      <c r="D24" s="153"/>
      <c r="E24" s="156" t="s">
        <v>48</v>
      </c>
      <c r="F24" s="147"/>
    </row>
    <row r="25" spans="3:6" s="3" customFormat="1" ht="25.5" x14ac:dyDescent="0.35">
      <c r="C25" s="94"/>
      <c r="D25" s="92"/>
      <c r="E25" s="93"/>
      <c r="F25" s="95"/>
    </row>
    <row r="26" spans="3:6" s="3" customFormat="1" ht="26.25" x14ac:dyDescent="0.4">
      <c r="C26" s="146"/>
      <c r="D26" s="153" t="s">
        <v>49</v>
      </c>
      <c r="E26" s="156" t="s">
        <v>50</v>
      </c>
      <c r="F26" s="147"/>
    </row>
    <row r="27" spans="3:6" s="3" customFormat="1" ht="25.5" x14ac:dyDescent="0.35">
      <c r="C27" s="94"/>
      <c r="D27" s="92"/>
      <c r="E27" s="93"/>
      <c r="F27" s="95"/>
    </row>
    <row r="28" spans="3:6" s="3" customFormat="1" ht="26.25" x14ac:dyDescent="0.4">
      <c r="C28" s="94"/>
      <c r="D28" s="153" t="s">
        <v>51</v>
      </c>
      <c r="E28" s="155"/>
      <c r="F28" s="95"/>
    </row>
    <row r="29" spans="3:6" s="3" customFormat="1" ht="25.5" x14ac:dyDescent="0.35">
      <c r="C29" s="94"/>
      <c r="D29" s="92"/>
      <c r="E29" s="93"/>
      <c r="F29" s="95"/>
    </row>
    <row r="30" spans="3:6" s="3" customFormat="1" ht="26.25" x14ac:dyDescent="0.4">
      <c r="C30" s="146"/>
      <c r="D30" s="153" t="s">
        <v>52</v>
      </c>
      <c r="E30" s="154"/>
      <c r="F30" s="147"/>
    </row>
    <row r="31" spans="3:6" s="3" customFormat="1" ht="26.25" thickBot="1" x14ac:dyDescent="0.4">
      <c r="C31" s="149"/>
      <c r="D31" s="150"/>
      <c r="E31" s="151"/>
      <c r="F31" s="152"/>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objects="1" scenarios="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35" t="s">
        <v>53</v>
      </c>
      <c r="C1" s="135"/>
    </row>
    <row r="2" spans="1:7" ht="20.25" customHeight="1" x14ac:dyDescent="0.2">
      <c r="A2" s="4"/>
      <c r="B2" s="135" t="str">
        <f>IF(Tradingname=0," ",Tradingname)</f>
        <v>APA WGP PTY LTD</v>
      </c>
      <c r="C2" s="135"/>
    </row>
    <row r="3" spans="1:7" ht="20.25" x14ac:dyDescent="0.3">
      <c r="B3" s="135" t="s">
        <v>30</v>
      </c>
      <c r="C3" s="99">
        <f>IF(Yearending=0, "01/01/2000", Yearending)</f>
        <v>45838</v>
      </c>
    </row>
    <row r="4" spans="1:7" ht="20.25" x14ac:dyDescent="0.2">
      <c r="B4" s="91" t="s">
        <v>33</v>
      </c>
      <c r="C4" s="91"/>
      <c r="F4" s="6"/>
      <c r="G4" s="6"/>
    </row>
    <row r="5" spans="1:7" x14ac:dyDescent="0.2">
      <c r="C5" s="6"/>
    </row>
    <row r="6" spans="1:7" ht="15.75" x14ac:dyDescent="0.25">
      <c r="B6" s="106" t="s">
        <v>54</v>
      </c>
      <c r="C6" s="105"/>
    </row>
    <row r="9" spans="1:7" x14ac:dyDescent="0.2">
      <c r="B9" s="21" t="s">
        <v>55</v>
      </c>
      <c r="C9" s="21" t="s">
        <v>56</v>
      </c>
    </row>
    <row r="10" spans="1:7" x14ac:dyDescent="0.2">
      <c r="B10" s="119" t="s">
        <v>57</v>
      </c>
      <c r="C10" s="121">
        <f>'2.1 Profit &amp; Loss by component'!$F$18</f>
        <v>766948947.17289662</v>
      </c>
    </row>
    <row r="11" spans="1:7" x14ac:dyDescent="0.2">
      <c r="B11" s="119" t="s">
        <v>58</v>
      </c>
      <c r="C11" s="121">
        <f>'2.1 Profit &amp; Loss by component'!$F$21</f>
        <v>0</v>
      </c>
    </row>
    <row r="12" spans="1:7" x14ac:dyDescent="0.2">
      <c r="B12" s="120" t="s">
        <v>59</v>
      </c>
      <c r="C12" s="121">
        <f>'2.1 Profit &amp; Loss by component'!$F$22</f>
        <v>766948947.17289662</v>
      </c>
    </row>
    <row r="13" spans="1:7" x14ac:dyDescent="0.2">
      <c r="B13" s="19" t="s">
        <v>60</v>
      </c>
      <c r="C13" s="121">
        <f>'2.1 Profit &amp; Loss by component'!$F$32</f>
        <v>321437927.97000003</v>
      </c>
    </row>
    <row r="14" spans="1:7" x14ac:dyDescent="0.2">
      <c r="B14" s="20" t="s">
        <v>61</v>
      </c>
      <c r="C14" s="121">
        <f>'2.1 Profit &amp; Loss by component'!$F$43</f>
        <v>1362647.8794011094</v>
      </c>
    </row>
    <row r="15" spans="1:7" x14ac:dyDescent="0.2">
      <c r="B15" s="120" t="s">
        <v>62</v>
      </c>
      <c r="C15" s="121">
        <f>'2.1 Profit &amp; Loss by component'!$F$44</f>
        <v>322800575.84940112</v>
      </c>
    </row>
    <row r="16" spans="1:7" x14ac:dyDescent="0.2">
      <c r="B16" s="120" t="s">
        <v>63</v>
      </c>
      <c r="C16" s="121">
        <f>'2.1 Profit &amp; Loss by component'!$F$45</f>
        <v>444148371.32349551</v>
      </c>
    </row>
    <row r="17" spans="2:5" x14ac:dyDescent="0.2">
      <c r="B17" s="7"/>
      <c r="C17" s="7"/>
      <c r="D17" s="7"/>
      <c r="E17" s="7"/>
    </row>
    <row r="19" spans="2:5" x14ac:dyDescent="0.2">
      <c r="B19" s="21" t="s">
        <v>64</v>
      </c>
      <c r="C19" s="21" t="s">
        <v>65</v>
      </c>
    </row>
    <row r="20" spans="2:5" ht="15.75" x14ac:dyDescent="0.2">
      <c r="B20" s="82" t="s">
        <v>66</v>
      </c>
      <c r="C20" s="8">
        <f>'3.1 Depreciated Book Value'!$D$125</f>
        <v>3076655202.3101439</v>
      </c>
    </row>
    <row r="21" spans="2:5" ht="15.75" x14ac:dyDescent="0.2">
      <c r="B21" s="82" t="s">
        <v>67</v>
      </c>
      <c r="C21" s="83">
        <f>IFERROR(C16/C20,0)</f>
        <v>0.14436078862200785</v>
      </c>
    </row>
    <row r="22" spans="2:5" x14ac:dyDescent="0.2">
      <c r="B22" s="21" t="s">
        <v>68</v>
      </c>
      <c r="C22" s="21" t="s">
        <v>65</v>
      </c>
    </row>
    <row r="23" spans="2:5" ht="15.75" x14ac:dyDescent="0.2">
      <c r="B23" s="82" t="s">
        <v>66</v>
      </c>
      <c r="C23" s="8">
        <f>'3.2 Regulatory Asset Base'!$H$95</f>
        <v>0</v>
      </c>
    </row>
    <row r="24" spans="2:5" ht="15.75" x14ac:dyDescent="0.2">
      <c r="B24" s="82" t="s">
        <v>67</v>
      </c>
      <c r="C24" s="83">
        <f>IFERROR(C16/C23,0)</f>
        <v>0</v>
      </c>
    </row>
    <row r="25" spans="2:5" x14ac:dyDescent="0.2">
      <c r="B25" s="21" t="s">
        <v>69</v>
      </c>
      <c r="C25" s="21" t="s">
        <v>65</v>
      </c>
    </row>
    <row r="26" spans="2:5" ht="15.75" x14ac:dyDescent="0.2">
      <c r="B26" s="82" t="s">
        <v>70</v>
      </c>
      <c r="C26" s="121">
        <f>'4. Recovered Capital'!$E$29</f>
        <v>0</v>
      </c>
    </row>
    <row r="27" spans="2:5" ht="15.75" x14ac:dyDescent="0.2">
      <c r="B27" s="82" t="s">
        <v>67</v>
      </c>
      <c r="C27" s="321">
        <f>IFERROR(C16/INDEX('4. Recovered Capital'!$F$12:$BH$39,27,MATCH(VALUE(RIGHT(TEXT(C3,"dd/mm/yyyy"),4)),'4. Recovered Capital'!$F$12:$BH$12,0)),0)</f>
        <v>0</v>
      </c>
    </row>
    <row r="41" ht="27" customHeight="1" x14ac:dyDescent="0.2"/>
    <row r="48" ht="31.9" customHeight="1" x14ac:dyDescent="0.2"/>
  </sheetData>
  <sheetProtection sheet="1" objects="1" scenarios="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50" zoomScaleNormal="50" workbookViewId="0">
      <pane xSplit="1" ySplit="4" topLeftCell="B16"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05" customWidth="1"/>
    <col min="2" max="2" width="21" style="205" customWidth="1"/>
    <col min="3" max="5" width="42.28515625" style="205" customWidth="1"/>
    <col min="6" max="6" width="34.7109375" style="205" customWidth="1"/>
    <col min="7" max="7" width="44" style="205" customWidth="1"/>
    <col min="8" max="8" width="9.28515625" style="205"/>
    <col min="9" max="9" width="70.7109375" style="205" customWidth="1"/>
    <col min="10" max="10" width="108.7109375" style="205" bestFit="1" customWidth="1"/>
    <col min="11" max="16384" width="9.28515625" style="205"/>
  </cols>
  <sheetData>
    <row r="1" spans="2:5" ht="20.25" customHeight="1" x14ac:dyDescent="0.3">
      <c r="B1" s="135" t="s">
        <v>53</v>
      </c>
      <c r="C1" s="135"/>
      <c r="D1" s="204"/>
      <c r="E1" s="204"/>
    </row>
    <row r="2" spans="2:5" ht="20.25" x14ac:dyDescent="0.3">
      <c r="B2" s="135" t="str">
        <f>IF(Tradingname=0," ",Tradingname)</f>
        <v>APA WGP PTY LTD</v>
      </c>
      <c r="C2" s="135"/>
      <c r="D2" s="206"/>
    </row>
    <row r="3" spans="2:5" ht="22.9" customHeight="1" x14ac:dyDescent="0.3">
      <c r="B3" s="135" t="s">
        <v>30</v>
      </c>
      <c r="C3" s="99">
        <f>IF(Yearending=0, "01/01/2000", Yearending)</f>
        <v>45838</v>
      </c>
    </row>
    <row r="4" spans="2:5" ht="20.25" x14ac:dyDescent="0.2">
      <c r="B4" s="91" t="s">
        <v>34</v>
      </c>
      <c r="C4" s="91"/>
    </row>
    <row r="7" spans="2:5" ht="15.75" x14ac:dyDescent="0.25">
      <c r="B7" s="207" t="s">
        <v>71</v>
      </c>
    </row>
    <row r="59" spans="2:5" ht="15.75" x14ac:dyDescent="0.25">
      <c r="B59" s="207" t="s">
        <v>72</v>
      </c>
      <c r="C59" s="208"/>
      <c r="D59" s="208"/>
      <c r="E59" s="208"/>
    </row>
    <row r="60" spans="2:5" ht="15.75" x14ac:dyDescent="0.25">
      <c r="B60" s="207"/>
      <c r="C60" s="208"/>
      <c r="D60" s="208"/>
      <c r="E60" s="208"/>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97" zoomScaleNormal="55"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35" t="s">
        <v>53</v>
      </c>
      <c r="C1" s="135"/>
    </row>
    <row r="2" spans="1:7" ht="20.25" customHeight="1" x14ac:dyDescent="0.2">
      <c r="A2" s="4"/>
      <c r="B2" s="135" t="str">
        <f>IF(Tradingname=0," ",Tradingname)</f>
        <v>APA WGP PTY LTD</v>
      </c>
      <c r="C2" s="135"/>
    </row>
    <row r="3" spans="1:7" ht="20.25" x14ac:dyDescent="0.3">
      <c r="B3" s="135" t="s">
        <v>30</v>
      </c>
      <c r="C3" s="99">
        <f>IF(Yearending=0, "01/01/2000", Yearending)</f>
        <v>45838</v>
      </c>
    </row>
    <row r="4" spans="1:7" ht="20.25" x14ac:dyDescent="0.2">
      <c r="B4" s="91" t="s">
        <v>35</v>
      </c>
      <c r="C4" s="91"/>
      <c r="F4" s="6"/>
      <c r="G4" s="6"/>
    </row>
    <row r="5" spans="1:7" x14ac:dyDescent="0.2">
      <c r="C5" s="6"/>
    </row>
    <row r="6" spans="1:7" ht="15.75" x14ac:dyDescent="0.25">
      <c r="B6" s="106" t="s">
        <v>54</v>
      </c>
      <c r="C6" s="105"/>
    </row>
    <row r="9" spans="1:7" x14ac:dyDescent="0.2">
      <c r="B9" s="21" t="s">
        <v>73</v>
      </c>
      <c r="C9" s="401" t="s">
        <v>74</v>
      </c>
      <c r="D9" s="402"/>
      <c r="E9" s="403" t="s">
        <v>75</v>
      </c>
    </row>
    <row r="10" spans="1:7" x14ac:dyDescent="0.2">
      <c r="B10" s="112"/>
      <c r="C10" s="109" t="s">
        <v>76</v>
      </c>
      <c r="D10" s="109" t="s">
        <v>77</v>
      </c>
      <c r="E10" s="404"/>
    </row>
    <row r="11" spans="1:7" x14ac:dyDescent="0.2">
      <c r="B11" s="112" t="s">
        <v>78</v>
      </c>
      <c r="C11" s="138">
        <f>IFERROR('6. Pricing template'!$G37,)</f>
        <v>0.46705769784037993</v>
      </c>
      <c r="D11" s="138">
        <f>IFERROR('6. Pricing template'!$G38,)</f>
        <v>0.71070816890862198</v>
      </c>
      <c r="E11" s="139" t="s">
        <v>79</v>
      </c>
    </row>
    <row r="12" spans="1:7" ht="12.75" customHeight="1" x14ac:dyDescent="0.2">
      <c r="B12" s="112" t="s">
        <v>80</v>
      </c>
      <c r="C12" s="138">
        <f>IFERROR('6. Pricing template'!$G39,)</f>
        <v>0</v>
      </c>
      <c r="D12" s="138">
        <f>IFERROR('6. Pricing template'!$G40,)</f>
        <v>0</v>
      </c>
      <c r="E12" s="139" t="s">
        <v>79</v>
      </c>
    </row>
    <row r="13" spans="1:7" x14ac:dyDescent="0.2">
      <c r="B13" s="112" t="s">
        <v>81</v>
      </c>
      <c r="C13" s="138">
        <f>IFERROR('6. Pricing template'!$G41,)</f>
        <v>0</v>
      </c>
      <c r="D13" s="138">
        <f>IFERROR('6. Pricing template'!$G42,)</f>
        <v>0</v>
      </c>
      <c r="E13" s="139" t="s">
        <v>79</v>
      </c>
    </row>
    <row r="14" spans="1:7" x14ac:dyDescent="0.2">
      <c r="B14" s="112" t="s">
        <v>82</v>
      </c>
      <c r="C14" s="138">
        <f>IFERROR('6. Pricing template'!$G43,)</f>
        <v>0</v>
      </c>
      <c r="D14" s="138">
        <f>IFERROR('6. Pricing template'!$G44,)</f>
        <v>0</v>
      </c>
      <c r="E14" s="139" t="s">
        <v>79</v>
      </c>
    </row>
    <row r="15" spans="1:7" x14ac:dyDescent="0.2">
      <c r="B15" s="194" t="s">
        <v>83</v>
      </c>
      <c r="C15" s="138">
        <f>IFERROR('6. Pricing template'!$G45,)</f>
        <v>0</v>
      </c>
      <c r="D15" s="138">
        <f>IFERROR('6. Pricing template'!$G46,)</f>
        <v>0</v>
      </c>
      <c r="E15" s="139" t="s">
        <v>79</v>
      </c>
    </row>
    <row r="16" spans="1:7" ht="12.75" customHeight="1" x14ac:dyDescent="0.2">
      <c r="B16" s="112" t="s">
        <v>84</v>
      </c>
      <c r="C16" s="138">
        <f>IFERROR('6. Pricing template'!$G47,)</f>
        <v>0</v>
      </c>
      <c r="D16" s="138">
        <f>IFERROR('6. Pricing template'!$G48,)</f>
        <v>0</v>
      </c>
      <c r="E16" s="139" t="s">
        <v>79</v>
      </c>
    </row>
    <row r="17" spans="2:5" x14ac:dyDescent="0.2">
      <c r="B17" s="112" t="s">
        <v>85</v>
      </c>
      <c r="C17" s="138">
        <f>IFERROR('6. Pricing template'!$G49,)</f>
        <v>0</v>
      </c>
      <c r="D17" s="138">
        <f>IFERROR('6. Pricing template'!$G50,)</f>
        <v>0</v>
      </c>
      <c r="E17" s="139" t="s">
        <v>79</v>
      </c>
    </row>
    <row r="18" spans="2:5" x14ac:dyDescent="0.2">
      <c r="B18" s="112" t="s">
        <v>86</v>
      </c>
      <c r="C18" s="138">
        <f>IFERROR('6. Pricing template'!$G51,)</f>
        <v>0</v>
      </c>
      <c r="D18" s="138">
        <f>IFERROR('6. Pricing template'!$G52,)</f>
        <v>0</v>
      </c>
      <c r="E18" s="139" t="s">
        <v>87</v>
      </c>
    </row>
    <row r="19" spans="2:5" x14ac:dyDescent="0.2">
      <c r="B19" s="112" t="s">
        <v>88</v>
      </c>
      <c r="C19" s="138">
        <f>IFERROR('6. Pricing template'!$G53,)</f>
        <v>0</v>
      </c>
      <c r="D19" s="138">
        <f>IFERROR('6. Pricing template'!$G54,)</f>
        <v>0</v>
      </c>
      <c r="E19" s="139" t="s">
        <v>89</v>
      </c>
    </row>
    <row r="20" spans="2:5" x14ac:dyDescent="0.2">
      <c r="B20" s="112" t="s">
        <v>90</v>
      </c>
      <c r="C20" s="138">
        <f>IFERROR('6. Pricing template'!$G55,)</f>
        <v>0</v>
      </c>
      <c r="D20" s="138">
        <f>IFERROR('6. Pricing template'!$G56,)</f>
        <v>0</v>
      </c>
      <c r="E20" s="139"/>
    </row>
    <row r="35" ht="27" customHeight="1" x14ac:dyDescent="0.2"/>
    <row r="42" ht="31.9"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activeCell="K55" sqref="K55"/>
      <selection pane="topRight" activeCell="K55" sqref="K55"/>
      <selection pane="bottomLeft" activeCell="K55" sqref="K55"/>
      <selection pane="bottomRight"/>
    </sheetView>
  </sheetViews>
  <sheetFormatPr defaultColWidth="9.28515625" defaultRowHeight="12.75" x14ac:dyDescent="0.2"/>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x14ac:dyDescent="0.45">
      <c r="B1" s="135" t="s">
        <v>53</v>
      </c>
      <c r="C1" s="135"/>
      <c r="D1" s="237"/>
    </row>
    <row r="2" spans="2:8" ht="20.25" x14ac:dyDescent="0.2">
      <c r="B2" s="135" t="str">
        <f>IF(Tradingname=0," ",Tradingname)</f>
        <v>APA WGP PTY LTD</v>
      </c>
      <c r="C2" s="135"/>
    </row>
    <row r="3" spans="2:8" ht="20.25" x14ac:dyDescent="0.3">
      <c r="B3" s="135" t="s">
        <v>30</v>
      </c>
      <c r="C3" s="99">
        <f>IF(Yearending=0, "01/01/2000", Yearending)</f>
        <v>45838</v>
      </c>
    </row>
    <row r="4" spans="2:8" ht="20.25" x14ac:dyDescent="0.2">
      <c r="B4" s="91" t="s">
        <v>91</v>
      </c>
      <c r="C4" s="91"/>
    </row>
    <row r="5" spans="2:8" ht="20.25" x14ac:dyDescent="0.3">
      <c r="B5" s="238"/>
    </row>
    <row r="6" spans="2:8" ht="20.25" x14ac:dyDescent="0.3">
      <c r="B6" s="238"/>
    </row>
    <row r="7" spans="2:8" ht="15.75" x14ac:dyDescent="0.25">
      <c r="B7" s="214" t="s">
        <v>92</v>
      </c>
    </row>
    <row r="8" spans="2:8" x14ac:dyDescent="0.2">
      <c r="B8" s="215"/>
      <c r="C8" s="216"/>
      <c r="D8" s="216"/>
      <c r="E8" s="239"/>
      <c r="F8" s="240"/>
      <c r="G8" s="241"/>
      <c r="H8" s="241"/>
    </row>
    <row r="9" spans="2:8" ht="13.9" customHeight="1" x14ac:dyDescent="0.2">
      <c r="B9" s="22" t="s">
        <v>93</v>
      </c>
      <c r="C9" s="122" t="s">
        <v>501</v>
      </c>
    </row>
    <row r="10" spans="2:8" ht="13.9" customHeight="1" x14ac:dyDescent="0.2">
      <c r="B10" s="22" t="s">
        <v>94</v>
      </c>
      <c r="C10" s="123">
        <v>543</v>
      </c>
    </row>
    <row r="11" spans="2:8" ht="13.9" customHeight="1" x14ac:dyDescent="0.2">
      <c r="B11" s="22" t="s">
        <v>95</v>
      </c>
      <c r="C11" s="69">
        <v>3</v>
      </c>
    </row>
    <row r="12" spans="2:8" ht="13.9" customHeight="1" x14ac:dyDescent="0.2">
      <c r="B12" s="22" t="s">
        <v>96</v>
      </c>
      <c r="C12" s="69" t="s">
        <v>496</v>
      </c>
    </row>
    <row r="13" spans="2:8" ht="13.9" customHeight="1" x14ac:dyDescent="0.2">
      <c r="B13" s="22" t="s">
        <v>97</v>
      </c>
      <c r="C13" s="140" t="s">
        <v>517</v>
      </c>
    </row>
    <row r="14" spans="2:8" ht="13.9" customHeight="1" x14ac:dyDescent="0.2">
      <c r="B14" s="22" t="s">
        <v>98</v>
      </c>
      <c r="C14" s="141">
        <v>41911</v>
      </c>
    </row>
    <row r="15" spans="2:8" ht="13.9" customHeight="1" x14ac:dyDescent="0.2">
      <c r="B15" s="22" t="str">
        <f>IF(Cover!C23="Scheme pipeline", "Date opening RAB established","")</f>
        <v/>
      </c>
      <c r="C15" s="141"/>
    </row>
    <row r="16" spans="2:8" ht="13.9" customHeight="1" x14ac:dyDescent="0.2">
      <c r="B16" s="22" t="str">
        <f>IF(Cover!C23="Scheme pipeline", "Open RAB value on date established","")</f>
        <v/>
      </c>
      <c r="C16" s="68"/>
    </row>
    <row r="18" spans="2:4" ht="15.75" x14ac:dyDescent="0.25">
      <c r="B18" s="214" t="s">
        <v>99</v>
      </c>
    </row>
    <row r="20" spans="2:4" ht="51" customHeight="1" x14ac:dyDescent="0.2">
      <c r="B20" s="136" t="s">
        <v>100</v>
      </c>
      <c r="C20" s="107" t="s">
        <v>101</v>
      </c>
      <c r="D20" s="107" t="s">
        <v>102</v>
      </c>
    </row>
    <row r="21" spans="2:4" ht="14.25" x14ac:dyDescent="0.2">
      <c r="B21" s="24" t="s">
        <v>103</v>
      </c>
      <c r="C21" s="242"/>
      <c r="D21" s="242"/>
    </row>
    <row r="22" spans="2:4" x14ac:dyDescent="0.2">
      <c r="B22" s="25" t="s">
        <v>78</v>
      </c>
      <c r="C22" s="64" t="s">
        <v>493</v>
      </c>
      <c r="D22" s="64" t="s">
        <v>485</v>
      </c>
    </row>
    <row r="23" spans="2:4" x14ac:dyDescent="0.2">
      <c r="B23" s="25" t="s">
        <v>104</v>
      </c>
      <c r="C23" s="64" t="s">
        <v>485</v>
      </c>
      <c r="D23" s="64" t="s">
        <v>485</v>
      </c>
    </row>
    <row r="24" spans="2:4" ht="25.5" x14ac:dyDescent="0.2">
      <c r="B24" s="25" t="s">
        <v>81</v>
      </c>
      <c r="C24" s="64" t="s">
        <v>485</v>
      </c>
      <c r="D24" s="64" t="s">
        <v>485</v>
      </c>
    </row>
    <row r="25" spans="2:4" ht="14.25" x14ac:dyDescent="0.2">
      <c r="B25" s="26" t="s">
        <v>105</v>
      </c>
      <c r="C25" s="242"/>
      <c r="D25" s="242"/>
    </row>
    <row r="26" spans="2:4" x14ac:dyDescent="0.2">
      <c r="B26" s="27" t="s">
        <v>82</v>
      </c>
      <c r="C26" s="64" t="s">
        <v>485</v>
      </c>
      <c r="D26" s="64" t="s">
        <v>485</v>
      </c>
    </row>
    <row r="27" spans="2:4" ht="25.5" x14ac:dyDescent="0.2">
      <c r="B27" s="28" t="s">
        <v>83</v>
      </c>
      <c r="C27" s="64" t="s">
        <v>485</v>
      </c>
      <c r="D27" s="64" t="s">
        <v>485</v>
      </c>
    </row>
    <row r="28" spans="2:4" ht="14.25" x14ac:dyDescent="0.2">
      <c r="B28" s="26" t="s">
        <v>106</v>
      </c>
      <c r="C28" s="242"/>
      <c r="D28" s="242"/>
    </row>
    <row r="29" spans="2:4" x14ac:dyDescent="0.2">
      <c r="B29" s="25" t="s">
        <v>107</v>
      </c>
      <c r="C29" s="64" t="s">
        <v>493</v>
      </c>
      <c r="D29" s="64" t="s">
        <v>485</v>
      </c>
    </row>
    <row r="30" spans="2:4" x14ac:dyDescent="0.2">
      <c r="B30" s="25" t="s">
        <v>85</v>
      </c>
      <c r="C30" s="64" t="s">
        <v>485</v>
      </c>
      <c r="D30" s="64" t="s">
        <v>485</v>
      </c>
    </row>
    <row r="31" spans="2:4" ht="14.25" x14ac:dyDescent="0.2">
      <c r="B31" s="24" t="s">
        <v>108</v>
      </c>
      <c r="C31" s="242"/>
      <c r="D31" s="242"/>
    </row>
    <row r="32" spans="2:4" x14ac:dyDescent="0.2">
      <c r="B32" s="25" t="s">
        <v>86</v>
      </c>
      <c r="C32" s="64" t="s">
        <v>485</v>
      </c>
      <c r="D32" s="64" t="s">
        <v>485</v>
      </c>
    </row>
    <row r="33" spans="2:4" x14ac:dyDescent="0.2">
      <c r="B33" s="25" t="s">
        <v>88</v>
      </c>
      <c r="C33" s="64" t="s">
        <v>485</v>
      </c>
      <c r="D33" s="64" t="s">
        <v>485</v>
      </c>
    </row>
    <row r="34" spans="2:4" ht="14.25" x14ac:dyDescent="0.2">
      <c r="B34" s="24" t="s">
        <v>109</v>
      </c>
      <c r="C34" s="242"/>
      <c r="D34" s="242"/>
    </row>
    <row r="35" spans="2:4" x14ac:dyDescent="0.2">
      <c r="B35" s="304" t="s">
        <v>110</v>
      </c>
      <c r="C35" s="305"/>
      <c r="D35" s="305"/>
    </row>
    <row r="36" spans="2:4" x14ac:dyDescent="0.2">
      <c r="B36" s="65" t="s">
        <v>110</v>
      </c>
      <c r="C36" s="63"/>
      <c r="D36" s="63"/>
    </row>
    <row r="37" spans="2:4" x14ac:dyDescent="0.2">
      <c r="B37" s="65" t="s">
        <v>110</v>
      </c>
      <c r="C37" s="63"/>
      <c r="D37" s="63"/>
    </row>
    <row r="38" spans="2:4" x14ac:dyDescent="0.2">
      <c r="B38" s="65" t="s">
        <v>110</v>
      </c>
      <c r="C38" s="63"/>
      <c r="D38" s="63"/>
    </row>
    <row r="39" spans="2:4" x14ac:dyDescent="0.2">
      <c r="B39" s="65" t="s">
        <v>110</v>
      </c>
      <c r="C39" s="63"/>
      <c r="D39" s="63"/>
    </row>
    <row r="40" spans="2:4" x14ac:dyDescent="0.2">
      <c r="B40" s="65" t="s">
        <v>110</v>
      </c>
      <c r="C40" s="63"/>
      <c r="D40" s="63"/>
    </row>
    <row r="41" spans="2:4" x14ac:dyDescent="0.2">
      <c r="B41" s="65" t="s">
        <v>110</v>
      </c>
      <c r="C41" s="63"/>
      <c r="D41" s="63"/>
    </row>
    <row r="42" spans="2:4" x14ac:dyDescent="0.2">
      <c r="B42" s="65" t="s">
        <v>110</v>
      </c>
      <c r="C42" s="63"/>
      <c r="D42" s="63"/>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activeCell="K55" sqref="K55"/>
      <selection pane="topRight" activeCell="K55" sqref="K55"/>
      <selection pane="bottomLeft" activeCell="K55" sqref="K55"/>
      <selection pane="bottomRight"/>
    </sheetView>
  </sheetViews>
  <sheetFormatPr defaultColWidth="9.28515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x14ac:dyDescent="0.3">
      <c r="B1" s="135" t="s">
        <v>53</v>
      </c>
      <c r="C1" s="135"/>
      <c r="D1" s="204"/>
      <c r="E1" s="204"/>
      <c r="F1" s="204"/>
      <c r="G1" s="204"/>
    </row>
    <row r="2" spans="2:7" ht="18" customHeight="1" x14ac:dyDescent="0.45">
      <c r="B2" s="135" t="str">
        <f>IF(Tradingname=0," ",Tradingname)</f>
        <v>APA WGP PTY LTD</v>
      </c>
      <c r="C2" s="135"/>
      <c r="G2" s="237"/>
    </row>
    <row r="3" spans="2:7" ht="20.25" x14ac:dyDescent="0.3">
      <c r="B3" s="135" t="s">
        <v>30</v>
      </c>
      <c r="C3" s="99">
        <f>IF(Yearending=0, "01/01/2000", Yearending)</f>
        <v>45838</v>
      </c>
    </row>
    <row r="4" spans="2:7" ht="20.25" x14ac:dyDescent="0.2">
      <c r="B4" s="91" t="s">
        <v>111</v>
      </c>
      <c r="C4" s="91"/>
      <c r="E4" s="243"/>
    </row>
    <row r="7" spans="2:7" ht="15.75" x14ac:dyDescent="0.2">
      <c r="B7" s="244" t="s">
        <v>112</v>
      </c>
      <c r="C7" s="244"/>
      <c r="D7" s="191"/>
      <c r="E7" s="191"/>
      <c r="F7" s="191"/>
      <c r="G7" s="191"/>
    </row>
    <row r="8" spans="2:7" x14ac:dyDescent="0.2">
      <c r="B8" s="245"/>
      <c r="C8" s="246"/>
      <c r="D8" s="247"/>
      <c r="E8" s="191"/>
      <c r="F8" s="191"/>
      <c r="G8" s="191"/>
    </row>
    <row r="9" spans="2:7" ht="25.5" x14ac:dyDescent="0.2">
      <c r="B9" s="44" t="s">
        <v>113</v>
      </c>
      <c r="C9" s="248" t="s">
        <v>114</v>
      </c>
      <c r="D9" s="301" t="s">
        <v>56</v>
      </c>
      <c r="E9" s="248" t="s">
        <v>114</v>
      </c>
      <c r="F9" s="301" t="s">
        <v>56</v>
      </c>
      <c r="G9" s="44" t="s">
        <v>115</v>
      </c>
    </row>
    <row r="10" spans="2:7" x14ac:dyDescent="0.2">
      <c r="B10" s="249"/>
      <c r="C10" s="250"/>
      <c r="D10" s="111" t="s">
        <v>116</v>
      </c>
      <c r="E10" s="250"/>
      <c r="F10" s="111" t="s">
        <v>116</v>
      </c>
      <c r="G10" s="111" t="s">
        <v>116</v>
      </c>
    </row>
    <row r="11" spans="2:7" x14ac:dyDescent="0.2">
      <c r="B11" s="322" t="s">
        <v>506</v>
      </c>
      <c r="C11" s="252" t="s">
        <v>117</v>
      </c>
      <c r="D11" s="111"/>
      <c r="E11" s="252" t="s">
        <v>118</v>
      </c>
      <c r="F11" s="111"/>
      <c r="G11" s="111"/>
    </row>
    <row r="12" spans="2:7" x14ac:dyDescent="0.2">
      <c r="B12" s="251"/>
      <c r="C12" s="112" t="s">
        <v>78</v>
      </c>
      <c r="D12" s="293">
        <f>IF('2.2 Allocation to services'!G13+'2.2 Allocation to services'!G25+'2.2 Allocation to services'!G37=0, ,'2.2 Allocation to services'!G13+'2.2 Allocation to services'!G25+'2.2 Allocation to services'!G37)</f>
        <v>766948847.17262506</v>
      </c>
      <c r="E12" s="112" t="s">
        <v>78</v>
      </c>
      <c r="F12" s="293">
        <f>IF('2.2 Allocation to services'!G56+'2.2 Allocation to services'!G68+'2.2 Allocation to services'!G80=0, ,'2.2 Allocation to services'!G56+'2.2 Allocation to services'!G68+'2.2 Allocation to services'!G80)</f>
        <v>322800533.76036066</v>
      </c>
      <c r="G12" s="293">
        <f>D12-ABS(F12)</f>
        <v>444148313.41226441</v>
      </c>
    </row>
    <row r="13" spans="2:7" x14ac:dyDescent="0.2">
      <c r="B13" s="251"/>
      <c r="C13" s="112" t="s">
        <v>80</v>
      </c>
      <c r="D13" s="293">
        <f>IF('2.2 Allocation to services'!G14+'2.2 Allocation to services'!G26+'2.2 Allocation to services'!G38=0, ,'2.2 Allocation to services'!G14+'2.2 Allocation to services'!G26+'2.2 Allocation to services'!G38)</f>
        <v>0</v>
      </c>
      <c r="E13" s="112" t="s">
        <v>80</v>
      </c>
      <c r="F13" s="293">
        <f>IF('2.2 Allocation to services'!G57+'2.2 Allocation to services'!G69+'2.2 Allocation to services'!G81=0, ,'2.2 Allocation to services'!G57+'2.2 Allocation to services'!G69+'2.2 Allocation to services'!G81)</f>
        <v>0</v>
      </c>
      <c r="G13" s="293">
        <f t="shared" ref="G13:G22" si="0">D13-ABS(F13)</f>
        <v>0</v>
      </c>
    </row>
    <row r="14" spans="2:7" x14ac:dyDescent="0.2">
      <c r="B14" s="251"/>
      <c r="C14" s="112" t="s">
        <v>81</v>
      </c>
      <c r="D14" s="293">
        <f>IF('2.2 Allocation to services'!G15+'2.2 Allocation to services'!G27+'2.2 Allocation to services'!G39=0, ,'2.2 Allocation to services'!G15+'2.2 Allocation to services'!G27+'2.2 Allocation to services'!G39)</f>
        <v>0</v>
      </c>
      <c r="E14" s="112" t="s">
        <v>81</v>
      </c>
      <c r="F14" s="293">
        <f>IF('2.2 Allocation to services'!G58+'2.2 Allocation to services'!G70+'2.2 Allocation to services'!G82=0, ,'2.2 Allocation to services'!G58+'2.2 Allocation to services'!G70+'2.2 Allocation to services'!G82)</f>
        <v>0</v>
      </c>
      <c r="G14" s="293">
        <f t="shared" si="0"/>
        <v>0</v>
      </c>
    </row>
    <row r="15" spans="2:7" x14ac:dyDescent="0.2">
      <c r="B15" s="251"/>
      <c r="C15" s="112" t="s">
        <v>82</v>
      </c>
      <c r="D15" s="293">
        <f>IF('2.2 Allocation to services'!G16+'2.2 Allocation to services'!G28+'2.2 Allocation to services'!G40=0, ,'2.2 Allocation to services'!G16+'2.2 Allocation to services'!G28+'2.2 Allocation to services'!G40)</f>
        <v>0</v>
      </c>
      <c r="E15" s="112" t="s">
        <v>82</v>
      </c>
      <c r="F15" s="293">
        <f>IF('2.2 Allocation to services'!G59+'2.2 Allocation to services'!G71+'2.2 Allocation to services'!G83=0, ,'2.2 Allocation to services'!G59+'2.2 Allocation to services'!G71+'2.2 Allocation to services'!G83)</f>
        <v>0</v>
      </c>
      <c r="G15" s="293">
        <f t="shared" si="0"/>
        <v>0</v>
      </c>
    </row>
    <row r="16" spans="2:7" x14ac:dyDescent="0.2">
      <c r="B16" s="251"/>
      <c r="C16" s="194" t="s">
        <v>83</v>
      </c>
      <c r="D16" s="293">
        <f>IF('2.2 Allocation to services'!G17+'2.2 Allocation to services'!G29+'2.2 Allocation to services'!G41=0, ,'2.2 Allocation to services'!G17+'2.2 Allocation to services'!G29+'2.2 Allocation to services'!G41)</f>
        <v>0</v>
      </c>
      <c r="E16" s="194" t="s">
        <v>83</v>
      </c>
      <c r="F16" s="293">
        <f>IF('2.2 Allocation to services'!G60+'2.2 Allocation to services'!G72+'2.2 Allocation to services'!G84=0, ,'2.2 Allocation to services'!G60+'2.2 Allocation to services'!G72+'2.2 Allocation to services'!G84)</f>
        <v>0</v>
      </c>
      <c r="G16" s="293">
        <f t="shared" si="0"/>
        <v>0</v>
      </c>
    </row>
    <row r="17" spans="2:7" x14ac:dyDescent="0.2">
      <c r="B17" s="251"/>
      <c r="C17" s="112" t="s">
        <v>84</v>
      </c>
      <c r="D17" s="293">
        <f>IF('2.2 Allocation to services'!G18+'2.2 Allocation to services'!G30+'2.2 Allocation to services'!G42=0, ,'2.2 Allocation to services'!G18+'2.2 Allocation to services'!G30+'2.2 Allocation to services'!G42)</f>
        <v>100.00027156286733</v>
      </c>
      <c r="E17" s="112" t="s">
        <v>84</v>
      </c>
      <c r="F17" s="293">
        <f>IF('2.2 Allocation to services'!G61+'2.2 Allocation to services'!G73+'2.2 Allocation to services'!G85=0, ,'2.2 Allocation to services'!G61+'2.2 Allocation to services'!G73+'2.2 Allocation to services'!G85)</f>
        <v>42.08904043037041</v>
      </c>
      <c r="G17" s="293">
        <f t="shared" si="0"/>
        <v>57.911231132496916</v>
      </c>
    </row>
    <row r="18" spans="2:7" x14ac:dyDescent="0.2">
      <c r="B18" s="251"/>
      <c r="C18" s="112" t="s">
        <v>85</v>
      </c>
      <c r="D18" s="293">
        <f>IF('2.2 Allocation to services'!G19+'2.2 Allocation to services'!G31+'2.2 Allocation to services'!G43=0, ,'2.2 Allocation to services'!G19+'2.2 Allocation to services'!G31+'2.2 Allocation to services'!G43)</f>
        <v>0</v>
      </c>
      <c r="E18" s="112" t="s">
        <v>85</v>
      </c>
      <c r="F18" s="293">
        <f>IF('2.2 Allocation to services'!G62+'2.2 Allocation to services'!G74+'2.2 Allocation to services'!G86=0, ,'2.2 Allocation to services'!G62+'2.2 Allocation to services'!G74+'2.2 Allocation to services'!G86)</f>
        <v>0</v>
      </c>
      <c r="G18" s="293">
        <f t="shared" si="0"/>
        <v>0</v>
      </c>
    </row>
    <row r="19" spans="2:7" x14ac:dyDescent="0.2">
      <c r="B19" s="251"/>
      <c r="C19" s="112" t="s">
        <v>86</v>
      </c>
      <c r="D19" s="293">
        <f>IF('2.2 Allocation to services'!G20+'2.2 Allocation to services'!G32+'2.2 Allocation to services'!G44=0, ,'2.2 Allocation to services'!G20+'2.2 Allocation to services'!G32+'2.2 Allocation to services'!G44)</f>
        <v>0</v>
      </c>
      <c r="E19" s="112" t="s">
        <v>86</v>
      </c>
      <c r="F19" s="293">
        <f>IF('2.2 Allocation to services'!G63+'2.2 Allocation to services'!G75+'2.2 Allocation to services'!G87=0, ,'2.2 Allocation to services'!G63+'2.2 Allocation to services'!G75+'2.2 Allocation to services'!G87)</f>
        <v>0</v>
      </c>
      <c r="G19" s="293">
        <f t="shared" si="0"/>
        <v>0</v>
      </c>
    </row>
    <row r="20" spans="2:7" x14ac:dyDescent="0.2">
      <c r="B20" s="251"/>
      <c r="C20" s="112" t="s">
        <v>88</v>
      </c>
      <c r="D20" s="293">
        <f>IF('2.2 Allocation to services'!G21+'2.2 Allocation to services'!G33+'2.2 Allocation to services'!G45=0, ,'2.2 Allocation to services'!G21+'2.2 Allocation to services'!G33+'2.2 Allocation to services'!G45)</f>
        <v>0</v>
      </c>
      <c r="E20" s="112" t="s">
        <v>88</v>
      </c>
      <c r="F20" s="293">
        <f>IF('2.2 Allocation to services'!G64+'2.2 Allocation to services'!G76+'2.2 Allocation to services'!G88=0, ,'2.2 Allocation to services'!G64+'2.2 Allocation to services'!G76+'2.2 Allocation to services'!G88)</f>
        <v>0</v>
      </c>
      <c r="G20" s="293">
        <f t="shared" si="0"/>
        <v>0</v>
      </c>
    </row>
    <row r="21" spans="2:7" x14ac:dyDescent="0.2">
      <c r="B21" s="251"/>
      <c r="C21" s="112" t="s">
        <v>90</v>
      </c>
      <c r="D21" s="293">
        <f>IF('2.2 Allocation to services'!G22+'2.2 Allocation to services'!G34+'2.2 Allocation to services'!G46=0, ,'2.2 Allocation to services'!G22+'2.2 Allocation to services'!G34+'2.2 Allocation to services'!G46)</f>
        <v>0</v>
      </c>
      <c r="E21" s="112" t="s">
        <v>90</v>
      </c>
      <c r="F21" s="293">
        <f>IF('2.2 Allocation to services'!G65+'2.2 Allocation to services'!G77+'2.2 Allocation to services'!G89=0, ,'2.2 Allocation to services'!G65+'2.2 Allocation to services'!G77+'2.2 Allocation to services'!G89)</f>
        <v>0</v>
      </c>
      <c r="G21" s="293">
        <f t="shared" si="0"/>
        <v>0</v>
      </c>
    </row>
    <row r="22" spans="2:7" x14ac:dyDescent="0.2">
      <c r="B22" s="251"/>
      <c r="C22" s="253" t="s">
        <v>119</v>
      </c>
      <c r="D22" s="293">
        <f t="array" ref="D22">SUM(IF(ISNA(D12:D21),0,D12:D21))</f>
        <v>766948947.17289662</v>
      </c>
      <c r="E22" s="253" t="s">
        <v>120</v>
      </c>
      <c r="F22" s="293">
        <f t="array" ref="F22">SUM(IF(ISNA(F12:F21),0,F12:F21))</f>
        <v>322800575.84940112</v>
      </c>
      <c r="G22" s="293">
        <f t="shared" si="0"/>
        <v>444148371.32349551</v>
      </c>
    </row>
  </sheetData>
  <sheetProtection sheet="1" objects="1" scenarios="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activeCell="C6" sqref="C6"/>
      <selection pane="topRight" activeCell="C6" sqref="C6"/>
      <selection pane="bottomLeft" activeCell="C6" sqref="C6"/>
      <selection pane="bottomRight"/>
    </sheetView>
  </sheetViews>
  <sheetFormatPr defaultColWidth="9.28515625" defaultRowHeight="12.75" x14ac:dyDescent="0.2"/>
  <cols>
    <col min="1" max="1" width="12" style="4" customWidth="1"/>
    <col min="2" max="2" width="18.42578125" style="4" customWidth="1"/>
    <col min="3" max="3" width="43" style="4" bestFit="1" customWidth="1"/>
    <col min="4" max="9" width="20.7109375" style="4" customWidth="1"/>
    <col min="10" max="16384" width="9.28515625" style="4"/>
  </cols>
  <sheetData>
    <row r="1" spans="2:9" ht="20.25" x14ac:dyDescent="0.2">
      <c r="B1" s="135" t="s">
        <v>53</v>
      </c>
      <c r="C1" s="135"/>
    </row>
    <row r="2" spans="2:9" ht="20.25" customHeight="1" x14ac:dyDescent="0.2">
      <c r="B2" s="135" t="str">
        <f>IF(Tradingname=0," ",Tradingname)</f>
        <v>APA WGP PTY LTD</v>
      </c>
      <c r="C2" s="135"/>
    </row>
    <row r="3" spans="2:9" ht="20.25" x14ac:dyDescent="0.3">
      <c r="B3" s="135" t="s">
        <v>30</v>
      </c>
      <c r="C3" s="99">
        <f>IF(Yearending=0, "01/01/2000", Yearending)</f>
        <v>45838</v>
      </c>
    </row>
    <row r="4" spans="2:9" ht="20.25" x14ac:dyDescent="0.2">
      <c r="B4" s="91" t="s">
        <v>121</v>
      </c>
      <c r="C4" s="91"/>
    </row>
    <row r="7" spans="2:9" ht="21" customHeight="1" x14ac:dyDescent="0.2">
      <c r="B7" s="244" t="s">
        <v>122</v>
      </c>
    </row>
    <row r="8" spans="2:9" x14ac:dyDescent="0.2">
      <c r="B8" s="215"/>
      <c r="C8" s="254"/>
    </row>
    <row r="9" spans="2:9" ht="21" customHeight="1" x14ac:dyDescent="0.2">
      <c r="B9" s="405" t="s">
        <v>123</v>
      </c>
      <c r="C9" s="406"/>
      <c r="D9" s="406"/>
      <c r="E9" s="406"/>
      <c r="F9" s="406"/>
      <c r="G9" s="407" t="s">
        <v>124</v>
      </c>
      <c r="H9" s="408"/>
      <c r="I9" s="408"/>
    </row>
    <row r="10" spans="2:9" ht="51" customHeight="1" x14ac:dyDescent="0.2">
      <c r="B10" s="29" t="s">
        <v>113</v>
      </c>
      <c r="C10" s="23" t="s">
        <v>114</v>
      </c>
      <c r="D10" s="301" t="s">
        <v>125</v>
      </c>
      <c r="E10" s="301" t="s">
        <v>126</v>
      </c>
      <c r="F10" s="30" t="s">
        <v>56</v>
      </c>
      <c r="G10" s="301" t="s">
        <v>125</v>
      </c>
      <c r="H10" s="301" t="s">
        <v>126</v>
      </c>
      <c r="I10" s="30" t="s">
        <v>56</v>
      </c>
    </row>
    <row r="11" spans="2:9" x14ac:dyDescent="0.2">
      <c r="B11" s="29"/>
      <c r="C11" s="23"/>
      <c r="D11" s="31" t="s">
        <v>116</v>
      </c>
      <c r="E11" s="31" t="s">
        <v>116</v>
      </c>
      <c r="F11" s="31" t="s">
        <v>116</v>
      </c>
      <c r="G11" s="31" t="s">
        <v>116</v>
      </c>
      <c r="H11" s="31" t="s">
        <v>116</v>
      </c>
      <c r="I11" s="31" t="s">
        <v>116</v>
      </c>
    </row>
    <row r="12" spans="2:9" x14ac:dyDescent="0.2">
      <c r="B12" s="323" t="s">
        <v>506</v>
      </c>
      <c r="C12" s="107" t="s">
        <v>127</v>
      </c>
      <c r="D12" s="31"/>
      <c r="E12" s="31"/>
      <c r="F12" s="31"/>
      <c r="G12" s="31"/>
      <c r="H12" s="31"/>
      <c r="I12" s="31"/>
    </row>
    <row r="13" spans="2:9" x14ac:dyDescent="0.2">
      <c r="B13" s="323" t="s">
        <v>506</v>
      </c>
      <c r="C13" s="116" t="s">
        <v>128</v>
      </c>
      <c r="D13" s="66">
        <v>766946864.43000066</v>
      </c>
      <c r="E13" s="66">
        <v>0</v>
      </c>
      <c r="F13" s="90">
        <f>SUM(D13:E13)</f>
        <v>766946864.43000066</v>
      </c>
      <c r="G13" s="66">
        <v>741621557.78000045</v>
      </c>
      <c r="H13" s="66">
        <v>0</v>
      </c>
      <c r="I13" s="90">
        <f>SUM(G13:H13)</f>
        <v>741621557.78000045</v>
      </c>
    </row>
    <row r="14" spans="2:9" x14ac:dyDescent="0.2">
      <c r="B14" s="323" t="s">
        <v>506</v>
      </c>
      <c r="C14" s="116" t="s">
        <v>129</v>
      </c>
      <c r="D14" s="90">
        <f>'2.3 Revenue contributions '!C17</f>
        <v>0</v>
      </c>
      <c r="E14" s="90">
        <f>'2.3 Revenue contributions '!D17</f>
        <v>0</v>
      </c>
      <c r="F14" s="90">
        <f>SUM(D14:E14)</f>
        <v>0</v>
      </c>
      <c r="G14" s="66">
        <v>0</v>
      </c>
      <c r="H14" s="66">
        <v>0</v>
      </c>
      <c r="I14" s="90">
        <f>SUM(G14:H14)</f>
        <v>0</v>
      </c>
    </row>
    <row r="15" spans="2:9" x14ac:dyDescent="0.2">
      <c r="B15" s="323" t="s">
        <v>506</v>
      </c>
      <c r="C15" s="116" t="s">
        <v>130</v>
      </c>
      <c r="D15" s="90">
        <f>'2.3 Revenue contributions '!D29</f>
        <v>0</v>
      </c>
      <c r="E15" s="90"/>
      <c r="F15" s="90">
        <f>SUM(D15:E15)</f>
        <v>0</v>
      </c>
      <c r="G15" s="66">
        <v>0</v>
      </c>
      <c r="H15" s="90"/>
      <c r="I15" s="90">
        <f>SUM(G15:H15)</f>
        <v>0</v>
      </c>
    </row>
    <row r="16" spans="2:9" x14ac:dyDescent="0.2">
      <c r="B16" s="323" t="s">
        <v>506</v>
      </c>
      <c r="C16" s="116" t="s">
        <v>131</v>
      </c>
      <c r="D16" s="66">
        <v>2082.7428959999997</v>
      </c>
      <c r="E16" s="66">
        <v>0</v>
      </c>
      <c r="F16" s="90">
        <f>SUM(D16:E16)</f>
        <v>2082.7428959999997</v>
      </c>
      <c r="G16" s="66">
        <v>140.02820031936838</v>
      </c>
      <c r="H16" s="66">
        <v>0</v>
      </c>
      <c r="I16" s="90">
        <f>SUM(G16:H16)</f>
        <v>140.02820031936838</v>
      </c>
    </row>
    <row r="17" spans="2:9" x14ac:dyDescent="0.2">
      <c r="B17" s="323" t="s">
        <v>506</v>
      </c>
      <c r="C17" s="116" t="s">
        <v>132</v>
      </c>
      <c r="D17" s="66">
        <v>0</v>
      </c>
      <c r="E17" s="66">
        <v>0</v>
      </c>
      <c r="F17" s="90">
        <f>SUM(D17:E17)</f>
        <v>0</v>
      </c>
      <c r="G17" s="66">
        <v>0</v>
      </c>
      <c r="H17" s="66">
        <v>0</v>
      </c>
      <c r="I17" s="90">
        <f>SUM(G17:H17)</f>
        <v>0</v>
      </c>
    </row>
    <row r="18" spans="2:9" x14ac:dyDescent="0.2">
      <c r="B18" s="323"/>
      <c r="C18" s="117" t="s">
        <v>133</v>
      </c>
      <c r="D18" s="90">
        <f t="shared" ref="D18:I18" si="0">SUM(D13:D17)</f>
        <v>766948947.17289662</v>
      </c>
      <c r="E18" s="90">
        <f t="shared" si="0"/>
        <v>0</v>
      </c>
      <c r="F18" s="90">
        <f t="shared" si="0"/>
        <v>766948947.17289662</v>
      </c>
      <c r="G18" s="90">
        <f t="shared" si="0"/>
        <v>741621697.80820072</v>
      </c>
      <c r="H18" s="90">
        <f t="shared" si="0"/>
        <v>0</v>
      </c>
      <c r="I18" s="90">
        <f t="shared" si="0"/>
        <v>741621697.80820072</v>
      </c>
    </row>
    <row r="19" spans="2:9" x14ac:dyDescent="0.2">
      <c r="B19" s="323"/>
      <c r="C19" s="33" t="s">
        <v>134</v>
      </c>
      <c r="D19" s="31"/>
      <c r="E19" s="31"/>
      <c r="F19" s="31"/>
      <c r="G19" s="31"/>
      <c r="H19" s="31"/>
      <c r="I19" s="31"/>
    </row>
    <row r="20" spans="2:9" x14ac:dyDescent="0.2">
      <c r="B20" s="323"/>
      <c r="C20" s="116" t="s">
        <v>135</v>
      </c>
      <c r="D20" s="90">
        <f>'2.4 Indirect revenue'!G42</f>
        <v>0</v>
      </c>
      <c r="E20" s="90">
        <f>'2.4 Indirect revenue'!H42</f>
        <v>0</v>
      </c>
      <c r="F20" s="90">
        <f>SUM(D20:E20)</f>
        <v>0</v>
      </c>
      <c r="G20" s="66">
        <v>0</v>
      </c>
      <c r="H20" s="66">
        <v>0</v>
      </c>
      <c r="I20" s="90">
        <f>SUM(G20:H20)</f>
        <v>0</v>
      </c>
    </row>
    <row r="21" spans="2:9" x14ac:dyDescent="0.2">
      <c r="B21" s="323"/>
      <c r="C21" s="117" t="s">
        <v>136</v>
      </c>
      <c r="D21" s="90">
        <f t="shared" ref="D21:I21" si="1">SUM(D20)</f>
        <v>0</v>
      </c>
      <c r="E21" s="90">
        <f t="shared" si="1"/>
        <v>0</v>
      </c>
      <c r="F21" s="90">
        <f t="shared" si="1"/>
        <v>0</v>
      </c>
      <c r="G21" s="90">
        <f t="shared" si="1"/>
        <v>0</v>
      </c>
      <c r="H21" s="90">
        <f t="shared" si="1"/>
        <v>0</v>
      </c>
      <c r="I21" s="90">
        <f t="shared" si="1"/>
        <v>0</v>
      </c>
    </row>
    <row r="22" spans="2:9" x14ac:dyDescent="0.2">
      <c r="B22" s="323"/>
      <c r="C22" s="117" t="s">
        <v>137</v>
      </c>
      <c r="D22" s="90">
        <f>D18+D21</f>
        <v>766948947.17289662</v>
      </c>
      <c r="E22" s="90">
        <f>E21+E18</f>
        <v>0</v>
      </c>
      <c r="F22" s="90">
        <f>F18+F21</f>
        <v>766948947.17289662</v>
      </c>
      <c r="G22" s="90">
        <f>G18+G21</f>
        <v>741621697.80820072</v>
      </c>
      <c r="H22" s="90">
        <f>H18+H21</f>
        <v>0</v>
      </c>
      <c r="I22" s="90">
        <f>I18+I21</f>
        <v>741621697.80820072</v>
      </c>
    </row>
    <row r="23" spans="2:9" x14ac:dyDescent="0.2">
      <c r="B23" s="323"/>
      <c r="C23" s="33" t="s">
        <v>138</v>
      </c>
      <c r="D23" s="31"/>
      <c r="E23" s="31"/>
      <c r="F23" s="31"/>
      <c r="G23" s="31"/>
      <c r="H23" s="31"/>
      <c r="I23" s="31"/>
    </row>
    <row r="24" spans="2:9" x14ac:dyDescent="0.2">
      <c r="B24" s="323" t="s">
        <v>506</v>
      </c>
      <c r="C24" s="19" t="s">
        <v>139</v>
      </c>
      <c r="D24" s="66">
        <v>0</v>
      </c>
      <c r="E24" s="66">
        <v>0</v>
      </c>
      <c r="F24" s="90">
        <f t="shared" ref="F24:F31" si="2">SUM(D24:E24)</f>
        <v>0</v>
      </c>
      <c r="G24" s="66">
        <v>0</v>
      </c>
      <c r="H24" s="66">
        <v>0</v>
      </c>
      <c r="I24" s="90">
        <f t="shared" ref="I24:I31" si="3">SUM(G24:H24)</f>
        <v>0</v>
      </c>
    </row>
    <row r="25" spans="2:9" x14ac:dyDescent="0.2">
      <c r="B25" s="323" t="s">
        <v>506</v>
      </c>
      <c r="C25" s="19" t="s">
        <v>140</v>
      </c>
      <c r="D25" s="66">
        <v>2460156.9699999997</v>
      </c>
      <c r="E25" s="66">
        <v>0</v>
      </c>
      <c r="F25" s="90">
        <f t="shared" si="2"/>
        <v>2460156.9699999997</v>
      </c>
      <c r="G25" s="66">
        <v>2469681.2396555506</v>
      </c>
      <c r="H25" s="66">
        <v>0</v>
      </c>
      <c r="I25" s="90">
        <f t="shared" si="3"/>
        <v>2469681.2396555506</v>
      </c>
    </row>
    <row r="26" spans="2:9" x14ac:dyDescent="0.2">
      <c r="B26" s="323" t="s">
        <v>506</v>
      </c>
      <c r="C26" s="19" t="s">
        <v>141</v>
      </c>
      <c r="D26" s="66">
        <v>132557414.5</v>
      </c>
      <c r="E26" s="66">
        <v>0</v>
      </c>
      <c r="F26" s="90">
        <f t="shared" si="2"/>
        <v>132557414.5</v>
      </c>
      <c r="G26" s="66">
        <v>131367939.88</v>
      </c>
      <c r="H26" s="66">
        <v>0</v>
      </c>
      <c r="I26" s="90">
        <f t="shared" si="3"/>
        <v>131367939.88</v>
      </c>
    </row>
    <row r="27" spans="2:9" x14ac:dyDescent="0.2">
      <c r="B27" s="323" t="s">
        <v>506</v>
      </c>
      <c r="C27" s="19" t="s">
        <v>142</v>
      </c>
      <c r="D27" s="66">
        <v>1542968.26</v>
      </c>
      <c r="E27" s="66">
        <v>0</v>
      </c>
      <c r="F27" s="90">
        <f t="shared" si="2"/>
        <v>1542968.26</v>
      </c>
      <c r="G27" s="66">
        <v>3947692.02</v>
      </c>
      <c r="H27" s="66">
        <v>0</v>
      </c>
      <c r="I27" s="90">
        <f t="shared" si="3"/>
        <v>3947692.02</v>
      </c>
    </row>
    <row r="28" spans="2:9" x14ac:dyDescent="0.2">
      <c r="B28" s="324" t="s">
        <v>506</v>
      </c>
      <c r="C28" s="19" t="s">
        <v>143</v>
      </c>
      <c r="D28" s="66">
        <v>320816.93</v>
      </c>
      <c r="E28" s="66">
        <v>0</v>
      </c>
      <c r="F28" s="90">
        <f t="shared" si="2"/>
        <v>320816.93</v>
      </c>
      <c r="G28" s="66">
        <v>258313.01</v>
      </c>
      <c r="H28" s="66">
        <v>0</v>
      </c>
      <c r="I28" s="90">
        <f t="shared" si="3"/>
        <v>258313.01</v>
      </c>
    </row>
    <row r="29" spans="2:9" x14ac:dyDescent="0.2">
      <c r="B29" s="324" t="s">
        <v>506</v>
      </c>
      <c r="C29" s="19" t="s">
        <v>144</v>
      </c>
      <c r="D29" s="66">
        <v>0</v>
      </c>
      <c r="E29" s="66">
        <v>0</v>
      </c>
      <c r="F29" s="90">
        <f t="shared" si="2"/>
        <v>0</v>
      </c>
      <c r="G29" s="66">
        <v>534.66</v>
      </c>
      <c r="H29" s="66">
        <v>0</v>
      </c>
      <c r="I29" s="90">
        <f t="shared" si="3"/>
        <v>534.66</v>
      </c>
    </row>
    <row r="30" spans="2:9" x14ac:dyDescent="0.2">
      <c r="B30" s="324" t="s">
        <v>506</v>
      </c>
      <c r="C30" s="19" t="s">
        <v>145</v>
      </c>
      <c r="D30" s="66">
        <v>114525.29999999999</v>
      </c>
      <c r="E30" s="66">
        <v>0</v>
      </c>
      <c r="F30" s="90">
        <f t="shared" si="2"/>
        <v>114525.29999999999</v>
      </c>
      <c r="G30" s="66">
        <v>56878.879999999997</v>
      </c>
      <c r="H30" s="66">
        <v>0</v>
      </c>
      <c r="I30" s="90">
        <f t="shared" si="3"/>
        <v>56878.879999999997</v>
      </c>
    </row>
    <row r="31" spans="2:9" x14ac:dyDescent="0.2">
      <c r="B31" s="324" t="s">
        <v>506</v>
      </c>
      <c r="C31" s="34" t="s">
        <v>146</v>
      </c>
      <c r="D31" s="66">
        <v>184442046.00999999</v>
      </c>
      <c r="E31" s="66">
        <v>0</v>
      </c>
      <c r="F31" s="90">
        <f t="shared" si="2"/>
        <v>184442046.00999999</v>
      </c>
      <c r="G31" s="66">
        <v>186772747.13999999</v>
      </c>
      <c r="H31" s="66">
        <v>0</v>
      </c>
      <c r="I31" s="90">
        <f t="shared" si="3"/>
        <v>186772747.13999999</v>
      </c>
    </row>
    <row r="32" spans="2:9" x14ac:dyDescent="0.2">
      <c r="B32" s="325"/>
      <c r="C32" s="87" t="s">
        <v>147</v>
      </c>
      <c r="D32" s="90">
        <f t="shared" ref="D32:I32" si="4">SUM(D24:D31)</f>
        <v>321437927.97000003</v>
      </c>
      <c r="E32" s="90">
        <f t="shared" si="4"/>
        <v>0</v>
      </c>
      <c r="F32" s="90">
        <f>SUM(F24:F31)</f>
        <v>321437927.97000003</v>
      </c>
      <c r="G32" s="90">
        <f t="shared" si="4"/>
        <v>324873786.82965553</v>
      </c>
      <c r="H32" s="90">
        <f t="shared" si="4"/>
        <v>0</v>
      </c>
      <c r="I32" s="90">
        <f t="shared" si="4"/>
        <v>324873786.82965553</v>
      </c>
    </row>
    <row r="33" spans="2:9" x14ac:dyDescent="0.2">
      <c r="B33" s="325"/>
      <c r="C33" s="33" t="s">
        <v>148</v>
      </c>
      <c r="D33" s="31"/>
      <c r="E33" s="31"/>
      <c r="F33" s="108"/>
      <c r="G33" s="31"/>
      <c r="H33" s="31"/>
      <c r="I33" s="108"/>
    </row>
    <row r="34" spans="2:9" x14ac:dyDescent="0.2">
      <c r="B34" s="325"/>
      <c r="C34" s="19" t="s">
        <v>149</v>
      </c>
      <c r="D34" s="90">
        <f>SUMIF('2.5 Shared expenses'!$C$15:$C$35,$C34,'2.5 Shared expenses'!H$15:H$35)</f>
        <v>0</v>
      </c>
      <c r="E34" s="90">
        <f>SUMIF('2.5 Shared expenses'!$C$15:$C$35,$C34,'2.5 Shared expenses'!I$15:I$35)</f>
        <v>0</v>
      </c>
      <c r="F34" s="90">
        <f t="shared" ref="F34:F42" si="5">SUM(D34:E34)</f>
        <v>0</v>
      </c>
      <c r="G34" s="66">
        <v>0</v>
      </c>
      <c r="H34" s="66">
        <v>0</v>
      </c>
      <c r="I34" s="90">
        <f t="shared" ref="I34:I42" si="6">SUM(G34:H34)</f>
        <v>0</v>
      </c>
    </row>
    <row r="35" spans="2:9" x14ac:dyDescent="0.2">
      <c r="B35" s="325"/>
      <c r="C35" s="19" t="s">
        <v>150</v>
      </c>
      <c r="D35" s="90">
        <f>SUMIF('2.5 Shared expenses'!$C$15:$C$35,$C35,'2.5 Shared expenses'!H$15:H$35)</f>
        <v>0</v>
      </c>
      <c r="E35" s="90">
        <f>SUMIF('2.5 Shared expenses'!$C$15:$C$35,$C35,'2.5 Shared expenses'!I$15:I$35)</f>
        <v>0</v>
      </c>
      <c r="F35" s="90">
        <f t="shared" si="5"/>
        <v>0</v>
      </c>
      <c r="G35" s="66">
        <v>0</v>
      </c>
      <c r="H35" s="66">
        <v>0</v>
      </c>
      <c r="I35" s="90">
        <f t="shared" si="6"/>
        <v>0</v>
      </c>
    </row>
    <row r="36" spans="2:9" x14ac:dyDescent="0.2">
      <c r="B36" s="324" t="s">
        <v>506</v>
      </c>
      <c r="C36" s="32" t="s">
        <v>151</v>
      </c>
      <c r="D36" s="90">
        <f>SUMIF('2.5 Shared expenses'!$C$15:$C$35,$C36,'2.5 Shared expenses'!H$15:H$35)</f>
        <v>0</v>
      </c>
      <c r="E36" s="90">
        <f>SUMIF('2.5 Shared expenses'!$C$15:$C$35,$C36,'2.5 Shared expenses'!I$15:I$35)</f>
        <v>0</v>
      </c>
      <c r="F36" s="90">
        <f t="shared" si="5"/>
        <v>0</v>
      </c>
      <c r="G36" s="66">
        <v>0</v>
      </c>
      <c r="H36" s="66">
        <v>0</v>
      </c>
      <c r="I36" s="90">
        <f t="shared" si="6"/>
        <v>0</v>
      </c>
    </row>
    <row r="37" spans="2:9" x14ac:dyDescent="0.2">
      <c r="B37" s="325"/>
      <c r="C37" s="34" t="s">
        <v>152</v>
      </c>
      <c r="D37" s="90">
        <f>SUMIF('2.5 Shared expenses'!$C$15:$C$35,$C37,'2.5 Shared expenses'!H$15:H$35)</f>
        <v>287445.76120000001</v>
      </c>
      <c r="E37" s="90">
        <f>SUMIF('2.5 Shared expenses'!$C$15:$C$35,$C37,'2.5 Shared expenses'!I$15:I$35)</f>
        <v>0</v>
      </c>
      <c r="F37" s="90">
        <f t="shared" si="5"/>
        <v>287445.76120000001</v>
      </c>
      <c r="G37" s="66">
        <v>187033.53616242972</v>
      </c>
      <c r="H37" s="66">
        <v>0</v>
      </c>
      <c r="I37" s="90">
        <f t="shared" si="6"/>
        <v>187033.53616242972</v>
      </c>
    </row>
    <row r="38" spans="2:9" x14ac:dyDescent="0.2">
      <c r="B38" s="325"/>
      <c r="C38" s="34" t="s">
        <v>153</v>
      </c>
      <c r="D38" s="90">
        <f>SUMIF('2.5 Shared expenses'!$C$15:$C$35,$C38,'2.5 Shared expenses'!H$15:H$35)</f>
        <v>0</v>
      </c>
      <c r="E38" s="90">
        <f>SUMIF('2.5 Shared expenses'!$C$15:$C$35,$C38,'2.5 Shared expenses'!I$15:I$35)</f>
        <v>0</v>
      </c>
      <c r="F38" s="90">
        <f t="shared" si="5"/>
        <v>0</v>
      </c>
      <c r="G38" s="66">
        <v>0</v>
      </c>
      <c r="H38" s="66">
        <v>0</v>
      </c>
      <c r="I38" s="90">
        <f t="shared" si="6"/>
        <v>0</v>
      </c>
    </row>
    <row r="39" spans="2:9" x14ac:dyDescent="0.2">
      <c r="B39" s="325"/>
      <c r="C39" s="32" t="s">
        <v>154</v>
      </c>
      <c r="D39" s="90">
        <f>SUMIF('2.5 Shared expenses'!$C$15:$C$35,$C39,'2.5 Shared expenses'!H$15:H$35)</f>
        <v>0</v>
      </c>
      <c r="E39" s="90">
        <f>SUMIF('2.5 Shared expenses'!$C$15:$C$35,$C39,'2.5 Shared expenses'!I$15:I$35)</f>
        <v>0</v>
      </c>
      <c r="F39" s="90">
        <f t="shared" si="5"/>
        <v>0</v>
      </c>
      <c r="G39" s="66">
        <v>0</v>
      </c>
      <c r="H39" s="66">
        <v>0</v>
      </c>
      <c r="I39" s="90">
        <f t="shared" si="6"/>
        <v>0</v>
      </c>
    </row>
    <row r="40" spans="2:9" x14ac:dyDescent="0.2">
      <c r="B40" s="325"/>
      <c r="C40" s="32" t="s">
        <v>155</v>
      </c>
      <c r="D40" s="90">
        <f>SUMIF('2.5 Shared expenses'!$C$15:$C$35,$C40,'2.5 Shared expenses'!H$15:H$35)</f>
        <v>0</v>
      </c>
      <c r="E40" s="90">
        <f>SUMIF('2.5 Shared expenses'!$C$15:$C$35,$C40,'2.5 Shared expenses'!I$15:I$35)</f>
        <v>0</v>
      </c>
      <c r="F40" s="90">
        <f t="shared" si="5"/>
        <v>0</v>
      </c>
      <c r="G40" s="66">
        <v>0</v>
      </c>
      <c r="H40" s="66">
        <v>0</v>
      </c>
      <c r="I40" s="90">
        <f t="shared" si="6"/>
        <v>0</v>
      </c>
    </row>
    <row r="41" spans="2:9" x14ac:dyDescent="0.2">
      <c r="B41" s="325"/>
      <c r="C41" s="32" t="s">
        <v>156</v>
      </c>
      <c r="D41" s="90">
        <f>SUMIF('2.5 Shared expenses'!$C$15:$C$35,$C41,'2.5 Shared expenses'!H$15:H$35)</f>
        <v>0</v>
      </c>
      <c r="E41" s="90">
        <f>SUMIF('2.5 Shared expenses'!$C$15:$C$35,$C41,'2.5 Shared expenses'!I$15:I$35)</f>
        <v>0</v>
      </c>
      <c r="F41" s="90">
        <f t="shared" si="5"/>
        <v>0</v>
      </c>
      <c r="G41" s="66">
        <v>0</v>
      </c>
      <c r="H41" s="66">
        <v>0</v>
      </c>
      <c r="I41" s="90">
        <f t="shared" si="6"/>
        <v>0</v>
      </c>
    </row>
    <row r="42" spans="2:9" x14ac:dyDescent="0.2">
      <c r="B42" s="324" t="s">
        <v>506</v>
      </c>
      <c r="C42" s="34" t="s">
        <v>157</v>
      </c>
      <c r="D42" s="90">
        <f>SUMIF('2.5 Shared expenses'!$C$15:$C$35,$C42,'2.5 Shared expenses'!H$15:H$35)</f>
        <v>1075202.1182011093</v>
      </c>
      <c r="E42" s="90">
        <f>SUMIF('2.5 Shared expenses'!$C$15:$C$35,$C42,'2.5 Shared expenses'!I$15:I$35)</f>
        <v>0</v>
      </c>
      <c r="F42" s="90">
        <f t="shared" si="5"/>
        <v>1075202.1182011093</v>
      </c>
      <c r="G42" s="66">
        <v>1038322.1805055663</v>
      </c>
      <c r="H42" s="66">
        <v>0</v>
      </c>
      <c r="I42" s="90">
        <f t="shared" si="6"/>
        <v>1038322.1805055663</v>
      </c>
    </row>
    <row r="43" spans="2:9" x14ac:dyDescent="0.2">
      <c r="B43" s="280"/>
      <c r="C43" s="87" t="s">
        <v>158</v>
      </c>
      <c r="D43" s="90">
        <f t="shared" ref="D43:I43" si="7">SUM(D34:D42)</f>
        <v>1362647.8794011094</v>
      </c>
      <c r="E43" s="90">
        <f t="shared" si="7"/>
        <v>0</v>
      </c>
      <c r="F43" s="90">
        <f>SUM(F34:F42)</f>
        <v>1362647.8794011094</v>
      </c>
      <c r="G43" s="90">
        <f t="shared" si="7"/>
        <v>1225355.716667996</v>
      </c>
      <c r="H43" s="90">
        <f t="shared" si="7"/>
        <v>0</v>
      </c>
      <c r="I43" s="90">
        <f t="shared" si="7"/>
        <v>1225355.716667996</v>
      </c>
    </row>
    <row r="44" spans="2:9" x14ac:dyDescent="0.2">
      <c r="B44" s="280"/>
      <c r="C44" s="87" t="s">
        <v>159</v>
      </c>
      <c r="D44" s="11">
        <f t="shared" ref="D44:I44" si="8">D43+D32</f>
        <v>322800575.84940112</v>
      </c>
      <c r="E44" s="11">
        <f t="shared" si="8"/>
        <v>0</v>
      </c>
      <c r="F44" s="11">
        <f t="shared" si="8"/>
        <v>322800575.84940112</v>
      </c>
      <c r="G44" s="11">
        <f t="shared" si="8"/>
        <v>326099142.54632354</v>
      </c>
      <c r="H44" s="11">
        <f t="shared" si="8"/>
        <v>0</v>
      </c>
      <c r="I44" s="11">
        <f t="shared" si="8"/>
        <v>326099142.54632354</v>
      </c>
    </row>
    <row r="45" spans="2:9" x14ac:dyDescent="0.2">
      <c r="B45" s="280"/>
      <c r="C45" s="137" t="s">
        <v>63</v>
      </c>
      <c r="D45" s="11">
        <f t="shared" ref="D45:I45" si="9">D22-ABS(D44)</f>
        <v>444148371.32349551</v>
      </c>
      <c r="E45" s="11">
        <f t="shared" si="9"/>
        <v>0</v>
      </c>
      <c r="F45" s="11">
        <f t="shared" si="9"/>
        <v>444148371.32349551</v>
      </c>
      <c r="G45" s="11">
        <f t="shared" si="9"/>
        <v>415522555.26187718</v>
      </c>
      <c r="H45" s="11">
        <f t="shared" si="9"/>
        <v>0</v>
      </c>
      <c r="I45" s="11">
        <f t="shared" si="9"/>
        <v>415522555.26187718</v>
      </c>
    </row>
    <row r="73" spans="2:2" ht="22.9" customHeight="1" x14ac:dyDescent="0.2"/>
    <row r="77" spans="2:2" x14ac:dyDescent="0.2">
      <c r="B77" s="100"/>
    </row>
    <row r="85" spans="2:2" x14ac:dyDescent="0.2">
      <c r="B85" s="100"/>
    </row>
    <row r="92" spans="2:2" x14ac:dyDescent="0.2">
      <c r="B92" s="100"/>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x14ac:dyDescent="0.3">
      <c r="B1" s="135" t="s">
        <v>53</v>
      </c>
      <c r="C1" s="135"/>
      <c r="D1" s="204"/>
      <c r="E1" s="204"/>
      <c r="F1" s="204"/>
      <c r="G1" s="204"/>
      <c r="H1" s="204"/>
      <c r="I1" s="204"/>
    </row>
    <row r="2" spans="2:13" ht="20.25" customHeight="1" x14ac:dyDescent="0.45">
      <c r="B2" s="135" t="str">
        <f>IF(Tradingname=0," ",Tradingname)</f>
        <v>APA WGP PTY LTD</v>
      </c>
      <c r="C2" s="135"/>
      <c r="I2" s="237"/>
    </row>
    <row r="3" spans="2:13" ht="20.25" customHeight="1" x14ac:dyDescent="0.3">
      <c r="B3" s="135" t="s">
        <v>30</v>
      </c>
      <c r="C3" s="99">
        <f>IF(Yearending=0, "01/01/2000", Yearending)</f>
        <v>45838</v>
      </c>
    </row>
    <row r="4" spans="2:13" ht="20.25" x14ac:dyDescent="0.2">
      <c r="B4" s="91" t="s">
        <v>160</v>
      </c>
      <c r="C4" s="91"/>
      <c r="D4" s="243"/>
      <c r="G4" s="243"/>
    </row>
    <row r="5" spans="2:13" x14ac:dyDescent="0.2">
      <c r="B5" s="191"/>
      <c r="C5" s="191"/>
      <c r="D5" s="191"/>
      <c r="E5" s="191"/>
      <c r="F5" s="191"/>
      <c r="G5" s="191"/>
      <c r="H5" s="191"/>
      <c r="I5" s="191"/>
      <c r="J5" s="191"/>
      <c r="K5" s="191"/>
      <c r="L5" s="191"/>
      <c r="M5" s="191"/>
    </row>
    <row r="6" spans="2:13" x14ac:dyDescent="0.2">
      <c r="B6" s="191"/>
      <c r="C6" s="191"/>
      <c r="D6" s="191"/>
      <c r="E6" s="191"/>
      <c r="F6" s="191"/>
      <c r="G6" s="191"/>
      <c r="H6" s="191"/>
      <c r="I6" s="191"/>
      <c r="J6" s="191"/>
      <c r="K6" s="191"/>
      <c r="L6" s="191"/>
      <c r="M6" s="191"/>
    </row>
    <row r="7" spans="2:13" ht="15.75" x14ac:dyDescent="0.2">
      <c r="B7" s="244" t="s">
        <v>161</v>
      </c>
      <c r="C7" s="191"/>
      <c r="D7" s="191"/>
      <c r="E7" s="191"/>
      <c r="F7" s="191"/>
      <c r="G7" s="191"/>
      <c r="H7" s="191"/>
      <c r="I7" s="191"/>
      <c r="J7" s="191"/>
      <c r="K7" s="191"/>
      <c r="L7" s="191"/>
      <c r="M7" s="191"/>
    </row>
    <row r="8" spans="2:13" x14ac:dyDescent="0.2">
      <c r="B8" s="245"/>
      <c r="C8" s="246"/>
      <c r="D8" s="247"/>
      <c r="E8" s="247"/>
      <c r="F8" s="247"/>
      <c r="G8" s="247"/>
      <c r="H8" s="247"/>
      <c r="I8" s="247"/>
      <c r="J8" s="247"/>
      <c r="K8" s="247"/>
      <c r="L8" s="191"/>
      <c r="M8" s="191"/>
    </row>
    <row r="9" spans="2:13" ht="21" customHeight="1" x14ac:dyDescent="0.2">
      <c r="B9" s="248"/>
      <c r="C9" s="248"/>
      <c r="D9" s="409" t="s">
        <v>162</v>
      </c>
      <c r="E9" s="410"/>
      <c r="F9" s="410"/>
      <c r="G9" s="411"/>
      <c r="H9" s="409" t="s">
        <v>124</v>
      </c>
      <c r="I9" s="410"/>
      <c r="J9" s="410"/>
      <c r="K9" s="411"/>
      <c r="L9" s="191"/>
      <c r="M9" s="191"/>
    </row>
    <row r="10" spans="2:13" ht="51" customHeight="1" x14ac:dyDescent="0.2">
      <c r="B10" s="44" t="s">
        <v>113</v>
      </c>
      <c r="C10" s="248" t="s">
        <v>114</v>
      </c>
      <c r="D10" s="301" t="s">
        <v>163</v>
      </c>
      <c r="E10" s="301" t="s">
        <v>125</v>
      </c>
      <c r="F10" s="301" t="s">
        <v>126</v>
      </c>
      <c r="G10" s="301" t="s">
        <v>56</v>
      </c>
      <c r="H10" s="301" t="s">
        <v>163</v>
      </c>
      <c r="I10" s="301" t="s">
        <v>125</v>
      </c>
      <c r="J10" s="301" t="s">
        <v>126</v>
      </c>
      <c r="K10" s="301" t="s">
        <v>56</v>
      </c>
      <c r="L10" s="191"/>
      <c r="M10" s="191"/>
    </row>
    <row r="11" spans="2:13" ht="15.75" customHeight="1" x14ac:dyDescent="0.2">
      <c r="B11" s="44"/>
      <c r="C11" s="248"/>
      <c r="D11" s="111" t="s">
        <v>164</v>
      </c>
      <c r="E11" s="111" t="s">
        <v>116</v>
      </c>
      <c r="F11" s="111" t="s">
        <v>116</v>
      </c>
      <c r="G11" s="111" t="s">
        <v>116</v>
      </c>
      <c r="H11" s="111" t="s">
        <v>164</v>
      </c>
      <c r="I11" s="111" t="s">
        <v>116</v>
      </c>
      <c r="J11" s="111" t="s">
        <v>116</v>
      </c>
      <c r="K11" s="111" t="s">
        <v>116</v>
      </c>
      <c r="L11" s="191"/>
      <c r="M11" s="191"/>
    </row>
    <row r="12" spans="2:13" x14ac:dyDescent="0.2">
      <c r="B12" s="188"/>
      <c r="C12" s="255" t="s">
        <v>165</v>
      </c>
      <c r="D12" s="111"/>
      <c r="E12" s="111"/>
      <c r="F12" s="111"/>
      <c r="G12" s="111"/>
      <c r="H12" s="111"/>
      <c r="I12" s="111"/>
      <c r="J12" s="111"/>
      <c r="K12" s="111"/>
      <c r="L12" s="191"/>
      <c r="M12" s="191"/>
    </row>
    <row r="13" spans="2:13" x14ac:dyDescent="0.2">
      <c r="B13" s="326" t="s">
        <v>507</v>
      </c>
      <c r="C13" s="112" t="s">
        <v>78</v>
      </c>
      <c r="D13" s="72">
        <v>0.99999986961287068</v>
      </c>
      <c r="E13" s="256">
        <f t="shared" ref="E13:E22" si="0">D13*$E$23</f>
        <v>766948847.17262506</v>
      </c>
      <c r="F13" s="256">
        <f t="shared" ref="F13:F22" si="1">D13*$F$23</f>
        <v>0</v>
      </c>
      <c r="G13" s="113">
        <f t="shared" ref="G13:G22" si="2">SUM(E13:F13)</f>
        <v>766948847.17262506</v>
      </c>
      <c r="H13" s="72">
        <v>0.99999986516033823</v>
      </c>
      <c r="I13" s="256">
        <f t="shared" ref="I13:I22" si="3">H13*$I$23</f>
        <v>741621597.80818188</v>
      </c>
      <c r="J13" s="256">
        <f t="shared" ref="J13:J22" si="4">H13*$J$23</f>
        <v>0</v>
      </c>
      <c r="K13" s="113">
        <f t="shared" ref="K13:K22" si="5">SUM(I13:J13)</f>
        <v>741621597.80818188</v>
      </c>
      <c r="L13" s="191"/>
      <c r="M13" s="257"/>
    </row>
    <row r="14" spans="2:13" x14ac:dyDescent="0.2">
      <c r="B14" s="327" t="s">
        <v>507</v>
      </c>
      <c r="C14" s="112" t="s">
        <v>80</v>
      </c>
      <c r="D14" s="72">
        <v>0</v>
      </c>
      <c r="E14" s="256">
        <f t="shared" si="0"/>
        <v>0</v>
      </c>
      <c r="F14" s="256">
        <f t="shared" si="1"/>
        <v>0</v>
      </c>
      <c r="G14" s="113">
        <f t="shared" si="2"/>
        <v>0</v>
      </c>
      <c r="H14" s="72">
        <v>0</v>
      </c>
      <c r="I14" s="256">
        <f t="shared" si="3"/>
        <v>0</v>
      </c>
      <c r="J14" s="256">
        <f t="shared" si="4"/>
        <v>0</v>
      </c>
      <c r="K14" s="113">
        <f t="shared" si="5"/>
        <v>0</v>
      </c>
      <c r="L14" s="191"/>
      <c r="M14" s="257"/>
    </row>
    <row r="15" spans="2:13" x14ac:dyDescent="0.2">
      <c r="B15" s="327" t="s">
        <v>507</v>
      </c>
      <c r="C15" s="112" t="s">
        <v>81</v>
      </c>
      <c r="D15" s="72">
        <v>0</v>
      </c>
      <c r="E15" s="256">
        <f t="shared" si="0"/>
        <v>0</v>
      </c>
      <c r="F15" s="256">
        <f t="shared" si="1"/>
        <v>0</v>
      </c>
      <c r="G15" s="113">
        <f t="shared" si="2"/>
        <v>0</v>
      </c>
      <c r="H15" s="72">
        <v>0</v>
      </c>
      <c r="I15" s="256">
        <f t="shared" si="3"/>
        <v>0</v>
      </c>
      <c r="J15" s="256">
        <f t="shared" si="4"/>
        <v>0</v>
      </c>
      <c r="K15" s="113">
        <f t="shared" si="5"/>
        <v>0</v>
      </c>
      <c r="L15" s="191"/>
      <c r="M15" s="257"/>
    </row>
    <row r="16" spans="2:13" x14ac:dyDescent="0.2">
      <c r="B16" s="327" t="s">
        <v>507</v>
      </c>
      <c r="C16" s="112" t="s">
        <v>82</v>
      </c>
      <c r="D16" s="72">
        <v>0</v>
      </c>
      <c r="E16" s="256">
        <f t="shared" si="0"/>
        <v>0</v>
      </c>
      <c r="F16" s="256">
        <f t="shared" si="1"/>
        <v>0</v>
      </c>
      <c r="G16" s="113">
        <f t="shared" si="2"/>
        <v>0</v>
      </c>
      <c r="H16" s="72">
        <v>0</v>
      </c>
      <c r="I16" s="256">
        <f t="shared" si="3"/>
        <v>0</v>
      </c>
      <c r="J16" s="256">
        <f t="shared" si="4"/>
        <v>0</v>
      </c>
      <c r="K16" s="113">
        <f t="shared" si="5"/>
        <v>0</v>
      </c>
      <c r="L16" s="191"/>
      <c r="M16" s="257"/>
    </row>
    <row r="17" spans="2:13" x14ac:dyDescent="0.2">
      <c r="B17" s="327" t="s">
        <v>507</v>
      </c>
      <c r="C17" s="194" t="s">
        <v>83</v>
      </c>
      <c r="D17" s="72">
        <v>0</v>
      </c>
      <c r="E17" s="256">
        <f t="shared" si="0"/>
        <v>0</v>
      </c>
      <c r="F17" s="256">
        <f t="shared" si="1"/>
        <v>0</v>
      </c>
      <c r="G17" s="113">
        <f t="shared" si="2"/>
        <v>0</v>
      </c>
      <c r="H17" s="72">
        <v>0</v>
      </c>
      <c r="I17" s="256">
        <f t="shared" si="3"/>
        <v>0</v>
      </c>
      <c r="J17" s="256">
        <f t="shared" si="4"/>
        <v>0</v>
      </c>
      <c r="K17" s="113">
        <f t="shared" si="5"/>
        <v>0</v>
      </c>
      <c r="L17" s="191"/>
      <c r="M17" s="257"/>
    </row>
    <row r="18" spans="2:13" x14ac:dyDescent="0.2">
      <c r="B18" s="327" t="s">
        <v>507</v>
      </c>
      <c r="C18" s="112" t="s">
        <v>84</v>
      </c>
      <c r="D18" s="72">
        <v>1.3038712932781931E-7</v>
      </c>
      <c r="E18" s="256">
        <f t="shared" si="0"/>
        <v>100.00027156286733</v>
      </c>
      <c r="F18" s="256">
        <f t="shared" si="1"/>
        <v>0</v>
      </c>
      <c r="G18" s="113">
        <f t="shared" si="2"/>
        <v>100.00027156286733</v>
      </c>
      <c r="H18" s="72">
        <v>1.3483966175328559E-7</v>
      </c>
      <c r="I18" s="256">
        <f t="shared" si="3"/>
        <v>100.00001888135516</v>
      </c>
      <c r="J18" s="256">
        <f t="shared" si="4"/>
        <v>0</v>
      </c>
      <c r="K18" s="113">
        <f t="shared" si="5"/>
        <v>100.00001888135516</v>
      </c>
      <c r="L18" s="191"/>
      <c r="M18" s="257"/>
    </row>
    <row r="19" spans="2:13" x14ac:dyDescent="0.2">
      <c r="B19" s="327" t="s">
        <v>507</v>
      </c>
      <c r="C19" s="112" t="s">
        <v>85</v>
      </c>
      <c r="D19" s="72">
        <v>0</v>
      </c>
      <c r="E19" s="256">
        <f t="shared" si="0"/>
        <v>0</v>
      </c>
      <c r="F19" s="256">
        <f t="shared" si="1"/>
        <v>0</v>
      </c>
      <c r="G19" s="113">
        <f t="shared" si="2"/>
        <v>0</v>
      </c>
      <c r="H19" s="72">
        <v>0</v>
      </c>
      <c r="I19" s="256">
        <f t="shared" si="3"/>
        <v>0</v>
      </c>
      <c r="J19" s="256">
        <f t="shared" si="4"/>
        <v>0</v>
      </c>
      <c r="K19" s="113">
        <f t="shared" si="5"/>
        <v>0</v>
      </c>
      <c r="L19" s="191"/>
      <c r="M19" s="257"/>
    </row>
    <row r="20" spans="2:13" x14ac:dyDescent="0.2">
      <c r="B20" s="327" t="s">
        <v>507</v>
      </c>
      <c r="C20" s="112" t="s">
        <v>86</v>
      </c>
      <c r="D20" s="72">
        <v>0</v>
      </c>
      <c r="E20" s="256">
        <f t="shared" si="0"/>
        <v>0</v>
      </c>
      <c r="F20" s="256">
        <f t="shared" si="1"/>
        <v>0</v>
      </c>
      <c r="G20" s="113">
        <f t="shared" si="2"/>
        <v>0</v>
      </c>
      <c r="H20" s="72">
        <v>0</v>
      </c>
      <c r="I20" s="256">
        <f t="shared" si="3"/>
        <v>0</v>
      </c>
      <c r="J20" s="256">
        <f t="shared" si="4"/>
        <v>0</v>
      </c>
      <c r="K20" s="113">
        <f t="shared" si="5"/>
        <v>0</v>
      </c>
      <c r="L20" s="191"/>
      <c r="M20" s="257"/>
    </row>
    <row r="21" spans="2:13" x14ac:dyDescent="0.2">
      <c r="B21" s="327" t="s">
        <v>507</v>
      </c>
      <c r="C21" s="112" t="s">
        <v>88</v>
      </c>
      <c r="D21" s="72">
        <v>0</v>
      </c>
      <c r="E21" s="256">
        <f t="shared" si="0"/>
        <v>0</v>
      </c>
      <c r="F21" s="256">
        <f t="shared" si="1"/>
        <v>0</v>
      </c>
      <c r="G21" s="113">
        <f t="shared" si="2"/>
        <v>0</v>
      </c>
      <c r="H21" s="72">
        <v>0</v>
      </c>
      <c r="I21" s="256">
        <f t="shared" si="3"/>
        <v>0</v>
      </c>
      <c r="J21" s="256">
        <f t="shared" si="4"/>
        <v>0</v>
      </c>
      <c r="K21" s="113">
        <f t="shared" si="5"/>
        <v>0</v>
      </c>
      <c r="L21" s="191"/>
      <c r="M21" s="257"/>
    </row>
    <row r="22" spans="2:13" x14ac:dyDescent="0.2">
      <c r="B22" s="327" t="s">
        <v>507</v>
      </c>
      <c r="C22" s="112" t="s">
        <v>90</v>
      </c>
      <c r="D22" s="72">
        <v>0</v>
      </c>
      <c r="E22" s="256">
        <f t="shared" si="0"/>
        <v>0</v>
      </c>
      <c r="F22" s="256">
        <f t="shared" si="1"/>
        <v>0</v>
      </c>
      <c r="G22" s="113">
        <f t="shared" si="2"/>
        <v>0</v>
      </c>
      <c r="H22" s="72">
        <v>0</v>
      </c>
      <c r="I22" s="256">
        <f t="shared" si="3"/>
        <v>0</v>
      </c>
      <c r="J22" s="256">
        <f t="shared" si="4"/>
        <v>0</v>
      </c>
      <c r="K22" s="113">
        <f t="shared" si="5"/>
        <v>0</v>
      </c>
      <c r="L22" s="191"/>
      <c r="M22" s="257"/>
    </row>
    <row r="23" spans="2:13" x14ac:dyDescent="0.2">
      <c r="B23" s="281"/>
      <c r="C23" s="186" t="s">
        <v>166</v>
      </c>
      <c r="D23" s="118">
        <f>SUM(D13:D22)</f>
        <v>1</v>
      </c>
      <c r="E23" s="114">
        <f>'2.1 Profit &amp; Loss by component'!D18-'2.1 Profit &amp; Loss by component'!D15-'2.1 Profit &amp; Loss by component'!D14</f>
        <v>766948947.17289662</v>
      </c>
      <c r="F23" s="114">
        <f>'2.1 Profit &amp; Loss by component'!E18-'2.1 Profit &amp; Loss by component'!E14</f>
        <v>0</v>
      </c>
      <c r="G23" s="114">
        <f>SUM(G13:G22)</f>
        <v>766948947.17289662</v>
      </c>
      <c r="H23" s="118">
        <f>SUM(H13:H22)</f>
        <v>1</v>
      </c>
      <c r="I23" s="114">
        <f>'2.1 Profit &amp; Loss by component'!G18-'2.1 Profit &amp; Loss by component'!G14-'2.1 Profit &amp; Loss by component'!G15</f>
        <v>741621697.80820072</v>
      </c>
      <c r="J23" s="114">
        <f>'2.1 Profit &amp; Loss by component'!H18-'2.1 Profit &amp; Loss by component'!H14-'2.1 Profit &amp; Loss by component'!H15</f>
        <v>0</v>
      </c>
      <c r="K23" s="114">
        <f>SUM(K13:K22)</f>
        <v>741621697.80820072</v>
      </c>
      <c r="L23" s="191"/>
      <c r="M23" s="191"/>
    </row>
    <row r="24" spans="2:13" x14ac:dyDescent="0.2">
      <c r="B24" s="188"/>
      <c r="C24" s="255" t="s">
        <v>167</v>
      </c>
      <c r="D24" s="111"/>
      <c r="E24" s="111"/>
      <c r="F24" s="111"/>
      <c r="G24" s="111"/>
      <c r="H24" s="111"/>
      <c r="I24" s="111"/>
      <c r="J24" s="111"/>
      <c r="K24" s="111"/>
      <c r="L24" s="191"/>
      <c r="M24" s="191"/>
    </row>
    <row r="25" spans="2:13" x14ac:dyDescent="0.2">
      <c r="B25" s="327" t="s">
        <v>507</v>
      </c>
      <c r="C25" s="112" t="s">
        <v>78</v>
      </c>
      <c r="D25" s="72">
        <v>0</v>
      </c>
      <c r="E25" s="256">
        <f t="shared" ref="E25:F34" si="6">$D25*E$35</f>
        <v>0</v>
      </c>
      <c r="F25" s="256">
        <f t="shared" si="6"/>
        <v>0</v>
      </c>
      <c r="G25" s="113">
        <f t="shared" ref="G25:G34" si="7">SUM(E25:F25)</f>
        <v>0</v>
      </c>
      <c r="H25" s="72">
        <v>0</v>
      </c>
      <c r="I25" s="256">
        <f t="shared" ref="I25:I34" si="8">H25*$I$35</f>
        <v>0</v>
      </c>
      <c r="J25" s="256">
        <f t="shared" ref="J25:J34" si="9">H25*$J$35</f>
        <v>0</v>
      </c>
      <c r="K25" s="113">
        <f t="shared" ref="K25:K34" si="10">SUM(I25:J25)</f>
        <v>0</v>
      </c>
      <c r="L25" s="191"/>
      <c r="M25" s="191"/>
    </row>
    <row r="26" spans="2:13" x14ac:dyDescent="0.2">
      <c r="B26" s="327" t="s">
        <v>507</v>
      </c>
      <c r="C26" s="112" t="s">
        <v>80</v>
      </c>
      <c r="D26" s="72">
        <v>0</v>
      </c>
      <c r="E26" s="256">
        <f t="shared" si="6"/>
        <v>0</v>
      </c>
      <c r="F26" s="256">
        <f t="shared" si="6"/>
        <v>0</v>
      </c>
      <c r="G26" s="113">
        <f t="shared" si="7"/>
        <v>0</v>
      </c>
      <c r="H26" s="72">
        <v>0</v>
      </c>
      <c r="I26" s="256">
        <f t="shared" si="8"/>
        <v>0</v>
      </c>
      <c r="J26" s="256">
        <f t="shared" si="9"/>
        <v>0</v>
      </c>
      <c r="K26" s="113">
        <f t="shared" si="10"/>
        <v>0</v>
      </c>
      <c r="L26" s="191"/>
      <c r="M26" s="191"/>
    </row>
    <row r="27" spans="2:13" x14ac:dyDescent="0.2">
      <c r="B27" s="327" t="s">
        <v>507</v>
      </c>
      <c r="C27" s="112" t="s">
        <v>81</v>
      </c>
      <c r="D27" s="72">
        <v>0</v>
      </c>
      <c r="E27" s="256">
        <f t="shared" si="6"/>
        <v>0</v>
      </c>
      <c r="F27" s="256">
        <f t="shared" si="6"/>
        <v>0</v>
      </c>
      <c r="G27" s="113">
        <f t="shared" si="7"/>
        <v>0</v>
      </c>
      <c r="H27" s="72">
        <v>0</v>
      </c>
      <c r="I27" s="256">
        <f t="shared" si="8"/>
        <v>0</v>
      </c>
      <c r="J27" s="256">
        <f t="shared" si="9"/>
        <v>0</v>
      </c>
      <c r="K27" s="113">
        <f t="shared" si="10"/>
        <v>0</v>
      </c>
      <c r="L27" s="191"/>
      <c r="M27" s="191"/>
    </row>
    <row r="28" spans="2:13" ht="12.75" customHeight="1" x14ac:dyDescent="0.2">
      <c r="B28" s="327" t="s">
        <v>507</v>
      </c>
      <c r="C28" s="112" t="s">
        <v>82</v>
      </c>
      <c r="D28" s="72">
        <v>0</v>
      </c>
      <c r="E28" s="256">
        <f t="shared" si="6"/>
        <v>0</v>
      </c>
      <c r="F28" s="256">
        <f t="shared" si="6"/>
        <v>0</v>
      </c>
      <c r="G28" s="113">
        <f t="shared" si="7"/>
        <v>0</v>
      </c>
      <c r="H28" s="72">
        <v>0</v>
      </c>
      <c r="I28" s="256">
        <f t="shared" si="8"/>
        <v>0</v>
      </c>
      <c r="J28" s="256">
        <f t="shared" si="9"/>
        <v>0</v>
      </c>
      <c r="K28" s="113">
        <f t="shared" si="10"/>
        <v>0</v>
      </c>
      <c r="L28" s="191"/>
      <c r="M28" s="191"/>
    </row>
    <row r="29" spans="2:13" ht="12.75" customHeight="1" x14ac:dyDescent="0.2">
      <c r="B29" s="327" t="s">
        <v>507</v>
      </c>
      <c r="C29" s="194" t="s">
        <v>83</v>
      </c>
      <c r="D29" s="72">
        <v>0</v>
      </c>
      <c r="E29" s="256">
        <f t="shared" si="6"/>
        <v>0</v>
      </c>
      <c r="F29" s="256">
        <f t="shared" si="6"/>
        <v>0</v>
      </c>
      <c r="G29" s="113">
        <f t="shared" si="7"/>
        <v>0</v>
      </c>
      <c r="H29" s="72">
        <v>0</v>
      </c>
      <c r="I29" s="256">
        <f t="shared" si="8"/>
        <v>0</v>
      </c>
      <c r="J29" s="256">
        <f t="shared" si="9"/>
        <v>0</v>
      </c>
      <c r="K29" s="113">
        <f t="shared" si="10"/>
        <v>0</v>
      </c>
      <c r="L29" s="191"/>
      <c r="M29" s="191"/>
    </row>
    <row r="30" spans="2:13" x14ac:dyDescent="0.2">
      <c r="B30" s="327" t="s">
        <v>507</v>
      </c>
      <c r="C30" s="112" t="s">
        <v>84</v>
      </c>
      <c r="D30" s="72">
        <v>0</v>
      </c>
      <c r="E30" s="256">
        <f t="shared" si="6"/>
        <v>0</v>
      </c>
      <c r="F30" s="256">
        <f t="shared" si="6"/>
        <v>0</v>
      </c>
      <c r="G30" s="113">
        <f t="shared" si="7"/>
        <v>0</v>
      </c>
      <c r="H30" s="72">
        <v>0</v>
      </c>
      <c r="I30" s="256">
        <f t="shared" si="8"/>
        <v>0</v>
      </c>
      <c r="J30" s="256">
        <f t="shared" si="9"/>
        <v>0</v>
      </c>
      <c r="K30" s="113">
        <f t="shared" si="10"/>
        <v>0</v>
      </c>
      <c r="L30" s="191"/>
      <c r="M30" s="191"/>
    </row>
    <row r="31" spans="2:13" x14ac:dyDescent="0.2">
      <c r="B31" s="327" t="s">
        <v>507</v>
      </c>
      <c r="C31" s="112" t="s">
        <v>85</v>
      </c>
      <c r="D31" s="72">
        <v>0</v>
      </c>
      <c r="E31" s="256">
        <f t="shared" si="6"/>
        <v>0</v>
      </c>
      <c r="F31" s="256">
        <f t="shared" si="6"/>
        <v>0</v>
      </c>
      <c r="G31" s="113">
        <f t="shared" si="7"/>
        <v>0</v>
      </c>
      <c r="H31" s="72">
        <v>0</v>
      </c>
      <c r="I31" s="256">
        <f t="shared" si="8"/>
        <v>0</v>
      </c>
      <c r="J31" s="256">
        <f t="shared" si="9"/>
        <v>0</v>
      </c>
      <c r="K31" s="113">
        <f t="shared" si="10"/>
        <v>0</v>
      </c>
      <c r="L31" s="191"/>
      <c r="M31" s="191"/>
    </row>
    <row r="32" spans="2:13" x14ac:dyDescent="0.2">
      <c r="B32" s="327" t="s">
        <v>507</v>
      </c>
      <c r="C32" s="112" t="s">
        <v>86</v>
      </c>
      <c r="D32" s="72">
        <v>0</v>
      </c>
      <c r="E32" s="256">
        <f t="shared" si="6"/>
        <v>0</v>
      </c>
      <c r="F32" s="256">
        <f t="shared" si="6"/>
        <v>0</v>
      </c>
      <c r="G32" s="113">
        <f t="shared" si="7"/>
        <v>0</v>
      </c>
      <c r="H32" s="72">
        <v>0</v>
      </c>
      <c r="I32" s="256">
        <f t="shared" si="8"/>
        <v>0</v>
      </c>
      <c r="J32" s="256">
        <f t="shared" si="9"/>
        <v>0</v>
      </c>
      <c r="K32" s="113">
        <f t="shared" si="10"/>
        <v>0</v>
      </c>
      <c r="L32" s="191"/>
      <c r="M32" s="191"/>
    </row>
    <row r="33" spans="2:13" x14ac:dyDescent="0.2">
      <c r="B33" s="327" t="s">
        <v>507</v>
      </c>
      <c r="C33" s="112" t="s">
        <v>88</v>
      </c>
      <c r="D33" s="72">
        <v>0</v>
      </c>
      <c r="E33" s="256">
        <f t="shared" si="6"/>
        <v>0</v>
      </c>
      <c r="F33" s="256">
        <f t="shared" si="6"/>
        <v>0</v>
      </c>
      <c r="G33" s="113">
        <f t="shared" si="7"/>
        <v>0</v>
      </c>
      <c r="H33" s="72">
        <v>0</v>
      </c>
      <c r="I33" s="256">
        <f t="shared" si="8"/>
        <v>0</v>
      </c>
      <c r="J33" s="256">
        <f t="shared" si="9"/>
        <v>0</v>
      </c>
      <c r="K33" s="113">
        <f t="shared" si="10"/>
        <v>0</v>
      </c>
      <c r="L33" s="191"/>
      <c r="M33" s="191"/>
    </row>
    <row r="34" spans="2:13" x14ac:dyDescent="0.2">
      <c r="B34" s="327" t="s">
        <v>507</v>
      </c>
      <c r="C34" s="112" t="s">
        <v>90</v>
      </c>
      <c r="D34" s="72">
        <v>0</v>
      </c>
      <c r="E34" s="256">
        <f t="shared" si="6"/>
        <v>0</v>
      </c>
      <c r="F34" s="256">
        <f t="shared" si="6"/>
        <v>0</v>
      </c>
      <c r="G34" s="113">
        <f t="shared" si="7"/>
        <v>0</v>
      </c>
      <c r="H34" s="72">
        <v>0</v>
      </c>
      <c r="I34" s="256">
        <f t="shared" si="8"/>
        <v>0</v>
      </c>
      <c r="J34" s="256">
        <f t="shared" si="9"/>
        <v>0</v>
      </c>
      <c r="K34" s="113">
        <f t="shared" si="10"/>
        <v>0</v>
      </c>
      <c r="L34" s="191"/>
      <c r="M34" s="191"/>
    </row>
    <row r="35" spans="2:13" x14ac:dyDescent="0.2">
      <c r="B35" s="281"/>
      <c r="C35" s="186" t="s">
        <v>168</v>
      </c>
      <c r="D35" s="118">
        <f>SUM(D25:D34)</f>
        <v>0</v>
      </c>
      <c r="E35" s="114">
        <f>'2.1 Profit &amp; Loss by component'!D14+'2.1 Profit &amp; Loss by component'!D15</f>
        <v>0</v>
      </c>
      <c r="F35" s="114">
        <f>'2.1 Profit &amp; Loss by component'!E14+'2.1 Profit &amp; Loss by component'!E15</f>
        <v>0</v>
      </c>
      <c r="G35" s="114">
        <f>SUM(G25:G34)</f>
        <v>0</v>
      </c>
      <c r="H35" s="118">
        <f>SUM(H25:H34)</f>
        <v>0</v>
      </c>
      <c r="I35" s="114">
        <f>'2.1 Profit &amp; Loss by component'!G14+'2.1 Profit &amp; Loss by component'!G15</f>
        <v>0</v>
      </c>
      <c r="J35" s="114">
        <f>'2.1 Profit &amp; Loss by component'!H14</f>
        <v>0</v>
      </c>
      <c r="K35" s="114">
        <f>SUM(K25:K34)</f>
        <v>0</v>
      </c>
      <c r="L35" s="191"/>
      <c r="M35" s="191"/>
    </row>
    <row r="36" spans="2:13" x14ac:dyDescent="0.2">
      <c r="B36" s="188"/>
      <c r="C36" s="255" t="s">
        <v>58</v>
      </c>
      <c r="D36" s="111"/>
      <c r="E36" s="111"/>
      <c r="F36" s="111"/>
      <c r="G36" s="111"/>
      <c r="H36" s="111"/>
      <c r="I36" s="111"/>
      <c r="J36" s="111"/>
      <c r="K36" s="111"/>
      <c r="L36" s="191"/>
      <c r="M36" s="191"/>
    </row>
    <row r="37" spans="2:13" x14ac:dyDescent="0.2">
      <c r="B37" s="327" t="s">
        <v>507</v>
      </c>
      <c r="C37" s="112" t="s">
        <v>78</v>
      </c>
      <c r="D37" s="72">
        <v>0</v>
      </c>
      <c r="E37" s="256">
        <f>$D37*'2.4 Indirect revenue'!$G$42</f>
        <v>0</v>
      </c>
      <c r="F37" s="256">
        <f>$D37*'2.4 Indirect revenue'!$H$42</f>
        <v>0</v>
      </c>
      <c r="G37" s="113">
        <f t="shared" ref="G37:G46" si="11">SUM(E37:F37)</f>
        <v>0</v>
      </c>
      <c r="H37" s="72">
        <v>0</v>
      </c>
      <c r="I37" s="256">
        <f t="shared" ref="I37:I46" si="12">H37*$I$47</f>
        <v>0</v>
      </c>
      <c r="J37" s="256">
        <f t="shared" ref="J37:J46" si="13">H37*$J$47</f>
        <v>0</v>
      </c>
      <c r="K37" s="113">
        <f t="shared" ref="K37:K46" si="14">SUM(I37:J37)</f>
        <v>0</v>
      </c>
      <c r="L37" s="191"/>
      <c r="M37" s="191"/>
    </row>
    <row r="38" spans="2:13" x14ac:dyDescent="0.2">
      <c r="B38" s="327" t="s">
        <v>507</v>
      </c>
      <c r="C38" s="112" t="s">
        <v>80</v>
      </c>
      <c r="D38" s="72">
        <v>0</v>
      </c>
      <c r="E38" s="256">
        <f>$D38*'2.4 Indirect revenue'!$G$42</f>
        <v>0</v>
      </c>
      <c r="F38" s="256">
        <f>$D38*'2.4 Indirect revenue'!$H$42</f>
        <v>0</v>
      </c>
      <c r="G38" s="113">
        <f t="shared" si="11"/>
        <v>0</v>
      </c>
      <c r="H38" s="72">
        <v>0</v>
      </c>
      <c r="I38" s="256">
        <f t="shared" si="12"/>
        <v>0</v>
      </c>
      <c r="J38" s="256">
        <f t="shared" si="13"/>
        <v>0</v>
      </c>
      <c r="K38" s="113">
        <f t="shared" si="14"/>
        <v>0</v>
      </c>
      <c r="L38" s="191"/>
      <c r="M38" s="191"/>
    </row>
    <row r="39" spans="2:13" x14ac:dyDescent="0.2">
      <c r="B39" s="327" t="s">
        <v>507</v>
      </c>
      <c r="C39" s="112" t="s">
        <v>81</v>
      </c>
      <c r="D39" s="72">
        <v>0</v>
      </c>
      <c r="E39" s="256">
        <f>$D39*'2.4 Indirect revenue'!$G$42</f>
        <v>0</v>
      </c>
      <c r="F39" s="256">
        <f>$D39*'2.4 Indirect revenue'!$H$42</f>
        <v>0</v>
      </c>
      <c r="G39" s="113">
        <f t="shared" si="11"/>
        <v>0</v>
      </c>
      <c r="H39" s="72">
        <v>0</v>
      </c>
      <c r="I39" s="256">
        <f t="shared" si="12"/>
        <v>0</v>
      </c>
      <c r="J39" s="256">
        <f t="shared" si="13"/>
        <v>0</v>
      </c>
      <c r="K39" s="113">
        <f t="shared" si="14"/>
        <v>0</v>
      </c>
      <c r="L39" s="191"/>
      <c r="M39" s="191"/>
    </row>
    <row r="40" spans="2:13" x14ac:dyDescent="0.2">
      <c r="B40" s="327" t="s">
        <v>507</v>
      </c>
      <c r="C40" s="112" t="s">
        <v>82</v>
      </c>
      <c r="D40" s="72">
        <v>0</v>
      </c>
      <c r="E40" s="256">
        <f>$D40*'2.4 Indirect revenue'!$G$42</f>
        <v>0</v>
      </c>
      <c r="F40" s="256">
        <f>$D40*'2.4 Indirect revenue'!$H$42</f>
        <v>0</v>
      </c>
      <c r="G40" s="113">
        <f t="shared" si="11"/>
        <v>0</v>
      </c>
      <c r="H40" s="72">
        <v>0</v>
      </c>
      <c r="I40" s="256">
        <f t="shared" si="12"/>
        <v>0</v>
      </c>
      <c r="J40" s="256">
        <f t="shared" si="13"/>
        <v>0</v>
      </c>
      <c r="K40" s="113">
        <f t="shared" si="14"/>
        <v>0</v>
      </c>
      <c r="L40" s="191"/>
      <c r="M40" s="191"/>
    </row>
    <row r="41" spans="2:13" x14ac:dyDescent="0.2">
      <c r="B41" s="327" t="s">
        <v>507</v>
      </c>
      <c r="C41" s="194" t="s">
        <v>83</v>
      </c>
      <c r="D41" s="72">
        <v>0</v>
      </c>
      <c r="E41" s="256">
        <f>$D41*'2.4 Indirect revenue'!$G$42</f>
        <v>0</v>
      </c>
      <c r="F41" s="256">
        <f>$D41*'2.4 Indirect revenue'!$H$42</f>
        <v>0</v>
      </c>
      <c r="G41" s="113">
        <f t="shared" si="11"/>
        <v>0</v>
      </c>
      <c r="H41" s="72">
        <v>0</v>
      </c>
      <c r="I41" s="256">
        <f t="shared" si="12"/>
        <v>0</v>
      </c>
      <c r="J41" s="256">
        <f t="shared" si="13"/>
        <v>0</v>
      </c>
      <c r="K41" s="113">
        <f t="shared" si="14"/>
        <v>0</v>
      </c>
      <c r="L41" s="191"/>
      <c r="M41" s="191"/>
    </row>
    <row r="42" spans="2:13" x14ac:dyDescent="0.2">
      <c r="B42" s="327" t="s">
        <v>507</v>
      </c>
      <c r="C42" s="112" t="s">
        <v>84</v>
      </c>
      <c r="D42" s="72">
        <v>0</v>
      </c>
      <c r="E42" s="256">
        <f>$D42*'2.4 Indirect revenue'!$G$42</f>
        <v>0</v>
      </c>
      <c r="F42" s="256">
        <f>$D42*'2.4 Indirect revenue'!$H$42</f>
        <v>0</v>
      </c>
      <c r="G42" s="113">
        <f t="shared" si="11"/>
        <v>0</v>
      </c>
      <c r="H42" s="72">
        <v>0</v>
      </c>
      <c r="I42" s="256">
        <f t="shared" si="12"/>
        <v>0</v>
      </c>
      <c r="J42" s="256">
        <f t="shared" si="13"/>
        <v>0</v>
      </c>
      <c r="K42" s="113">
        <f t="shared" si="14"/>
        <v>0</v>
      </c>
      <c r="L42" s="191"/>
      <c r="M42" s="191"/>
    </row>
    <row r="43" spans="2:13" x14ac:dyDescent="0.2">
      <c r="B43" s="327" t="s">
        <v>507</v>
      </c>
      <c r="C43" s="112" t="s">
        <v>85</v>
      </c>
      <c r="D43" s="72">
        <v>0</v>
      </c>
      <c r="E43" s="256">
        <f>$D43*'2.4 Indirect revenue'!$G$42</f>
        <v>0</v>
      </c>
      <c r="F43" s="256">
        <f>$D43*'2.4 Indirect revenue'!$H$42</f>
        <v>0</v>
      </c>
      <c r="G43" s="113">
        <f t="shared" si="11"/>
        <v>0</v>
      </c>
      <c r="H43" s="72">
        <v>0</v>
      </c>
      <c r="I43" s="256">
        <f t="shared" si="12"/>
        <v>0</v>
      </c>
      <c r="J43" s="256">
        <f t="shared" si="13"/>
        <v>0</v>
      </c>
      <c r="K43" s="113">
        <f t="shared" si="14"/>
        <v>0</v>
      </c>
      <c r="L43" s="191"/>
      <c r="M43" s="191"/>
    </row>
    <row r="44" spans="2:13" x14ac:dyDescent="0.2">
      <c r="B44" s="327" t="s">
        <v>507</v>
      </c>
      <c r="C44" s="112" t="s">
        <v>86</v>
      </c>
      <c r="D44" s="72">
        <v>0</v>
      </c>
      <c r="E44" s="256">
        <f>$D44*'2.4 Indirect revenue'!$G$42</f>
        <v>0</v>
      </c>
      <c r="F44" s="256">
        <f>$D44*'2.4 Indirect revenue'!$H$42</f>
        <v>0</v>
      </c>
      <c r="G44" s="113">
        <f t="shared" si="11"/>
        <v>0</v>
      </c>
      <c r="H44" s="72">
        <v>0</v>
      </c>
      <c r="I44" s="256">
        <f t="shared" si="12"/>
        <v>0</v>
      </c>
      <c r="J44" s="256">
        <f t="shared" si="13"/>
        <v>0</v>
      </c>
      <c r="K44" s="113">
        <f t="shared" si="14"/>
        <v>0</v>
      </c>
      <c r="L44" s="191"/>
      <c r="M44" s="191"/>
    </row>
    <row r="45" spans="2:13" x14ac:dyDescent="0.2">
      <c r="B45" s="327" t="s">
        <v>507</v>
      </c>
      <c r="C45" s="112" t="s">
        <v>88</v>
      </c>
      <c r="D45" s="72">
        <v>0</v>
      </c>
      <c r="E45" s="256">
        <f>$D45*'2.4 Indirect revenue'!$G$42</f>
        <v>0</v>
      </c>
      <c r="F45" s="256">
        <f>$D45*'2.4 Indirect revenue'!$H$42</f>
        <v>0</v>
      </c>
      <c r="G45" s="113">
        <f t="shared" si="11"/>
        <v>0</v>
      </c>
      <c r="H45" s="72">
        <v>0</v>
      </c>
      <c r="I45" s="256">
        <f t="shared" si="12"/>
        <v>0</v>
      </c>
      <c r="J45" s="256">
        <f t="shared" si="13"/>
        <v>0</v>
      </c>
      <c r="K45" s="113">
        <f t="shared" si="14"/>
        <v>0</v>
      </c>
      <c r="L45" s="191"/>
      <c r="M45" s="191"/>
    </row>
    <row r="46" spans="2:13" x14ac:dyDescent="0.2">
      <c r="B46" s="327" t="s">
        <v>507</v>
      </c>
      <c r="C46" s="112" t="s">
        <v>90</v>
      </c>
      <c r="D46" s="72">
        <v>0</v>
      </c>
      <c r="E46" s="256">
        <f>$D46*'2.4 Indirect revenue'!$G$42</f>
        <v>0</v>
      </c>
      <c r="F46" s="256">
        <f>$D46*'2.4 Indirect revenue'!$H$42</f>
        <v>0</v>
      </c>
      <c r="G46" s="113">
        <f t="shared" si="11"/>
        <v>0</v>
      </c>
      <c r="H46" s="72">
        <v>0</v>
      </c>
      <c r="I46" s="256">
        <f t="shared" si="12"/>
        <v>0</v>
      </c>
      <c r="J46" s="256">
        <f t="shared" si="13"/>
        <v>0</v>
      </c>
      <c r="K46" s="113">
        <f t="shared" si="14"/>
        <v>0</v>
      </c>
      <c r="L46" s="191"/>
      <c r="M46" s="191"/>
    </row>
    <row r="47" spans="2:13" x14ac:dyDescent="0.2">
      <c r="B47" s="281"/>
      <c r="C47" s="186" t="s">
        <v>169</v>
      </c>
      <c r="D47" s="118">
        <f>SUM(D37:D46)</f>
        <v>0</v>
      </c>
      <c r="E47" s="114">
        <f>'2.1 Profit &amp; Loss by component'!D21</f>
        <v>0</v>
      </c>
      <c r="F47" s="114">
        <f>'2.1 Profit &amp; Loss by component'!E21</f>
        <v>0</v>
      </c>
      <c r="G47" s="114">
        <f>SUM(G37:G46)</f>
        <v>0</v>
      </c>
      <c r="H47" s="118">
        <f>SUM(H37:H46)</f>
        <v>0</v>
      </c>
      <c r="I47" s="114">
        <f>'2.1 Profit &amp; Loss by component'!G21</f>
        <v>0</v>
      </c>
      <c r="J47" s="114">
        <f>'2.1 Profit &amp; Loss by component'!H21</f>
        <v>0</v>
      </c>
      <c r="K47" s="114">
        <f>SUM(K37:K46)</f>
        <v>0</v>
      </c>
      <c r="L47" s="191"/>
      <c r="M47" s="191"/>
    </row>
    <row r="48" spans="2:13" ht="14.25" x14ac:dyDescent="0.2">
      <c r="B48" s="281"/>
      <c r="C48" s="186" t="s">
        <v>59</v>
      </c>
      <c r="D48" s="258"/>
      <c r="E48" s="114">
        <f>E47+E35+E23</f>
        <v>766948947.17289662</v>
      </c>
      <c r="F48" s="114">
        <f>F47+F35+F23</f>
        <v>0</v>
      </c>
      <c r="G48" s="114">
        <f>G47+G35+G23</f>
        <v>766948947.17289662</v>
      </c>
      <c r="H48" s="258"/>
      <c r="I48" s="114">
        <f>I47+I35+I23</f>
        <v>741621697.80820072</v>
      </c>
      <c r="J48" s="114">
        <f>J47+J35+J23</f>
        <v>0</v>
      </c>
      <c r="K48" s="114">
        <f>K47+K35+K23</f>
        <v>741621697.80820072</v>
      </c>
      <c r="L48" s="191"/>
      <c r="M48" s="191"/>
    </row>
    <row r="49" spans="2:13" x14ac:dyDescent="0.2">
      <c r="B49" s="191"/>
      <c r="C49" s="191"/>
      <c r="D49" s="191"/>
      <c r="E49" s="191"/>
      <c r="F49" s="191"/>
      <c r="G49" s="191"/>
      <c r="H49" s="191"/>
      <c r="I49" s="191"/>
      <c r="J49" s="191"/>
      <c r="K49" s="191"/>
      <c r="L49" s="191"/>
      <c r="M49" s="191"/>
    </row>
    <row r="50" spans="2:13" ht="15.75" x14ac:dyDescent="0.2">
      <c r="B50" s="244" t="s">
        <v>170</v>
      </c>
      <c r="C50" s="191"/>
      <c r="D50" s="191"/>
      <c r="E50" s="191"/>
      <c r="F50" s="191"/>
      <c r="G50" s="191"/>
      <c r="H50" s="191"/>
      <c r="I50" s="191"/>
      <c r="J50" s="191"/>
      <c r="K50" s="191"/>
      <c r="L50" s="191"/>
      <c r="M50" s="191"/>
    </row>
    <row r="51" spans="2:13" x14ac:dyDescent="0.2">
      <c r="B51" s="245"/>
      <c r="C51" s="246"/>
      <c r="D51" s="247"/>
      <c r="E51" s="247"/>
      <c r="F51" s="247"/>
      <c r="G51" s="247"/>
      <c r="H51" s="247"/>
      <c r="I51" s="247"/>
      <c r="J51" s="247"/>
      <c r="K51" s="247"/>
      <c r="L51" s="191"/>
      <c r="M51" s="191"/>
    </row>
    <row r="52" spans="2:13" x14ac:dyDescent="0.2">
      <c r="B52" s="248"/>
      <c r="C52" s="248"/>
      <c r="D52" s="409" t="s">
        <v>162</v>
      </c>
      <c r="E52" s="410"/>
      <c r="F52" s="410"/>
      <c r="G52" s="411"/>
      <c r="H52" s="409" t="s">
        <v>124</v>
      </c>
      <c r="I52" s="410"/>
      <c r="J52" s="410"/>
      <c r="K52" s="411"/>
      <c r="L52" s="191"/>
      <c r="M52" s="191"/>
    </row>
    <row r="53" spans="2:13" ht="38.25" x14ac:dyDescent="0.2">
      <c r="B53" s="44" t="s">
        <v>113</v>
      </c>
      <c r="C53" s="248" t="s">
        <v>114</v>
      </c>
      <c r="D53" s="301" t="s">
        <v>163</v>
      </c>
      <c r="E53" s="301" t="s">
        <v>125</v>
      </c>
      <c r="F53" s="301" t="s">
        <v>126</v>
      </c>
      <c r="G53" s="301" t="s">
        <v>56</v>
      </c>
      <c r="H53" s="301" t="s">
        <v>163</v>
      </c>
      <c r="I53" s="301" t="s">
        <v>125</v>
      </c>
      <c r="J53" s="301" t="s">
        <v>126</v>
      </c>
      <c r="K53" s="301" t="s">
        <v>56</v>
      </c>
      <c r="L53" s="191"/>
      <c r="M53" s="191"/>
    </row>
    <row r="54" spans="2:13" x14ac:dyDescent="0.2">
      <c r="B54" s="44"/>
      <c r="C54" s="248"/>
      <c r="D54" s="111" t="s">
        <v>164</v>
      </c>
      <c r="E54" s="111" t="s">
        <v>116</v>
      </c>
      <c r="F54" s="111" t="s">
        <v>116</v>
      </c>
      <c r="G54" s="111" t="s">
        <v>116</v>
      </c>
      <c r="H54" s="111" t="s">
        <v>164</v>
      </c>
      <c r="I54" s="111" t="s">
        <v>116</v>
      </c>
      <c r="J54" s="111" t="s">
        <v>116</v>
      </c>
      <c r="K54" s="111" t="s">
        <v>116</v>
      </c>
      <c r="L54" s="191"/>
      <c r="M54" s="191"/>
    </row>
    <row r="55" spans="2:13" x14ac:dyDescent="0.2">
      <c r="B55" s="188"/>
      <c r="C55" s="255" t="s">
        <v>171</v>
      </c>
      <c r="D55" s="111"/>
      <c r="E55" s="111"/>
      <c r="F55" s="111"/>
      <c r="G55" s="111"/>
      <c r="H55" s="111"/>
      <c r="I55" s="111"/>
      <c r="J55" s="111"/>
      <c r="K55" s="111"/>
      <c r="L55" s="191"/>
      <c r="M55" s="191"/>
    </row>
    <row r="56" spans="2:13" x14ac:dyDescent="0.2">
      <c r="B56" s="327" t="s">
        <v>507</v>
      </c>
      <c r="C56" s="112" t="s">
        <v>78</v>
      </c>
      <c r="D56" s="72">
        <v>0.99999986961287068</v>
      </c>
      <c r="E56" s="256">
        <f t="shared" ref="E56:E65" si="15">D56*$E$66</f>
        <v>188880488.84241208</v>
      </c>
      <c r="F56" s="256">
        <f t="shared" ref="F56:F65" si="16">D56*$F$66</f>
        <v>0</v>
      </c>
      <c r="G56" s="113">
        <f t="shared" ref="G56:G65" si="17">SUM(E56:F56)</f>
        <v>188880488.84241208</v>
      </c>
      <c r="H56" s="72">
        <v>0.99999986516033823</v>
      </c>
      <c r="I56" s="256">
        <f t="shared" ref="I56:I65" si="18">H56*$I$66</f>
        <v>193505820.85739258</v>
      </c>
      <c r="J56" s="256">
        <f t="shared" ref="J56:J65" si="19">H56*$J$66</f>
        <v>0</v>
      </c>
      <c r="K56" s="113">
        <f t="shared" ref="K56:K65" si="20">SUM(I56:J56)</f>
        <v>193505820.85739258</v>
      </c>
      <c r="L56" s="191"/>
      <c r="M56" s="191"/>
    </row>
    <row r="57" spans="2:13" x14ac:dyDescent="0.2">
      <c r="B57" s="327" t="s">
        <v>507</v>
      </c>
      <c r="C57" s="112" t="s">
        <v>80</v>
      </c>
      <c r="D57" s="72">
        <v>0</v>
      </c>
      <c r="E57" s="256">
        <f t="shared" si="15"/>
        <v>0</v>
      </c>
      <c r="F57" s="256">
        <f t="shared" si="16"/>
        <v>0</v>
      </c>
      <c r="G57" s="113">
        <f t="shared" si="17"/>
        <v>0</v>
      </c>
      <c r="H57" s="72">
        <v>0</v>
      </c>
      <c r="I57" s="256">
        <f t="shared" si="18"/>
        <v>0</v>
      </c>
      <c r="J57" s="256">
        <f t="shared" si="19"/>
        <v>0</v>
      </c>
      <c r="K57" s="113">
        <f t="shared" si="20"/>
        <v>0</v>
      </c>
      <c r="L57" s="191"/>
      <c r="M57" s="191"/>
    </row>
    <row r="58" spans="2:13" x14ac:dyDescent="0.2">
      <c r="B58" s="327" t="s">
        <v>507</v>
      </c>
      <c r="C58" s="112" t="s">
        <v>81</v>
      </c>
      <c r="D58" s="72">
        <v>0</v>
      </c>
      <c r="E58" s="256">
        <f t="shared" si="15"/>
        <v>0</v>
      </c>
      <c r="F58" s="256">
        <f t="shared" si="16"/>
        <v>0</v>
      </c>
      <c r="G58" s="113">
        <f t="shared" si="17"/>
        <v>0</v>
      </c>
      <c r="H58" s="72">
        <v>0</v>
      </c>
      <c r="I58" s="256">
        <f t="shared" si="18"/>
        <v>0</v>
      </c>
      <c r="J58" s="256">
        <f t="shared" si="19"/>
        <v>0</v>
      </c>
      <c r="K58" s="113">
        <f t="shared" si="20"/>
        <v>0</v>
      </c>
      <c r="L58" s="191"/>
      <c r="M58" s="191"/>
    </row>
    <row r="59" spans="2:13" x14ac:dyDescent="0.2">
      <c r="B59" s="327" t="s">
        <v>507</v>
      </c>
      <c r="C59" s="112" t="s">
        <v>82</v>
      </c>
      <c r="D59" s="72">
        <v>0</v>
      </c>
      <c r="E59" s="256">
        <f t="shared" si="15"/>
        <v>0</v>
      </c>
      <c r="F59" s="256">
        <f t="shared" si="16"/>
        <v>0</v>
      </c>
      <c r="G59" s="113">
        <f t="shared" si="17"/>
        <v>0</v>
      </c>
      <c r="H59" s="72">
        <v>0</v>
      </c>
      <c r="I59" s="256">
        <f t="shared" si="18"/>
        <v>0</v>
      </c>
      <c r="J59" s="256">
        <f t="shared" si="19"/>
        <v>0</v>
      </c>
      <c r="K59" s="113">
        <f t="shared" si="20"/>
        <v>0</v>
      </c>
      <c r="L59" s="191"/>
      <c r="M59" s="191"/>
    </row>
    <row r="60" spans="2:13" x14ac:dyDescent="0.2">
      <c r="B60" s="327" t="s">
        <v>507</v>
      </c>
      <c r="C60" s="194" t="s">
        <v>83</v>
      </c>
      <c r="D60" s="72">
        <v>0</v>
      </c>
      <c r="E60" s="256">
        <f t="shared" si="15"/>
        <v>0</v>
      </c>
      <c r="F60" s="256">
        <f t="shared" si="16"/>
        <v>0</v>
      </c>
      <c r="G60" s="113">
        <f t="shared" si="17"/>
        <v>0</v>
      </c>
      <c r="H60" s="72">
        <v>0</v>
      </c>
      <c r="I60" s="256">
        <f t="shared" si="18"/>
        <v>0</v>
      </c>
      <c r="J60" s="256">
        <f t="shared" si="19"/>
        <v>0</v>
      </c>
      <c r="K60" s="113">
        <f t="shared" si="20"/>
        <v>0</v>
      </c>
      <c r="L60" s="191"/>
      <c r="M60" s="191"/>
    </row>
    <row r="61" spans="2:13" x14ac:dyDescent="0.2">
      <c r="B61" s="327" t="s">
        <v>507</v>
      </c>
      <c r="C61" s="112" t="s">
        <v>84</v>
      </c>
      <c r="D61" s="72">
        <v>1.3038712932781931E-7</v>
      </c>
      <c r="E61" s="256">
        <f t="shared" si="15"/>
        <v>24.627587937317809</v>
      </c>
      <c r="F61" s="256">
        <f t="shared" si="16"/>
        <v>0</v>
      </c>
      <c r="G61" s="113">
        <f t="shared" si="17"/>
        <v>24.627587937317809</v>
      </c>
      <c r="H61" s="72">
        <v>1.3483966175328559E-7</v>
      </c>
      <c r="I61" s="256">
        <f t="shared" si="18"/>
        <v>26.0922629499746</v>
      </c>
      <c r="J61" s="256">
        <f t="shared" si="19"/>
        <v>0</v>
      </c>
      <c r="K61" s="113">
        <f t="shared" si="20"/>
        <v>26.0922629499746</v>
      </c>
      <c r="L61" s="191"/>
      <c r="M61" s="191"/>
    </row>
    <row r="62" spans="2:13" x14ac:dyDescent="0.2">
      <c r="B62" s="327" t="s">
        <v>507</v>
      </c>
      <c r="C62" s="112" t="s">
        <v>85</v>
      </c>
      <c r="D62" s="72">
        <v>0</v>
      </c>
      <c r="E62" s="256">
        <f t="shared" si="15"/>
        <v>0</v>
      </c>
      <c r="F62" s="256">
        <f t="shared" si="16"/>
        <v>0</v>
      </c>
      <c r="G62" s="113">
        <f t="shared" si="17"/>
        <v>0</v>
      </c>
      <c r="H62" s="72">
        <v>0</v>
      </c>
      <c r="I62" s="256">
        <f t="shared" si="18"/>
        <v>0</v>
      </c>
      <c r="J62" s="256">
        <f t="shared" si="19"/>
        <v>0</v>
      </c>
      <c r="K62" s="113">
        <f t="shared" si="20"/>
        <v>0</v>
      </c>
      <c r="L62" s="191"/>
      <c r="M62" s="191"/>
    </row>
    <row r="63" spans="2:13" x14ac:dyDescent="0.2">
      <c r="B63" s="327" t="s">
        <v>507</v>
      </c>
      <c r="C63" s="112" t="s">
        <v>86</v>
      </c>
      <c r="D63" s="72">
        <v>0</v>
      </c>
      <c r="E63" s="256">
        <f t="shared" si="15"/>
        <v>0</v>
      </c>
      <c r="F63" s="256">
        <f t="shared" si="16"/>
        <v>0</v>
      </c>
      <c r="G63" s="113">
        <f t="shared" si="17"/>
        <v>0</v>
      </c>
      <c r="H63" s="72">
        <v>0</v>
      </c>
      <c r="I63" s="256">
        <f t="shared" si="18"/>
        <v>0</v>
      </c>
      <c r="J63" s="256">
        <f t="shared" si="19"/>
        <v>0</v>
      </c>
      <c r="K63" s="113">
        <f t="shared" si="20"/>
        <v>0</v>
      </c>
      <c r="L63" s="191"/>
      <c r="M63" s="191"/>
    </row>
    <row r="64" spans="2:13" x14ac:dyDescent="0.2">
      <c r="B64" s="327" t="s">
        <v>507</v>
      </c>
      <c r="C64" s="112" t="s">
        <v>88</v>
      </c>
      <c r="D64" s="72">
        <v>0</v>
      </c>
      <c r="E64" s="256">
        <f t="shared" si="15"/>
        <v>0</v>
      </c>
      <c r="F64" s="256">
        <f t="shared" si="16"/>
        <v>0</v>
      </c>
      <c r="G64" s="113">
        <f t="shared" si="17"/>
        <v>0</v>
      </c>
      <c r="H64" s="72">
        <v>0</v>
      </c>
      <c r="I64" s="256">
        <f t="shared" si="18"/>
        <v>0</v>
      </c>
      <c r="J64" s="256">
        <f t="shared" si="19"/>
        <v>0</v>
      </c>
      <c r="K64" s="113">
        <f t="shared" si="20"/>
        <v>0</v>
      </c>
      <c r="L64" s="191"/>
      <c r="M64" s="191"/>
    </row>
    <row r="65" spans="2:13" x14ac:dyDescent="0.2">
      <c r="B65" s="327" t="s">
        <v>507</v>
      </c>
      <c r="C65" s="112" t="s">
        <v>90</v>
      </c>
      <c r="D65" s="72">
        <v>0</v>
      </c>
      <c r="E65" s="256">
        <f t="shared" si="15"/>
        <v>0</v>
      </c>
      <c r="F65" s="256">
        <f t="shared" si="16"/>
        <v>0</v>
      </c>
      <c r="G65" s="113">
        <f t="shared" si="17"/>
        <v>0</v>
      </c>
      <c r="H65" s="72">
        <v>0</v>
      </c>
      <c r="I65" s="256">
        <f t="shared" si="18"/>
        <v>0</v>
      </c>
      <c r="J65" s="256">
        <f t="shared" si="19"/>
        <v>0</v>
      </c>
      <c r="K65" s="113">
        <f t="shared" si="20"/>
        <v>0</v>
      </c>
      <c r="L65" s="191"/>
      <c r="M65" s="191"/>
    </row>
    <row r="66" spans="2:13" x14ac:dyDescent="0.2">
      <c r="B66" s="281"/>
      <c r="C66" s="186" t="s">
        <v>172</v>
      </c>
      <c r="D66" s="118">
        <f>SUM(D56:D65)</f>
        <v>1</v>
      </c>
      <c r="E66" s="114">
        <f>'2.1 Profit &amp; Loss by component'!D32-'2.1 Profit &amp; Loss by component'!D26</f>
        <v>188880513.47000003</v>
      </c>
      <c r="F66" s="114">
        <f>'2.1 Profit &amp; Loss by component'!E32-'2.1 Profit &amp; Loss by component'!E26</f>
        <v>0</v>
      </c>
      <c r="G66" s="114">
        <f>SUM(G56:G65)</f>
        <v>188880513.47000003</v>
      </c>
      <c r="H66" s="118">
        <f>SUM(H56:H65)</f>
        <v>1</v>
      </c>
      <c r="I66" s="114">
        <f>'2.1 Profit &amp; Loss by component'!G32-'2.1 Profit &amp; Loss by component'!G26</f>
        <v>193505846.94965553</v>
      </c>
      <c r="J66" s="114">
        <f>'2.1 Profit &amp; Loss by component'!H32-'2.1 Profit &amp; Loss by component'!H26</f>
        <v>0</v>
      </c>
      <c r="K66" s="114">
        <f>SUM(K56:K65)</f>
        <v>193505846.94965553</v>
      </c>
      <c r="L66" s="191"/>
      <c r="M66" s="191"/>
    </row>
    <row r="67" spans="2:13" x14ac:dyDescent="0.2">
      <c r="B67" s="188"/>
      <c r="C67" s="255" t="s">
        <v>173</v>
      </c>
      <c r="D67" s="111"/>
      <c r="E67" s="111"/>
      <c r="F67" s="111"/>
      <c r="G67" s="111"/>
      <c r="H67" s="111"/>
      <c r="I67" s="111"/>
      <c r="J67" s="111"/>
      <c r="K67" s="111"/>
      <c r="L67" s="191"/>
      <c r="M67" s="191"/>
    </row>
    <row r="68" spans="2:13" x14ac:dyDescent="0.2">
      <c r="B68" s="327" t="s">
        <v>507</v>
      </c>
      <c r="C68" s="112" t="s">
        <v>78</v>
      </c>
      <c r="D68" s="72">
        <v>0.99999986961287068</v>
      </c>
      <c r="E68" s="256">
        <f t="shared" ref="E68:E77" si="21">D68*$E$78</f>
        <v>132844842.93994002</v>
      </c>
      <c r="F68" s="256">
        <f t="shared" ref="F68:F77" si="22">D68*$F$78</f>
        <v>0</v>
      </c>
      <c r="G68" s="113">
        <f t="shared" ref="G68:G77" si="23">SUM(E68:F68)</f>
        <v>132844842.93994002</v>
      </c>
      <c r="H68" s="72">
        <v>0.99999986516033823</v>
      </c>
      <c r="I68" s="256">
        <f t="shared" ref="I68:I77" si="24">H68*$I$78</f>
        <v>131554955.67733431</v>
      </c>
      <c r="J68" s="256">
        <f t="shared" ref="J68:J77" si="25">H68*$J$78</f>
        <v>0</v>
      </c>
      <c r="K68" s="113">
        <f t="shared" ref="K68:K77" si="26">SUM(I68:J68)</f>
        <v>131554955.67733431</v>
      </c>
      <c r="L68" s="191"/>
      <c r="M68" s="191"/>
    </row>
    <row r="69" spans="2:13" x14ac:dyDescent="0.2">
      <c r="B69" s="327" t="s">
        <v>507</v>
      </c>
      <c r="C69" s="112" t="s">
        <v>80</v>
      </c>
      <c r="D69" s="72">
        <v>0</v>
      </c>
      <c r="E69" s="256">
        <f t="shared" si="21"/>
        <v>0</v>
      </c>
      <c r="F69" s="256">
        <f t="shared" si="22"/>
        <v>0</v>
      </c>
      <c r="G69" s="113">
        <f t="shared" si="23"/>
        <v>0</v>
      </c>
      <c r="H69" s="72">
        <v>0</v>
      </c>
      <c r="I69" s="256">
        <f t="shared" si="24"/>
        <v>0</v>
      </c>
      <c r="J69" s="256">
        <f t="shared" si="25"/>
        <v>0</v>
      </c>
      <c r="K69" s="113">
        <f t="shared" si="26"/>
        <v>0</v>
      </c>
      <c r="L69" s="191"/>
      <c r="M69" s="191"/>
    </row>
    <row r="70" spans="2:13" x14ac:dyDescent="0.2">
      <c r="B70" s="327" t="s">
        <v>507</v>
      </c>
      <c r="C70" s="112" t="s">
        <v>81</v>
      </c>
      <c r="D70" s="72">
        <v>0</v>
      </c>
      <c r="E70" s="256">
        <f t="shared" si="21"/>
        <v>0</v>
      </c>
      <c r="F70" s="256">
        <f t="shared" si="22"/>
        <v>0</v>
      </c>
      <c r="G70" s="113">
        <f t="shared" si="23"/>
        <v>0</v>
      </c>
      <c r="H70" s="72">
        <v>0</v>
      </c>
      <c r="I70" s="256">
        <f t="shared" si="24"/>
        <v>0</v>
      </c>
      <c r="J70" s="256">
        <f t="shared" si="25"/>
        <v>0</v>
      </c>
      <c r="K70" s="113">
        <f t="shared" si="26"/>
        <v>0</v>
      </c>
      <c r="L70" s="191"/>
      <c r="M70" s="191"/>
    </row>
    <row r="71" spans="2:13" x14ac:dyDescent="0.2">
      <c r="B71" s="327" t="s">
        <v>507</v>
      </c>
      <c r="C71" s="112" t="s">
        <v>82</v>
      </c>
      <c r="D71" s="72">
        <v>0</v>
      </c>
      <c r="E71" s="256">
        <f t="shared" si="21"/>
        <v>0</v>
      </c>
      <c r="F71" s="256">
        <f t="shared" si="22"/>
        <v>0</v>
      </c>
      <c r="G71" s="113">
        <f t="shared" si="23"/>
        <v>0</v>
      </c>
      <c r="H71" s="72">
        <v>0</v>
      </c>
      <c r="I71" s="256">
        <f t="shared" si="24"/>
        <v>0</v>
      </c>
      <c r="J71" s="256">
        <f t="shared" si="25"/>
        <v>0</v>
      </c>
      <c r="K71" s="113">
        <f t="shared" si="26"/>
        <v>0</v>
      </c>
      <c r="L71" s="191"/>
      <c r="M71" s="191"/>
    </row>
    <row r="72" spans="2:13" x14ac:dyDescent="0.2">
      <c r="B72" s="327" t="s">
        <v>507</v>
      </c>
      <c r="C72" s="194" t="s">
        <v>83</v>
      </c>
      <c r="D72" s="72">
        <v>0</v>
      </c>
      <c r="E72" s="256">
        <f t="shared" si="21"/>
        <v>0</v>
      </c>
      <c r="F72" s="256">
        <f t="shared" si="22"/>
        <v>0</v>
      </c>
      <c r="G72" s="113">
        <f t="shared" si="23"/>
        <v>0</v>
      </c>
      <c r="H72" s="72">
        <v>0</v>
      </c>
      <c r="I72" s="256">
        <f t="shared" si="24"/>
        <v>0</v>
      </c>
      <c r="J72" s="256">
        <f t="shared" si="25"/>
        <v>0</v>
      </c>
      <c r="K72" s="113">
        <f t="shared" si="26"/>
        <v>0</v>
      </c>
      <c r="L72" s="191"/>
      <c r="M72" s="191"/>
    </row>
    <row r="73" spans="2:13" x14ac:dyDescent="0.2">
      <c r="B73" s="327" t="s">
        <v>507</v>
      </c>
      <c r="C73" s="112" t="s">
        <v>84</v>
      </c>
      <c r="D73" s="72">
        <v>1.3038712932781931E-7</v>
      </c>
      <c r="E73" s="256">
        <f t="shared" si="21"/>
        <v>17.321259975413167</v>
      </c>
      <c r="F73" s="256">
        <f t="shared" si="22"/>
        <v>0</v>
      </c>
      <c r="G73" s="113">
        <f t="shared" si="23"/>
        <v>17.321259975413167</v>
      </c>
      <c r="H73" s="72">
        <v>1.3483966175328559E-7</v>
      </c>
      <c r="I73" s="256">
        <f t="shared" si="24"/>
        <v>17.738828117397819</v>
      </c>
      <c r="J73" s="256">
        <f t="shared" si="25"/>
        <v>0</v>
      </c>
      <c r="K73" s="113">
        <f t="shared" si="26"/>
        <v>17.738828117397819</v>
      </c>
      <c r="L73" s="191"/>
      <c r="M73" s="191"/>
    </row>
    <row r="74" spans="2:13" x14ac:dyDescent="0.2">
      <c r="B74" s="327" t="s">
        <v>507</v>
      </c>
      <c r="C74" s="112" t="s">
        <v>85</v>
      </c>
      <c r="D74" s="72">
        <v>0</v>
      </c>
      <c r="E74" s="256">
        <f t="shared" si="21"/>
        <v>0</v>
      </c>
      <c r="F74" s="256">
        <f t="shared" si="22"/>
        <v>0</v>
      </c>
      <c r="G74" s="113">
        <f t="shared" si="23"/>
        <v>0</v>
      </c>
      <c r="H74" s="72">
        <v>0</v>
      </c>
      <c r="I74" s="256">
        <f t="shared" si="24"/>
        <v>0</v>
      </c>
      <c r="J74" s="256">
        <f t="shared" si="25"/>
        <v>0</v>
      </c>
      <c r="K74" s="113">
        <f t="shared" si="26"/>
        <v>0</v>
      </c>
      <c r="L74" s="191"/>
      <c r="M74" s="191"/>
    </row>
    <row r="75" spans="2:13" x14ac:dyDescent="0.2">
      <c r="B75" s="327" t="s">
        <v>507</v>
      </c>
      <c r="C75" s="112" t="s">
        <v>86</v>
      </c>
      <c r="D75" s="72">
        <v>0</v>
      </c>
      <c r="E75" s="256">
        <f t="shared" si="21"/>
        <v>0</v>
      </c>
      <c r="F75" s="256">
        <f t="shared" si="22"/>
        <v>0</v>
      </c>
      <c r="G75" s="113">
        <f t="shared" si="23"/>
        <v>0</v>
      </c>
      <c r="H75" s="72">
        <v>0</v>
      </c>
      <c r="I75" s="256">
        <f t="shared" si="24"/>
        <v>0</v>
      </c>
      <c r="J75" s="256">
        <f t="shared" si="25"/>
        <v>0</v>
      </c>
      <c r="K75" s="113">
        <f t="shared" si="26"/>
        <v>0</v>
      </c>
      <c r="L75" s="191"/>
      <c r="M75" s="191"/>
    </row>
    <row r="76" spans="2:13" x14ac:dyDescent="0.2">
      <c r="B76" s="327" t="s">
        <v>507</v>
      </c>
      <c r="C76" s="112" t="s">
        <v>88</v>
      </c>
      <c r="D76" s="72">
        <v>0</v>
      </c>
      <c r="E76" s="256">
        <f t="shared" si="21"/>
        <v>0</v>
      </c>
      <c r="F76" s="256">
        <f t="shared" si="22"/>
        <v>0</v>
      </c>
      <c r="G76" s="113">
        <f t="shared" si="23"/>
        <v>0</v>
      </c>
      <c r="H76" s="72">
        <v>0</v>
      </c>
      <c r="I76" s="256">
        <f t="shared" si="24"/>
        <v>0</v>
      </c>
      <c r="J76" s="256">
        <f t="shared" si="25"/>
        <v>0</v>
      </c>
      <c r="K76" s="113">
        <f t="shared" si="26"/>
        <v>0</v>
      </c>
      <c r="L76" s="191"/>
      <c r="M76" s="191"/>
    </row>
    <row r="77" spans="2:13" x14ac:dyDescent="0.2">
      <c r="B77" s="327" t="s">
        <v>507</v>
      </c>
      <c r="C77" s="112" t="s">
        <v>90</v>
      </c>
      <c r="D77" s="72">
        <v>0</v>
      </c>
      <c r="E77" s="256">
        <f t="shared" si="21"/>
        <v>0</v>
      </c>
      <c r="F77" s="256">
        <f t="shared" si="22"/>
        <v>0</v>
      </c>
      <c r="G77" s="113">
        <f t="shared" si="23"/>
        <v>0</v>
      </c>
      <c r="H77" s="72">
        <v>0</v>
      </c>
      <c r="I77" s="256">
        <f t="shared" si="24"/>
        <v>0</v>
      </c>
      <c r="J77" s="256">
        <f t="shared" si="25"/>
        <v>0</v>
      </c>
      <c r="K77" s="113">
        <f t="shared" si="26"/>
        <v>0</v>
      </c>
      <c r="L77" s="191"/>
      <c r="M77" s="191"/>
    </row>
    <row r="78" spans="2:13" x14ac:dyDescent="0.2">
      <c r="B78" s="281"/>
      <c r="C78" s="186" t="s">
        <v>174</v>
      </c>
      <c r="D78" s="118">
        <f>SUM(D68:D77)</f>
        <v>1</v>
      </c>
      <c r="E78" s="114">
        <f>'2.1 Profit &amp; Loss by component'!D26+'2.1 Profit &amp; Loss by component'!D37</f>
        <v>132844860.2612</v>
      </c>
      <c r="F78" s="115">
        <f>'2.1 Profit &amp; Loss by component'!E26+'2.1 Profit &amp; Loss by component'!E37</f>
        <v>0</v>
      </c>
      <c r="G78" s="114">
        <f>SUM(G68:G77)</f>
        <v>132844860.2612</v>
      </c>
      <c r="H78" s="118">
        <f>SUM(H68:H77)</f>
        <v>1</v>
      </c>
      <c r="I78" s="114">
        <f>'2.1 Profit &amp; Loss by component'!G26+'2.1 Profit &amp; Loss by component'!G37</f>
        <v>131554973.41616243</v>
      </c>
      <c r="J78" s="114">
        <f>'2.1 Profit &amp; Loss by component'!H26+'2.1 Profit &amp; Loss by component'!H37</f>
        <v>0</v>
      </c>
      <c r="K78" s="114">
        <f>SUM(K68:K77)</f>
        <v>131554973.41616243</v>
      </c>
      <c r="L78" s="191"/>
      <c r="M78" s="191"/>
    </row>
    <row r="79" spans="2:13" x14ac:dyDescent="0.2">
      <c r="B79" s="188"/>
      <c r="C79" s="255" t="s">
        <v>175</v>
      </c>
      <c r="D79" s="111"/>
      <c r="E79" s="111"/>
      <c r="F79" s="111"/>
      <c r="G79" s="111"/>
      <c r="H79" s="111"/>
      <c r="I79" s="111"/>
      <c r="J79" s="111"/>
      <c r="K79" s="111"/>
      <c r="L79" s="191"/>
      <c r="M79" s="191"/>
    </row>
    <row r="80" spans="2:13" x14ac:dyDescent="0.2">
      <c r="B80" s="327" t="s">
        <v>507</v>
      </c>
      <c r="C80" s="112" t="s">
        <v>78</v>
      </c>
      <c r="D80" s="72">
        <v>0.99999986961287068</v>
      </c>
      <c r="E80" s="256">
        <f t="shared" ref="E80:E89" si="27">D80*$E$90</f>
        <v>1075201.9780085918</v>
      </c>
      <c r="F80" s="256">
        <f t="shared" ref="F80:F89" si="28">D80*$F$90</f>
        <v>0</v>
      </c>
      <c r="G80" s="113">
        <f t="shared" ref="G80:G89" si="29">SUM(E80:F80)</f>
        <v>1075201.9780085918</v>
      </c>
      <c r="H80" s="72">
        <v>0.99999986516033823</v>
      </c>
      <c r="I80" s="256">
        <f t="shared" ref="I80:I89" si="30">H80*$I$90</f>
        <v>1038322.0404985547</v>
      </c>
      <c r="J80" s="256">
        <f t="shared" ref="J80:J89" si="31">H80*$J$90</f>
        <v>0</v>
      </c>
      <c r="K80" s="113">
        <f t="shared" ref="K80:K89" si="32">SUM(I80:J80)</f>
        <v>1038322.0404985547</v>
      </c>
      <c r="L80" s="191"/>
      <c r="M80" s="191"/>
    </row>
    <row r="81" spans="2:13" x14ac:dyDescent="0.2">
      <c r="B81" s="327" t="s">
        <v>507</v>
      </c>
      <c r="C81" s="112" t="s">
        <v>80</v>
      </c>
      <c r="D81" s="72">
        <v>0</v>
      </c>
      <c r="E81" s="256">
        <f t="shared" si="27"/>
        <v>0</v>
      </c>
      <c r="F81" s="256">
        <f t="shared" si="28"/>
        <v>0</v>
      </c>
      <c r="G81" s="113">
        <f t="shared" si="29"/>
        <v>0</v>
      </c>
      <c r="H81" s="72">
        <v>0</v>
      </c>
      <c r="I81" s="256">
        <f t="shared" si="30"/>
        <v>0</v>
      </c>
      <c r="J81" s="256">
        <f t="shared" si="31"/>
        <v>0</v>
      </c>
      <c r="K81" s="113">
        <f t="shared" si="32"/>
        <v>0</v>
      </c>
      <c r="L81" s="191"/>
      <c r="M81" s="191"/>
    </row>
    <row r="82" spans="2:13" x14ac:dyDescent="0.2">
      <c r="B82" s="327" t="s">
        <v>507</v>
      </c>
      <c r="C82" s="112" t="s">
        <v>81</v>
      </c>
      <c r="D82" s="72">
        <v>0</v>
      </c>
      <c r="E82" s="256">
        <f t="shared" si="27"/>
        <v>0</v>
      </c>
      <c r="F82" s="256">
        <f t="shared" si="28"/>
        <v>0</v>
      </c>
      <c r="G82" s="113">
        <f t="shared" si="29"/>
        <v>0</v>
      </c>
      <c r="H82" s="72">
        <v>0</v>
      </c>
      <c r="I82" s="256">
        <f t="shared" si="30"/>
        <v>0</v>
      </c>
      <c r="J82" s="256">
        <f t="shared" si="31"/>
        <v>0</v>
      </c>
      <c r="K82" s="113">
        <f t="shared" si="32"/>
        <v>0</v>
      </c>
      <c r="L82" s="191"/>
      <c r="M82" s="191"/>
    </row>
    <row r="83" spans="2:13" x14ac:dyDescent="0.2">
      <c r="B83" s="327" t="s">
        <v>507</v>
      </c>
      <c r="C83" s="112" t="s">
        <v>82</v>
      </c>
      <c r="D83" s="72">
        <v>0</v>
      </c>
      <c r="E83" s="256">
        <f t="shared" si="27"/>
        <v>0</v>
      </c>
      <c r="F83" s="256">
        <f t="shared" si="28"/>
        <v>0</v>
      </c>
      <c r="G83" s="113">
        <f t="shared" si="29"/>
        <v>0</v>
      </c>
      <c r="H83" s="72">
        <v>0</v>
      </c>
      <c r="I83" s="256">
        <f t="shared" si="30"/>
        <v>0</v>
      </c>
      <c r="J83" s="256">
        <f t="shared" si="31"/>
        <v>0</v>
      </c>
      <c r="K83" s="113">
        <f t="shared" si="32"/>
        <v>0</v>
      </c>
      <c r="L83" s="191"/>
      <c r="M83" s="191"/>
    </row>
    <row r="84" spans="2:13" x14ac:dyDescent="0.2">
      <c r="B84" s="327" t="s">
        <v>507</v>
      </c>
      <c r="C84" s="194" t="s">
        <v>83</v>
      </c>
      <c r="D84" s="72">
        <v>0</v>
      </c>
      <c r="E84" s="256">
        <f t="shared" si="27"/>
        <v>0</v>
      </c>
      <c r="F84" s="256">
        <f t="shared" si="28"/>
        <v>0</v>
      </c>
      <c r="G84" s="113">
        <f t="shared" si="29"/>
        <v>0</v>
      </c>
      <c r="H84" s="72">
        <v>0</v>
      </c>
      <c r="I84" s="256">
        <f t="shared" si="30"/>
        <v>0</v>
      </c>
      <c r="J84" s="256">
        <f t="shared" si="31"/>
        <v>0</v>
      </c>
      <c r="K84" s="113">
        <f t="shared" si="32"/>
        <v>0</v>
      </c>
      <c r="L84" s="191"/>
      <c r="M84" s="191"/>
    </row>
    <row r="85" spans="2:13" x14ac:dyDescent="0.2">
      <c r="B85" s="327" t="s">
        <v>507</v>
      </c>
      <c r="C85" s="112" t="s">
        <v>84</v>
      </c>
      <c r="D85" s="72">
        <v>1.3038712932781931E-7</v>
      </c>
      <c r="E85" s="256">
        <f t="shared" si="27"/>
        <v>0.1401925176394333</v>
      </c>
      <c r="F85" s="256">
        <f t="shared" si="28"/>
        <v>0</v>
      </c>
      <c r="G85" s="113">
        <f t="shared" si="29"/>
        <v>0.1401925176394333</v>
      </c>
      <c r="H85" s="72">
        <v>1.3483966175328559E-7</v>
      </c>
      <c r="I85" s="256">
        <f t="shared" si="30"/>
        <v>0.14000701161030449</v>
      </c>
      <c r="J85" s="256">
        <f t="shared" si="31"/>
        <v>0</v>
      </c>
      <c r="K85" s="113">
        <f t="shared" si="32"/>
        <v>0.14000701161030449</v>
      </c>
      <c r="L85" s="191"/>
      <c r="M85" s="191"/>
    </row>
    <row r="86" spans="2:13" x14ac:dyDescent="0.2">
      <c r="B86" s="327" t="s">
        <v>507</v>
      </c>
      <c r="C86" s="112" t="s">
        <v>85</v>
      </c>
      <c r="D86" s="72">
        <v>0</v>
      </c>
      <c r="E86" s="256">
        <f t="shared" si="27"/>
        <v>0</v>
      </c>
      <c r="F86" s="256">
        <f t="shared" si="28"/>
        <v>0</v>
      </c>
      <c r="G86" s="113">
        <f t="shared" si="29"/>
        <v>0</v>
      </c>
      <c r="H86" s="72">
        <v>0</v>
      </c>
      <c r="I86" s="256">
        <f t="shared" si="30"/>
        <v>0</v>
      </c>
      <c r="J86" s="256">
        <f t="shared" si="31"/>
        <v>0</v>
      </c>
      <c r="K86" s="113">
        <f t="shared" si="32"/>
        <v>0</v>
      </c>
      <c r="L86" s="191"/>
      <c r="M86" s="191"/>
    </row>
    <row r="87" spans="2:13" x14ac:dyDescent="0.2">
      <c r="B87" s="327" t="s">
        <v>507</v>
      </c>
      <c r="C87" s="112" t="s">
        <v>86</v>
      </c>
      <c r="D87" s="72">
        <v>0</v>
      </c>
      <c r="E87" s="256">
        <f t="shared" si="27"/>
        <v>0</v>
      </c>
      <c r="F87" s="256">
        <f t="shared" si="28"/>
        <v>0</v>
      </c>
      <c r="G87" s="113">
        <f t="shared" si="29"/>
        <v>0</v>
      </c>
      <c r="H87" s="72">
        <v>0</v>
      </c>
      <c r="I87" s="256">
        <f t="shared" si="30"/>
        <v>0</v>
      </c>
      <c r="J87" s="256">
        <f t="shared" si="31"/>
        <v>0</v>
      </c>
      <c r="K87" s="113">
        <f t="shared" si="32"/>
        <v>0</v>
      </c>
      <c r="L87" s="191"/>
      <c r="M87" s="191"/>
    </row>
    <row r="88" spans="2:13" x14ac:dyDescent="0.2">
      <c r="B88" s="327" t="s">
        <v>507</v>
      </c>
      <c r="C88" s="112" t="s">
        <v>88</v>
      </c>
      <c r="D88" s="72">
        <v>0</v>
      </c>
      <c r="E88" s="256">
        <f t="shared" si="27"/>
        <v>0</v>
      </c>
      <c r="F88" s="256">
        <f t="shared" si="28"/>
        <v>0</v>
      </c>
      <c r="G88" s="113">
        <f t="shared" si="29"/>
        <v>0</v>
      </c>
      <c r="H88" s="72">
        <v>0</v>
      </c>
      <c r="I88" s="256">
        <f t="shared" si="30"/>
        <v>0</v>
      </c>
      <c r="J88" s="256">
        <f t="shared" si="31"/>
        <v>0</v>
      </c>
      <c r="K88" s="113">
        <f t="shared" si="32"/>
        <v>0</v>
      </c>
      <c r="L88" s="191"/>
      <c r="M88" s="191"/>
    </row>
    <row r="89" spans="2:13" x14ac:dyDescent="0.2">
      <c r="B89" s="327" t="s">
        <v>507</v>
      </c>
      <c r="C89" s="112" t="s">
        <v>90</v>
      </c>
      <c r="D89" s="72">
        <v>0</v>
      </c>
      <c r="E89" s="256">
        <f t="shared" si="27"/>
        <v>0</v>
      </c>
      <c r="F89" s="256">
        <f t="shared" si="28"/>
        <v>0</v>
      </c>
      <c r="G89" s="113">
        <f t="shared" si="29"/>
        <v>0</v>
      </c>
      <c r="H89" s="72">
        <v>0</v>
      </c>
      <c r="I89" s="256">
        <f t="shared" si="30"/>
        <v>0</v>
      </c>
      <c r="J89" s="256">
        <f t="shared" si="31"/>
        <v>0</v>
      </c>
      <c r="K89" s="113">
        <f t="shared" si="32"/>
        <v>0</v>
      </c>
      <c r="L89" s="191"/>
      <c r="M89" s="191"/>
    </row>
    <row r="90" spans="2:13" x14ac:dyDescent="0.2">
      <c r="B90" s="281"/>
      <c r="C90" s="186" t="s">
        <v>176</v>
      </c>
      <c r="D90" s="118">
        <f>SUM(D80:D89)</f>
        <v>1</v>
      </c>
      <c r="E90" s="114">
        <f>'2.1 Profit &amp; Loss by component'!D43-'2.1 Profit &amp; Loss by component'!D37</f>
        <v>1075202.1182011093</v>
      </c>
      <c r="F90" s="114">
        <f>'2.1 Profit &amp; Loss by component'!E43-'2.1 Profit &amp; Loss by component'!E37</f>
        <v>0</v>
      </c>
      <c r="G90" s="114">
        <f>SUM(G80:G89)</f>
        <v>1075202.1182011093</v>
      </c>
      <c r="H90" s="118">
        <f>SUM(H80:H89)</f>
        <v>1</v>
      </c>
      <c r="I90" s="114">
        <f>'2.1 Profit &amp; Loss by component'!G43-'2.1 Profit &amp; Loss by component'!G37</f>
        <v>1038322.1805055663</v>
      </c>
      <c r="J90" s="114">
        <f>'2.1 Profit &amp; Loss by component'!H43-'2.1 Profit &amp; Loss by component'!H37</f>
        <v>0</v>
      </c>
      <c r="K90" s="114">
        <f>SUM(K80:K89)</f>
        <v>1038322.1805055663</v>
      </c>
      <c r="L90" s="191"/>
      <c r="M90" s="191"/>
    </row>
    <row r="91" spans="2:13" ht="14.25" x14ac:dyDescent="0.2">
      <c r="B91" s="281"/>
      <c r="C91" s="186" t="s">
        <v>62</v>
      </c>
      <c r="D91" s="258"/>
      <c r="E91" s="114">
        <f>E90+E78+E66</f>
        <v>322800575.84940112</v>
      </c>
      <c r="F91" s="114">
        <f>F90+F78+F66</f>
        <v>0</v>
      </c>
      <c r="G91" s="114">
        <f>G90+G78+G66</f>
        <v>322800575.84940112</v>
      </c>
      <c r="H91" s="258"/>
      <c r="I91" s="114">
        <f>I90+I78+I66</f>
        <v>326099142.54632354</v>
      </c>
      <c r="J91" s="114">
        <f>J90+J78+J66</f>
        <v>0</v>
      </c>
      <c r="K91" s="114">
        <f>K90+K78+K66</f>
        <v>326099142.54632354</v>
      </c>
      <c r="L91" s="191"/>
      <c r="M91" s="191"/>
    </row>
    <row r="92" spans="2:13" x14ac:dyDescent="0.2">
      <c r="B92" s="191"/>
      <c r="C92" s="191"/>
      <c r="D92" s="191"/>
      <c r="E92" s="191"/>
      <c r="F92" s="191"/>
      <c r="G92" s="191"/>
      <c r="H92" s="191"/>
      <c r="I92" s="191"/>
      <c r="J92" s="191"/>
      <c r="K92" s="191"/>
      <c r="L92" s="191"/>
      <c r="M92" s="191"/>
    </row>
    <row r="93" spans="2:13" x14ac:dyDescent="0.2">
      <c r="B93" s="191"/>
      <c r="C93" s="191"/>
      <c r="D93" s="191"/>
      <c r="E93" s="191"/>
      <c r="F93" s="191"/>
      <c r="G93" s="191"/>
      <c r="H93" s="191"/>
      <c r="I93" s="191"/>
      <c r="J93" s="191"/>
      <c r="K93" s="191"/>
      <c r="L93" s="191"/>
      <c r="M93" s="191"/>
    </row>
  </sheetData>
  <sheetProtection sheet="1" objects="1" scenarios="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x14ac:dyDescent="0.3">
      <c r="B1" s="135" t="s">
        <v>53</v>
      </c>
      <c r="C1" s="135"/>
      <c r="D1" s="204"/>
      <c r="E1" s="204"/>
      <c r="F1" s="204"/>
      <c r="G1" s="204"/>
      <c r="H1" s="204"/>
      <c r="I1" s="204"/>
      <c r="J1" s="204"/>
    </row>
    <row r="2" spans="2:10" ht="20.25" customHeight="1" x14ac:dyDescent="0.2">
      <c r="B2" s="135" t="str">
        <f>IF(Tradingname=0," ",Tradingname)</f>
        <v>APA WGP PTY LTD</v>
      </c>
      <c r="C2" s="135"/>
    </row>
    <row r="3" spans="2:10" ht="20.25" customHeight="1" x14ac:dyDescent="0.45">
      <c r="B3" s="135" t="s">
        <v>30</v>
      </c>
      <c r="C3" s="99">
        <f>IF(Yearending=0, "01/01/2000", Yearending)</f>
        <v>45838</v>
      </c>
      <c r="F3" s="237"/>
    </row>
    <row r="4" spans="2:10" ht="20.25" x14ac:dyDescent="0.2">
      <c r="B4" s="91" t="s">
        <v>177</v>
      </c>
      <c r="C4" s="91"/>
    </row>
    <row r="6" spans="2:10" ht="20.25" x14ac:dyDescent="0.3">
      <c r="B6" s="238"/>
      <c r="G6" s="239"/>
      <c r="H6" s="240"/>
      <c r="I6" s="241"/>
      <c r="J6" s="241"/>
    </row>
    <row r="7" spans="2:10" ht="15.75" x14ac:dyDescent="0.25">
      <c r="B7" s="214" t="s">
        <v>178</v>
      </c>
    </row>
    <row r="8" spans="2:10" ht="13.9" customHeight="1" x14ac:dyDescent="0.2">
      <c r="B8" s="215"/>
      <c r="C8" s="216"/>
      <c r="D8" s="216"/>
      <c r="E8" s="216"/>
    </row>
    <row r="9" spans="2:10" ht="13.9" customHeight="1" x14ac:dyDescent="0.2">
      <c r="B9" s="35" t="s">
        <v>114</v>
      </c>
      <c r="C9" s="30" t="s">
        <v>125</v>
      </c>
      <c r="D9" s="30" t="s">
        <v>126</v>
      </c>
      <c r="E9" s="30" t="s">
        <v>56</v>
      </c>
      <c r="F9" s="216"/>
    </row>
    <row r="10" spans="2:10" ht="13.9" customHeight="1" x14ac:dyDescent="0.2">
      <c r="B10" s="29"/>
      <c r="C10" s="31" t="s">
        <v>116</v>
      </c>
      <c r="D10" s="31" t="s">
        <v>116</v>
      </c>
      <c r="E10" s="31" t="s">
        <v>116</v>
      </c>
    </row>
    <row r="11" spans="2:10" ht="13.9" customHeight="1" x14ac:dyDescent="0.2">
      <c r="B11" s="67" t="s">
        <v>482</v>
      </c>
      <c r="C11" s="68">
        <v>0</v>
      </c>
      <c r="D11" s="68"/>
      <c r="E11" s="11">
        <f t="shared" ref="E11:E17" si="0">SUM(C11:D11)</f>
        <v>0</v>
      </c>
    </row>
    <row r="12" spans="2:10" ht="13.9" customHeight="1" x14ac:dyDescent="0.2">
      <c r="B12" s="67"/>
      <c r="C12" s="68"/>
      <c r="D12" s="68"/>
      <c r="E12" s="11">
        <f t="shared" si="0"/>
        <v>0</v>
      </c>
    </row>
    <row r="13" spans="2:10" ht="13.9" customHeight="1" x14ac:dyDescent="0.2">
      <c r="B13" s="67"/>
      <c r="C13" s="68"/>
      <c r="D13" s="68"/>
      <c r="E13" s="11">
        <f t="shared" si="0"/>
        <v>0</v>
      </c>
    </row>
    <row r="14" spans="2:10" ht="13.9" customHeight="1" x14ac:dyDescent="0.2">
      <c r="B14" s="67"/>
      <c r="C14" s="68"/>
      <c r="D14" s="68"/>
      <c r="E14" s="11">
        <f t="shared" si="0"/>
        <v>0</v>
      </c>
    </row>
    <row r="15" spans="2:10" x14ac:dyDescent="0.2">
      <c r="B15" s="67"/>
      <c r="C15" s="68"/>
      <c r="D15" s="68"/>
      <c r="E15" s="11">
        <f t="shared" si="0"/>
        <v>0</v>
      </c>
    </row>
    <row r="16" spans="2:10" x14ac:dyDescent="0.2">
      <c r="B16" s="67"/>
      <c r="C16" s="68"/>
      <c r="D16" s="68"/>
      <c r="E16" s="11">
        <f t="shared" si="0"/>
        <v>0</v>
      </c>
    </row>
    <row r="17" spans="2:6" x14ac:dyDescent="0.2">
      <c r="B17" s="136" t="s">
        <v>56</v>
      </c>
      <c r="C17" s="11">
        <f>SUM(C11:C16)</f>
        <v>0</v>
      </c>
      <c r="D17" s="11">
        <f>SUM(D11:D16)</f>
        <v>0</v>
      </c>
      <c r="E17" s="11">
        <f t="shared" si="0"/>
        <v>0</v>
      </c>
    </row>
    <row r="18" spans="2:6" ht="19.5" customHeight="1" x14ac:dyDescent="0.2"/>
    <row r="19" spans="2:6" ht="15.75" x14ac:dyDescent="0.25">
      <c r="B19" s="214" t="s">
        <v>179</v>
      </c>
    </row>
    <row r="20" spans="2:6" x14ac:dyDescent="0.2">
      <c r="B20" s="215"/>
      <c r="C20" s="216"/>
      <c r="D20" s="216"/>
      <c r="E20" s="216"/>
    </row>
    <row r="21" spans="2:6" x14ac:dyDescent="0.2">
      <c r="B21" s="29" t="s">
        <v>180</v>
      </c>
      <c r="C21" s="36" t="s">
        <v>114</v>
      </c>
      <c r="D21" s="30" t="s">
        <v>56</v>
      </c>
      <c r="F21" s="216"/>
    </row>
    <row r="22" spans="2:6" x14ac:dyDescent="0.2">
      <c r="B22" s="29"/>
      <c r="C22" s="31"/>
      <c r="D22" s="31" t="s">
        <v>116</v>
      </c>
    </row>
    <row r="23" spans="2:6" x14ac:dyDescent="0.2">
      <c r="B23" s="67"/>
      <c r="C23" s="69"/>
      <c r="D23" s="68"/>
    </row>
    <row r="24" spans="2:6" x14ac:dyDescent="0.2">
      <c r="B24" s="67"/>
      <c r="C24" s="69"/>
      <c r="D24" s="68"/>
    </row>
    <row r="25" spans="2:6" x14ac:dyDescent="0.2">
      <c r="B25" s="67"/>
      <c r="C25" s="69"/>
      <c r="D25" s="68"/>
    </row>
    <row r="26" spans="2:6" x14ac:dyDescent="0.2">
      <c r="B26" s="67"/>
      <c r="C26" s="69"/>
      <c r="D26" s="68"/>
    </row>
    <row r="27" spans="2:6" x14ac:dyDescent="0.2">
      <c r="B27" s="67"/>
      <c r="C27" s="69"/>
      <c r="D27" s="68"/>
    </row>
    <row r="28" spans="2:6" x14ac:dyDescent="0.2">
      <c r="B28" s="67"/>
      <c r="C28" s="69"/>
      <c r="D28" s="68"/>
    </row>
    <row r="29" spans="2:6" x14ac:dyDescent="0.2">
      <c r="B29" s="412" t="s">
        <v>181</v>
      </c>
      <c r="C29" s="413"/>
      <c r="D29" s="11">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96" zoomScaleNormal="85"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42578125" style="205" customWidth="1"/>
    <col min="2" max="2" width="22.5703125" style="205" customWidth="1"/>
    <col min="3" max="3" width="42.28515625" style="205" customWidth="1"/>
    <col min="4" max="4" width="26.7109375" style="205" customWidth="1"/>
    <col min="5" max="5" width="22.5703125" style="205" customWidth="1"/>
    <col min="6" max="6" width="20.5703125" style="205" customWidth="1"/>
    <col min="7" max="8" width="22.5703125" style="205" customWidth="1"/>
    <col min="9" max="9" width="35.28515625" style="205" customWidth="1"/>
    <col min="10" max="10" width="25.28515625" style="205" customWidth="1"/>
    <col min="11" max="16384" width="9.28515625" style="205"/>
  </cols>
  <sheetData>
    <row r="1" spans="2:9" ht="20.25" customHeight="1" x14ac:dyDescent="0.3">
      <c r="B1" s="135" t="s">
        <v>53</v>
      </c>
      <c r="C1" s="135"/>
      <c r="D1" s="204"/>
      <c r="E1" s="204"/>
      <c r="F1" s="204"/>
      <c r="G1" s="204"/>
      <c r="H1" s="204"/>
    </row>
    <row r="2" spans="2:9" ht="20.25" customHeight="1" x14ac:dyDescent="0.3">
      <c r="B2" s="135" t="str">
        <f>IF(Tradingname=0," ",Tradingname)</f>
        <v>APA WGP PTY LTD</v>
      </c>
      <c r="C2" s="135"/>
      <c r="H2" s="206"/>
    </row>
    <row r="3" spans="2:9" ht="20.25" customHeight="1" x14ac:dyDescent="0.3">
      <c r="B3" s="135" t="s">
        <v>30</v>
      </c>
      <c r="C3" s="99">
        <f>IF(Yearending=0, "01/01/2000", Yearending)</f>
        <v>45838</v>
      </c>
    </row>
    <row r="4" spans="2:9" ht="20.25" x14ac:dyDescent="0.2">
      <c r="B4" s="91" t="s">
        <v>182</v>
      </c>
      <c r="C4" s="91"/>
    </row>
    <row r="6" spans="2:9" x14ac:dyDescent="0.2">
      <c r="B6" s="414" t="s">
        <v>183</v>
      </c>
      <c r="C6" s="414"/>
      <c r="D6" s="414"/>
    </row>
    <row r="7" spans="2:9" ht="15.75" customHeight="1" x14ac:dyDescent="0.2">
      <c r="B7" s="414"/>
      <c r="C7" s="414"/>
      <c r="D7" s="414"/>
    </row>
    <row r="8" spans="2:9" ht="15.75" customHeight="1" x14ac:dyDescent="0.2">
      <c r="B8" s="414"/>
      <c r="C8" s="414"/>
      <c r="D8" s="414"/>
    </row>
    <row r="11" spans="2:9" s="259" customFormat="1" ht="15.75" x14ac:dyDescent="0.25">
      <c r="B11" s="207" t="s">
        <v>184</v>
      </c>
      <c r="C11" s="208"/>
      <c r="D11" s="208"/>
      <c r="E11" s="208"/>
      <c r="F11" s="211"/>
      <c r="G11" s="208"/>
      <c r="H11" s="208"/>
      <c r="I11" s="205"/>
    </row>
    <row r="12" spans="2:9" s="259" customFormat="1" ht="15.75" x14ac:dyDescent="0.25">
      <c r="B12" s="207"/>
      <c r="C12" s="208"/>
      <c r="D12" s="208"/>
      <c r="E12" s="208"/>
      <c r="F12" s="211"/>
      <c r="G12" s="208"/>
      <c r="H12" s="208"/>
      <c r="I12" s="205"/>
    </row>
    <row r="13" spans="2:9" ht="38.25" x14ac:dyDescent="0.2">
      <c r="B13" s="37" t="s">
        <v>113</v>
      </c>
      <c r="C13" s="37" t="s">
        <v>185</v>
      </c>
      <c r="D13" s="49" t="s">
        <v>186</v>
      </c>
      <c r="E13" s="49" t="s">
        <v>187</v>
      </c>
      <c r="F13" s="49" t="s">
        <v>188</v>
      </c>
      <c r="G13" s="49" t="s">
        <v>189</v>
      </c>
      <c r="H13" s="49" t="s">
        <v>190</v>
      </c>
      <c r="I13" s="49" t="s">
        <v>191</v>
      </c>
    </row>
    <row r="14" spans="2:9" x14ac:dyDescent="0.2">
      <c r="B14" s="89"/>
      <c r="C14" s="37" t="s">
        <v>192</v>
      </c>
      <c r="D14" s="53" t="s">
        <v>116</v>
      </c>
      <c r="E14" s="53" t="s">
        <v>116</v>
      </c>
      <c r="F14" s="53"/>
      <c r="G14" s="53" t="s">
        <v>116</v>
      </c>
      <c r="H14" s="53" t="s">
        <v>116</v>
      </c>
      <c r="I14" s="53" t="s">
        <v>116</v>
      </c>
    </row>
    <row r="15" spans="2:9" x14ac:dyDescent="0.2">
      <c r="B15" s="328" t="s">
        <v>508</v>
      </c>
      <c r="C15" s="70"/>
      <c r="D15" s="71"/>
      <c r="E15" s="71"/>
      <c r="F15" s="72"/>
      <c r="G15" s="10">
        <f>D15*F15</f>
        <v>0</v>
      </c>
      <c r="H15" s="10">
        <f t="shared" ref="H15:H41" si="0">E15*F15</f>
        <v>0</v>
      </c>
      <c r="I15" s="90">
        <f t="shared" ref="I15:I41" si="1">G15+H15</f>
        <v>0</v>
      </c>
    </row>
    <row r="16" spans="2:9" x14ac:dyDescent="0.2">
      <c r="B16" s="282"/>
      <c r="C16" s="70"/>
      <c r="D16" s="71"/>
      <c r="E16" s="71"/>
      <c r="F16" s="72"/>
      <c r="G16" s="10">
        <f>D16*F16</f>
        <v>0</v>
      </c>
      <c r="H16" s="10">
        <f t="shared" si="0"/>
        <v>0</v>
      </c>
      <c r="I16" s="90">
        <f t="shared" si="1"/>
        <v>0</v>
      </c>
    </row>
    <row r="17" spans="2:9" x14ac:dyDescent="0.2">
      <c r="B17" s="282"/>
      <c r="C17" s="70"/>
      <c r="D17" s="71"/>
      <c r="E17" s="71"/>
      <c r="F17" s="72"/>
      <c r="G17" s="10">
        <f>D17*F17</f>
        <v>0</v>
      </c>
      <c r="H17" s="10">
        <f t="shared" si="0"/>
        <v>0</v>
      </c>
      <c r="I17" s="90">
        <f t="shared" si="1"/>
        <v>0</v>
      </c>
    </row>
    <row r="18" spans="2:9" x14ac:dyDescent="0.2">
      <c r="B18" s="282"/>
      <c r="C18" s="70"/>
      <c r="D18" s="71"/>
      <c r="E18" s="71"/>
      <c r="F18" s="72"/>
      <c r="G18" s="10">
        <f>D18*F18</f>
        <v>0</v>
      </c>
      <c r="H18" s="90">
        <f t="shared" si="0"/>
        <v>0</v>
      </c>
      <c r="I18" s="90">
        <f t="shared" si="1"/>
        <v>0</v>
      </c>
    </row>
    <row r="19" spans="2:9" x14ac:dyDescent="0.2">
      <c r="B19" s="282"/>
      <c r="C19" s="70"/>
      <c r="D19" s="71"/>
      <c r="E19" s="71"/>
      <c r="F19" s="72"/>
      <c r="G19" s="10">
        <f t="shared" ref="G19:G41" si="2">D19*F19</f>
        <v>0</v>
      </c>
      <c r="H19" s="10">
        <f t="shared" si="0"/>
        <v>0</v>
      </c>
      <c r="I19" s="90">
        <f t="shared" si="1"/>
        <v>0</v>
      </c>
    </row>
    <row r="20" spans="2:9" x14ac:dyDescent="0.2">
      <c r="B20" s="282"/>
      <c r="C20" s="70"/>
      <c r="D20" s="71"/>
      <c r="E20" s="71"/>
      <c r="F20" s="72"/>
      <c r="G20" s="10">
        <f t="shared" si="2"/>
        <v>0</v>
      </c>
      <c r="H20" s="10">
        <f t="shared" si="0"/>
        <v>0</v>
      </c>
      <c r="I20" s="90">
        <f t="shared" si="1"/>
        <v>0</v>
      </c>
    </row>
    <row r="21" spans="2:9" x14ac:dyDescent="0.2">
      <c r="B21" s="282"/>
      <c r="C21" s="70"/>
      <c r="D21" s="71"/>
      <c r="E21" s="71"/>
      <c r="F21" s="72"/>
      <c r="G21" s="10">
        <f t="shared" si="2"/>
        <v>0</v>
      </c>
      <c r="H21" s="10">
        <f t="shared" si="0"/>
        <v>0</v>
      </c>
      <c r="I21" s="90">
        <f t="shared" si="1"/>
        <v>0</v>
      </c>
    </row>
    <row r="22" spans="2:9" x14ac:dyDescent="0.2">
      <c r="B22" s="282"/>
      <c r="C22" s="70"/>
      <c r="D22" s="71"/>
      <c r="E22" s="71"/>
      <c r="F22" s="72"/>
      <c r="G22" s="10">
        <f t="shared" si="2"/>
        <v>0</v>
      </c>
      <c r="H22" s="10">
        <f t="shared" si="0"/>
        <v>0</v>
      </c>
      <c r="I22" s="90">
        <f t="shared" si="1"/>
        <v>0</v>
      </c>
    </row>
    <row r="23" spans="2:9" x14ac:dyDescent="0.2">
      <c r="B23" s="282"/>
      <c r="C23" s="70"/>
      <c r="D23" s="71"/>
      <c r="E23" s="71"/>
      <c r="F23" s="72"/>
      <c r="G23" s="10">
        <f t="shared" si="2"/>
        <v>0</v>
      </c>
      <c r="H23" s="10">
        <f t="shared" si="0"/>
        <v>0</v>
      </c>
      <c r="I23" s="90">
        <f t="shared" si="1"/>
        <v>0</v>
      </c>
    </row>
    <row r="24" spans="2:9" x14ac:dyDescent="0.2">
      <c r="B24" s="282"/>
      <c r="C24" s="70"/>
      <c r="D24" s="71"/>
      <c r="E24" s="71"/>
      <c r="F24" s="72"/>
      <c r="G24" s="10">
        <f t="shared" si="2"/>
        <v>0</v>
      </c>
      <c r="H24" s="10">
        <f t="shared" si="0"/>
        <v>0</v>
      </c>
      <c r="I24" s="90">
        <f t="shared" si="1"/>
        <v>0</v>
      </c>
    </row>
    <row r="25" spans="2:9" x14ac:dyDescent="0.2">
      <c r="B25" s="282"/>
      <c r="C25" s="70"/>
      <c r="D25" s="71"/>
      <c r="E25" s="71"/>
      <c r="F25" s="72"/>
      <c r="G25" s="10">
        <f t="shared" si="2"/>
        <v>0</v>
      </c>
      <c r="H25" s="10">
        <f t="shared" si="0"/>
        <v>0</v>
      </c>
      <c r="I25" s="90">
        <f t="shared" si="1"/>
        <v>0</v>
      </c>
    </row>
    <row r="26" spans="2:9" x14ac:dyDescent="0.2">
      <c r="B26" s="282"/>
      <c r="C26" s="70"/>
      <c r="D26" s="71"/>
      <c r="E26" s="71"/>
      <c r="F26" s="72"/>
      <c r="G26" s="10">
        <f t="shared" si="2"/>
        <v>0</v>
      </c>
      <c r="H26" s="10">
        <f t="shared" si="0"/>
        <v>0</v>
      </c>
      <c r="I26" s="90">
        <f t="shared" si="1"/>
        <v>0</v>
      </c>
    </row>
    <row r="27" spans="2:9" x14ac:dyDescent="0.2">
      <c r="B27" s="282"/>
      <c r="C27" s="70"/>
      <c r="D27" s="71"/>
      <c r="E27" s="71"/>
      <c r="F27" s="72"/>
      <c r="G27" s="10">
        <f t="shared" si="2"/>
        <v>0</v>
      </c>
      <c r="H27" s="10">
        <f t="shared" si="0"/>
        <v>0</v>
      </c>
      <c r="I27" s="90">
        <f t="shared" si="1"/>
        <v>0</v>
      </c>
    </row>
    <row r="28" spans="2:9" x14ac:dyDescent="0.2">
      <c r="B28" s="282"/>
      <c r="C28" s="70"/>
      <c r="D28" s="71"/>
      <c r="E28" s="71"/>
      <c r="F28" s="72"/>
      <c r="G28" s="10">
        <f t="shared" si="2"/>
        <v>0</v>
      </c>
      <c r="H28" s="10">
        <f t="shared" si="0"/>
        <v>0</v>
      </c>
      <c r="I28" s="90">
        <f t="shared" si="1"/>
        <v>0</v>
      </c>
    </row>
    <row r="29" spans="2:9" x14ac:dyDescent="0.2">
      <c r="B29" s="282"/>
      <c r="C29" s="70"/>
      <c r="D29" s="71"/>
      <c r="E29" s="71"/>
      <c r="F29" s="72"/>
      <c r="G29" s="10">
        <f t="shared" si="2"/>
        <v>0</v>
      </c>
      <c r="H29" s="10">
        <f t="shared" si="0"/>
        <v>0</v>
      </c>
      <c r="I29" s="90">
        <f t="shared" si="1"/>
        <v>0</v>
      </c>
    </row>
    <row r="30" spans="2:9" x14ac:dyDescent="0.2">
      <c r="B30" s="282"/>
      <c r="C30" s="70"/>
      <c r="D30" s="71"/>
      <c r="E30" s="71"/>
      <c r="F30" s="72"/>
      <c r="G30" s="10">
        <f t="shared" si="2"/>
        <v>0</v>
      </c>
      <c r="H30" s="10">
        <f t="shared" si="0"/>
        <v>0</v>
      </c>
      <c r="I30" s="90">
        <f t="shared" si="1"/>
        <v>0</v>
      </c>
    </row>
    <row r="31" spans="2:9" x14ac:dyDescent="0.2">
      <c r="B31" s="282"/>
      <c r="C31" s="70"/>
      <c r="D31" s="71"/>
      <c r="E31" s="71"/>
      <c r="F31" s="72"/>
      <c r="G31" s="10">
        <f t="shared" si="2"/>
        <v>0</v>
      </c>
      <c r="H31" s="10">
        <f t="shared" si="0"/>
        <v>0</v>
      </c>
      <c r="I31" s="90">
        <f t="shared" si="1"/>
        <v>0</v>
      </c>
    </row>
    <row r="32" spans="2:9" x14ac:dyDescent="0.2">
      <c r="B32" s="282"/>
      <c r="C32" s="70"/>
      <c r="D32" s="71"/>
      <c r="E32" s="71"/>
      <c r="F32" s="72"/>
      <c r="G32" s="10">
        <f t="shared" si="2"/>
        <v>0</v>
      </c>
      <c r="H32" s="10">
        <f t="shared" si="0"/>
        <v>0</v>
      </c>
      <c r="I32" s="90">
        <f t="shared" si="1"/>
        <v>0</v>
      </c>
    </row>
    <row r="33" spans="2:9" x14ac:dyDescent="0.2">
      <c r="B33" s="282"/>
      <c r="C33" s="70"/>
      <c r="D33" s="71"/>
      <c r="E33" s="71"/>
      <c r="F33" s="72"/>
      <c r="G33" s="10">
        <f t="shared" si="2"/>
        <v>0</v>
      </c>
      <c r="H33" s="10">
        <f t="shared" si="0"/>
        <v>0</v>
      </c>
      <c r="I33" s="90">
        <f t="shared" si="1"/>
        <v>0</v>
      </c>
    </row>
    <row r="34" spans="2:9" x14ac:dyDescent="0.2">
      <c r="B34" s="282"/>
      <c r="C34" s="70"/>
      <c r="D34" s="71"/>
      <c r="E34" s="71"/>
      <c r="F34" s="72"/>
      <c r="G34" s="10">
        <f t="shared" si="2"/>
        <v>0</v>
      </c>
      <c r="H34" s="10">
        <f t="shared" si="0"/>
        <v>0</v>
      </c>
      <c r="I34" s="90">
        <f t="shared" si="1"/>
        <v>0</v>
      </c>
    </row>
    <row r="35" spans="2:9" x14ac:dyDescent="0.2">
      <c r="B35" s="282"/>
      <c r="C35" s="70"/>
      <c r="D35" s="71"/>
      <c r="E35" s="71"/>
      <c r="F35" s="72"/>
      <c r="G35" s="10">
        <f t="shared" si="2"/>
        <v>0</v>
      </c>
      <c r="H35" s="10">
        <f t="shared" si="0"/>
        <v>0</v>
      </c>
      <c r="I35" s="90">
        <f t="shared" si="1"/>
        <v>0</v>
      </c>
    </row>
    <row r="36" spans="2:9" x14ac:dyDescent="0.2">
      <c r="B36" s="282"/>
      <c r="C36" s="70"/>
      <c r="D36" s="71"/>
      <c r="E36" s="71"/>
      <c r="F36" s="72"/>
      <c r="G36" s="10">
        <f t="shared" si="2"/>
        <v>0</v>
      </c>
      <c r="H36" s="10">
        <f t="shared" si="0"/>
        <v>0</v>
      </c>
      <c r="I36" s="90">
        <f t="shared" si="1"/>
        <v>0</v>
      </c>
    </row>
    <row r="37" spans="2:9" x14ac:dyDescent="0.2">
      <c r="B37" s="282"/>
      <c r="C37" s="70"/>
      <c r="D37" s="71"/>
      <c r="E37" s="71"/>
      <c r="F37" s="72"/>
      <c r="G37" s="10">
        <f t="shared" si="2"/>
        <v>0</v>
      </c>
      <c r="H37" s="10">
        <f t="shared" si="0"/>
        <v>0</v>
      </c>
      <c r="I37" s="90">
        <f t="shared" si="1"/>
        <v>0</v>
      </c>
    </row>
    <row r="38" spans="2:9" x14ac:dyDescent="0.2">
      <c r="B38" s="282"/>
      <c r="C38" s="70"/>
      <c r="D38" s="71"/>
      <c r="E38" s="71"/>
      <c r="F38" s="72"/>
      <c r="G38" s="10">
        <f t="shared" si="2"/>
        <v>0</v>
      </c>
      <c r="H38" s="10">
        <f t="shared" si="0"/>
        <v>0</v>
      </c>
      <c r="I38" s="90">
        <f t="shared" si="1"/>
        <v>0</v>
      </c>
    </row>
    <row r="39" spans="2:9" x14ac:dyDescent="0.2">
      <c r="B39" s="282"/>
      <c r="C39" s="70"/>
      <c r="D39" s="71"/>
      <c r="E39" s="71"/>
      <c r="F39" s="72"/>
      <c r="G39" s="10">
        <f t="shared" si="2"/>
        <v>0</v>
      </c>
      <c r="H39" s="10">
        <f t="shared" si="0"/>
        <v>0</v>
      </c>
      <c r="I39" s="90">
        <f t="shared" si="1"/>
        <v>0</v>
      </c>
    </row>
    <row r="40" spans="2:9" x14ac:dyDescent="0.2">
      <c r="B40" s="282"/>
      <c r="C40" s="70"/>
      <c r="D40" s="71"/>
      <c r="E40" s="71"/>
      <c r="F40" s="72"/>
      <c r="G40" s="10">
        <f t="shared" si="2"/>
        <v>0</v>
      </c>
      <c r="H40" s="10">
        <f t="shared" si="0"/>
        <v>0</v>
      </c>
      <c r="I40" s="90">
        <f t="shared" si="1"/>
        <v>0</v>
      </c>
    </row>
    <row r="41" spans="2:9" x14ac:dyDescent="0.2">
      <c r="B41" s="282"/>
      <c r="C41" s="70"/>
      <c r="D41" s="71"/>
      <c r="E41" s="71"/>
      <c r="F41" s="72"/>
      <c r="G41" s="10">
        <f t="shared" si="2"/>
        <v>0</v>
      </c>
      <c r="H41" s="10">
        <f t="shared" si="0"/>
        <v>0</v>
      </c>
      <c r="I41" s="90">
        <f t="shared" si="1"/>
        <v>0</v>
      </c>
    </row>
    <row r="42" spans="2:9" x14ac:dyDescent="0.2">
      <c r="B42" s="283"/>
      <c r="C42" s="124" t="s">
        <v>56</v>
      </c>
      <c r="D42" s="10">
        <f>SUM(D15:D41)</f>
        <v>0</v>
      </c>
      <c r="E42" s="10">
        <f>SUM(E15:E41)</f>
        <v>0</v>
      </c>
      <c r="F42" s="12"/>
      <c r="G42" s="10">
        <f>SUM(G15:G41)</f>
        <v>0</v>
      </c>
      <c r="H42" s="10">
        <f>SUM(H15:H41)</f>
        <v>0</v>
      </c>
      <c r="I42" s="90">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1.28515625" style="205" customWidth="1"/>
    <col min="2" max="2" width="21" style="205" customWidth="1"/>
    <col min="3" max="3" width="36.28515625" style="205" customWidth="1"/>
    <col min="4" max="4" width="26.7109375" style="205" customWidth="1"/>
    <col min="5" max="5" width="23.5703125" style="205" customWidth="1"/>
    <col min="6" max="6" width="22.5703125" style="205" customWidth="1"/>
    <col min="7" max="7" width="20.5703125" style="205" customWidth="1"/>
    <col min="8" max="9" width="22.5703125" style="205" customWidth="1"/>
    <col min="10" max="10" width="35.28515625" style="205" customWidth="1"/>
    <col min="11" max="11" width="25.28515625" style="205" customWidth="1"/>
    <col min="12" max="16384" width="9.28515625" style="205"/>
  </cols>
  <sheetData>
    <row r="1" spans="2:10" ht="20.25" customHeight="1" x14ac:dyDescent="0.3">
      <c r="B1" s="135" t="s">
        <v>53</v>
      </c>
      <c r="C1" s="135"/>
      <c r="D1" s="204"/>
      <c r="E1" s="204"/>
      <c r="F1" s="204"/>
      <c r="G1" s="204"/>
      <c r="H1" s="204"/>
      <c r="I1" s="204"/>
    </row>
    <row r="2" spans="2:10" ht="20.25" customHeight="1" x14ac:dyDescent="0.3">
      <c r="B2" s="135" t="str">
        <f>IF(Tradingname=0," ",Tradingname)</f>
        <v>APA WGP PTY LTD</v>
      </c>
      <c r="C2" s="135"/>
      <c r="H2" s="206"/>
      <c r="I2" s="206"/>
    </row>
    <row r="3" spans="2:10" ht="20.25" customHeight="1" x14ac:dyDescent="0.3">
      <c r="B3" s="135" t="s">
        <v>30</v>
      </c>
      <c r="C3" s="99">
        <f>IF(Yearending=0, "01/01/2000", Yearending)</f>
        <v>45838</v>
      </c>
    </row>
    <row r="4" spans="2:10" ht="20.25" x14ac:dyDescent="0.2">
      <c r="B4" s="91" t="s">
        <v>193</v>
      </c>
      <c r="C4" s="91"/>
    </row>
    <row r="6" spans="2:10" x14ac:dyDescent="0.2">
      <c r="B6" s="414" t="s">
        <v>183</v>
      </c>
      <c r="C6" s="414"/>
      <c r="D6" s="414"/>
    </row>
    <row r="7" spans="2:10" ht="15.75" customHeight="1" x14ac:dyDescent="0.2">
      <c r="B7" s="414"/>
      <c r="C7" s="414"/>
      <c r="D7" s="414"/>
    </row>
    <row r="8" spans="2:10" ht="24" customHeight="1" x14ac:dyDescent="0.2">
      <c r="B8" s="414"/>
      <c r="C8" s="414"/>
      <c r="D8" s="414"/>
    </row>
    <row r="11" spans="2:10" ht="15.75" x14ac:dyDescent="0.25">
      <c r="B11" s="207" t="s">
        <v>194</v>
      </c>
      <c r="C11" s="208"/>
      <c r="D11" s="208"/>
      <c r="E11" s="208"/>
      <c r="F11" s="208"/>
      <c r="G11" s="211"/>
      <c r="H11" s="208"/>
      <c r="I11" s="208"/>
    </row>
    <row r="12" spans="2:10" ht="15.75" x14ac:dyDescent="0.25">
      <c r="B12" s="207"/>
      <c r="C12" s="208"/>
      <c r="D12" s="208"/>
      <c r="E12" s="208"/>
      <c r="F12" s="208"/>
      <c r="G12" s="211"/>
      <c r="H12" s="208"/>
      <c r="I12" s="208"/>
    </row>
    <row r="13" spans="2:10" ht="38.25" x14ac:dyDescent="0.2">
      <c r="B13" s="37" t="s">
        <v>113</v>
      </c>
      <c r="C13" s="37" t="s">
        <v>114</v>
      </c>
      <c r="D13" s="41" t="s">
        <v>195</v>
      </c>
      <c r="E13" s="38" t="s">
        <v>196</v>
      </c>
      <c r="F13" s="38" t="s">
        <v>197</v>
      </c>
      <c r="G13" s="38" t="s">
        <v>188</v>
      </c>
      <c r="H13" s="38" t="s">
        <v>189</v>
      </c>
      <c r="I13" s="38" t="s">
        <v>190</v>
      </c>
      <c r="J13" s="38" t="s">
        <v>191</v>
      </c>
    </row>
    <row r="14" spans="2:10" x14ac:dyDescent="0.2">
      <c r="B14" s="39"/>
      <c r="C14" s="39" t="s">
        <v>198</v>
      </c>
      <c r="D14" s="42"/>
      <c r="E14" s="40" t="s">
        <v>116</v>
      </c>
      <c r="F14" s="40" t="s">
        <v>116</v>
      </c>
      <c r="G14" s="40"/>
      <c r="H14" s="40" t="s">
        <v>116</v>
      </c>
      <c r="I14" s="40" t="s">
        <v>116</v>
      </c>
      <c r="J14" s="40" t="s">
        <v>116</v>
      </c>
    </row>
    <row r="15" spans="2:10" x14ac:dyDescent="0.2">
      <c r="B15" s="282"/>
      <c r="C15" s="34" t="s">
        <v>149</v>
      </c>
      <c r="D15" s="125"/>
      <c r="E15" s="71"/>
      <c r="F15" s="71"/>
      <c r="G15" s="72"/>
      <c r="H15" s="10">
        <f t="shared" ref="H15:H22" si="0">E15*G15</f>
        <v>0</v>
      </c>
      <c r="I15" s="10">
        <f t="shared" ref="I15:I22" si="1">F15*G15</f>
        <v>0</v>
      </c>
      <c r="J15" s="90">
        <f t="shared" ref="J15:J35" si="2">H15+I15</f>
        <v>0</v>
      </c>
    </row>
    <row r="16" spans="2:10" ht="25.5" x14ac:dyDescent="0.2">
      <c r="B16" s="282"/>
      <c r="C16" s="34" t="s">
        <v>150</v>
      </c>
      <c r="D16" s="125"/>
      <c r="E16" s="71"/>
      <c r="F16" s="71"/>
      <c r="G16" s="72"/>
      <c r="H16" s="10">
        <f t="shared" si="0"/>
        <v>0</v>
      </c>
      <c r="I16" s="10">
        <f t="shared" si="1"/>
        <v>0</v>
      </c>
      <c r="J16" s="90">
        <f t="shared" si="2"/>
        <v>0</v>
      </c>
    </row>
    <row r="17" spans="2:10" x14ac:dyDescent="0.2">
      <c r="B17" s="282"/>
      <c r="C17" s="43" t="s">
        <v>151</v>
      </c>
      <c r="D17" s="125"/>
      <c r="E17" s="71"/>
      <c r="F17" s="71"/>
      <c r="G17" s="72"/>
      <c r="H17" s="10">
        <f t="shared" si="0"/>
        <v>0</v>
      </c>
      <c r="I17" s="10">
        <f t="shared" si="1"/>
        <v>0</v>
      </c>
      <c r="J17" s="90">
        <f t="shared" si="2"/>
        <v>0</v>
      </c>
    </row>
    <row r="18" spans="2:10" x14ac:dyDescent="0.2">
      <c r="B18" s="335" t="s">
        <v>519</v>
      </c>
      <c r="C18" s="34" t="s">
        <v>152</v>
      </c>
      <c r="D18" s="125"/>
      <c r="E18" s="71">
        <v>55278031</v>
      </c>
      <c r="F18" s="71"/>
      <c r="G18" s="72">
        <v>5.1999999999999998E-3</v>
      </c>
      <c r="H18" s="10">
        <f t="shared" si="0"/>
        <v>287445.76120000001</v>
      </c>
      <c r="I18" s="10">
        <f t="shared" si="1"/>
        <v>0</v>
      </c>
      <c r="J18" s="90">
        <f t="shared" si="2"/>
        <v>287445.76120000001</v>
      </c>
    </row>
    <row r="19" spans="2:10" x14ac:dyDescent="0.2">
      <c r="B19" s="335"/>
      <c r="C19" s="34" t="s">
        <v>153</v>
      </c>
      <c r="D19" s="125"/>
      <c r="E19" s="71"/>
      <c r="F19" s="71"/>
      <c r="G19" s="72"/>
      <c r="H19" s="10">
        <f t="shared" si="0"/>
        <v>0</v>
      </c>
      <c r="I19" s="10">
        <f t="shared" si="1"/>
        <v>0</v>
      </c>
      <c r="J19" s="90">
        <f t="shared" si="2"/>
        <v>0</v>
      </c>
    </row>
    <row r="20" spans="2:10" x14ac:dyDescent="0.2">
      <c r="B20" s="335"/>
      <c r="C20" s="43" t="s">
        <v>154</v>
      </c>
      <c r="D20" s="125"/>
      <c r="E20" s="71"/>
      <c r="F20" s="71"/>
      <c r="G20" s="72"/>
      <c r="H20" s="10">
        <f t="shared" si="0"/>
        <v>0</v>
      </c>
      <c r="I20" s="10">
        <f t="shared" si="1"/>
        <v>0</v>
      </c>
      <c r="J20" s="90">
        <f t="shared" si="2"/>
        <v>0</v>
      </c>
    </row>
    <row r="21" spans="2:10" x14ac:dyDescent="0.2">
      <c r="B21" s="335"/>
      <c r="C21" s="43" t="s">
        <v>155</v>
      </c>
      <c r="D21" s="125"/>
      <c r="E21" s="71"/>
      <c r="F21" s="71"/>
      <c r="G21" s="72"/>
      <c r="H21" s="10">
        <f t="shared" si="0"/>
        <v>0</v>
      </c>
      <c r="I21" s="10">
        <f t="shared" si="1"/>
        <v>0</v>
      </c>
      <c r="J21" s="90">
        <f t="shared" si="2"/>
        <v>0</v>
      </c>
    </row>
    <row r="22" spans="2:10" ht="25.5" x14ac:dyDescent="0.2">
      <c r="B22" s="335"/>
      <c r="C22" s="43" t="s">
        <v>156</v>
      </c>
      <c r="D22" s="125"/>
      <c r="E22" s="71"/>
      <c r="F22" s="71"/>
      <c r="G22" s="72"/>
      <c r="H22" s="10">
        <f t="shared" si="0"/>
        <v>0</v>
      </c>
      <c r="I22" s="10">
        <f t="shared" si="1"/>
        <v>0</v>
      </c>
      <c r="J22" s="90">
        <f t="shared" si="2"/>
        <v>0</v>
      </c>
    </row>
    <row r="23" spans="2:10" x14ac:dyDescent="0.2">
      <c r="B23" s="335"/>
      <c r="C23" s="34" t="s">
        <v>157</v>
      </c>
      <c r="D23" s="125"/>
      <c r="E23" s="126">
        <f>SUM(E24:E35)</f>
        <v>205056471.24199873</v>
      </c>
      <c r="F23" s="126">
        <f>SUM(F24:F35)</f>
        <v>0</v>
      </c>
      <c r="G23" s="127"/>
      <c r="H23" s="126">
        <f>SUM(H24:H35)</f>
        <v>1075202.1182011093</v>
      </c>
      <c r="I23" s="126">
        <f>SUM(I24:I35)</f>
        <v>0</v>
      </c>
      <c r="J23" s="90">
        <f t="shared" si="2"/>
        <v>1075202.1182011093</v>
      </c>
    </row>
    <row r="24" spans="2:10" x14ac:dyDescent="0.2">
      <c r="B24" s="328" t="s">
        <v>519</v>
      </c>
      <c r="C24" s="70" t="s">
        <v>483</v>
      </c>
      <c r="D24" s="125"/>
      <c r="E24" s="71">
        <v>190714348.27999875</v>
      </c>
      <c r="F24" s="71"/>
      <c r="G24" s="72">
        <v>5.2434439727200924E-3</v>
      </c>
      <c r="H24" s="10">
        <f t="shared" ref="H24:H35" si="3">E24*G24</f>
        <v>1000000</v>
      </c>
      <c r="I24" s="10">
        <f t="shared" ref="I24:I35" si="4">F24*G24</f>
        <v>0</v>
      </c>
      <c r="J24" s="90">
        <f t="shared" si="2"/>
        <v>1000000</v>
      </c>
    </row>
    <row r="25" spans="2:10" x14ac:dyDescent="0.2">
      <c r="B25" s="335" t="s">
        <v>519</v>
      </c>
      <c r="C25" s="314" t="s">
        <v>498</v>
      </c>
      <c r="D25" s="125"/>
      <c r="E25" s="71">
        <v>1942424.69</v>
      </c>
      <c r="F25" s="71"/>
      <c r="G25" s="72">
        <f>G24</f>
        <v>5.2434439727200924E-3</v>
      </c>
      <c r="H25" s="10">
        <f t="shared" si="3"/>
        <v>10184.995033243194</v>
      </c>
      <c r="I25" s="10">
        <f t="shared" si="4"/>
        <v>0</v>
      </c>
      <c r="J25" s="90">
        <f t="shared" si="2"/>
        <v>10184.995033243194</v>
      </c>
    </row>
    <row r="26" spans="2:10" x14ac:dyDescent="0.2">
      <c r="B26" s="335" t="s">
        <v>519</v>
      </c>
      <c r="C26" s="314" t="s">
        <v>497</v>
      </c>
      <c r="D26" s="125"/>
      <c r="E26" s="71">
        <v>12399698.271999989</v>
      </c>
      <c r="F26" s="71"/>
      <c r="G26" s="72">
        <f>G25</f>
        <v>5.2434439727200924E-3</v>
      </c>
      <c r="H26" s="10">
        <f t="shared" si="3"/>
        <v>65017.123167866084</v>
      </c>
      <c r="I26" s="10">
        <f t="shared" si="4"/>
        <v>0</v>
      </c>
      <c r="J26" s="90">
        <f t="shared" si="2"/>
        <v>65017.123167866084</v>
      </c>
    </row>
    <row r="27" spans="2:10" x14ac:dyDescent="0.2">
      <c r="B27" s="282"/>
      <c r="C27" s="70"/>
      <c r="D27" s="125"/>
      <c r="E27" s="71"/>
      <c r="F27" s="71"/>
      <c r="G27" s="72"/>
      <c r="H27" s="10">
        <f t="shared" si="3"/>
        <v>0</v>
      </c>
      <c r="I27" s="10">
        <f t="shared" si="4"/>
        <v>0</v>
      </c>
      <c r="J27" s="90">
        <f t="shared" si="2"/>
        <v>0</v>
      </c>
    </row>
    <row r="28" spans="2:10" x14ac:dyDescent="0.2">
      <c r="B28" s="282"/>
      <c r="C28" s="70"/>
      <c r="D28" s="125"/>
      <c r="E28" s="71"/>
      <c r="F28" s="71"/>
      <c r="G28" s="72"/>
      <c r="H28" s="10">
        <f t="shared" si="3"/>
        <v>0</v>
      </c>
      <c r="I28" s="10">
        <f t="shared" si="4"/>
        <v>0</v>
      </c>
      <c r="J28" s="90">
        <f t="shared" si="2"/>
        <v>0</v>
      </c>
    </row>
    <row r="29" spans="2:10" x14ac:dyDescent="0.2">
      <c r="B29" s="282"/>
      <c r="C29" s="70"/>
      <c r="D29" s="125"/>
      <c r="E29" s="71"/>
      <c r="F29" s="71"/>
      <c r="G29" s="72"/>
      <c r="H29" s="10">
        <f t="shared" si="3"/>
        <v>0</v>
      </c>
      <c r="I29" s="10">
        <f t="shared" si="4"/>
        <v>0</v>
      </c>
      <c r="J29" s="90">
        <f t="shared" si="2"/>
        <v>0</v>
      </c>
    </row>
    <row r="30" spans="2:10" x14ac:dyDescent="0.2">
      <c r="B30" s="282"/>
      <c r="C30" s="70"/>
      <c r="D30" s="125"/>
      <c r="E30" s="71"/>
      <c r="F30" s="71"/>
      <c r="G30" s="72"/>
      <c r="H30" s="10">
        <f t="shared" si="3"/>
        <v>0</v>
      </c>
      <c r="I30" s="10">
        <f t="shared" si="4"/>
        <v>0</v>
      </c>
      <c r="J30" s="90">
        <f t="shared" si="2"/>
        <v>0</v>
      </c>
    </row>
    <row r="31" spans="2:10" x14ac:dyDescent="0.2">
      <c r="B31" s="282"/>
      <c r="C31" s="70"/>
      <c r="D31" s="125"/>
      <c r="E31" s="71"/>
      <c r="F31" s="71"/>
      <c r="G31" s="72"/>
      <c r="H31" s="10">
        <f t="shared" si="3"/>
        <v>0</v>
      </c>
      <c r="I31" s="10">
        <f t="shared" si="4"/>
        <v>0</v>
      </c>
      <c r="J31" s="90">
        <f t="shared" si="2"/>
        <v>0</v>
      </c>
    </row>
    <row r="32" spans="2:10" x14ac:dyDescent="0.2">
      <c r="B32" s="282"/>
      <c r="C32" s="70"/>
      <c r="D32" s="125"/>
      <c r="E32" s="71"/>
      <c r="F32" s="71"/>
      <c r="G32" s="72"/>
      <c r="H32" s="10">
        <f t="shared" si="3"/>
        <v>0</v>
      </c>
      <c r="I32" s="10">
        <f t="shared" si="4"/>
        <v>0</v>
      </c>
      <c r="J32" s="90">
        <f t="shared" si="2"/>
        <v>0</v>
      </c>
    </row>
    <row r="33" spans="2:10" x14ac:dyDescent="0.2">
      <c r="B33" s="282"/>
      <c r="C33" s="70"/>
      <c r="D33" s="125"/>
      <c r="E33" s="71"/>
      <c r="F33" s="71"/>
      <c r="G33" s="72"/>
      <c r="H33" s="10">
        <f t="shared" si="3"/>
        <v>0</v>
      </c>
      <c r="I33" s="10">
        <f t="shared" si="4"/>
        <v>0</v>
      </c>
      <c r="J33" s="90">
        <f t="shared" si="2"/>
        <v>0</v>
      </c>
    </row>
    <row r="34" spans="2:10" x14ac:dyDescent="0.2">
      <c r="B34" s="282"/>
      <c r="C34" s="70"/>
      <c r="D34" s="125"/>
      <c r="E34" s="71"/>
      <c r="F34" s="71"/>
      <c r="G34" s="72"/>
      <c r="H34" s="10">
        <f t="shared" si="3"/>
        <v>0</v>
      </c>
      <c r="I34" s="10">
        <f t="shared" si="4"/>
        <v>0</v>
      </c>
      <c r="J34" s="90">
        <f t="shared" si="2"/>
        <v>0</v>
      </c>
    </row>
    <row r="35" spans="2:10" x14ac:dyDescent="0.2">
      <c r="B35" s="282"/>
      <c r="C35" s="70"/>
      <c r="D35" s="125"/>
      <c r="E35" s="71"/>
      <c r="F35" s="71"/>
      <c r="G35" s="72"/>
      <c r="H35" s="10">
        <f t="shared" si="3"/>
        <v>0</v>
      </c>
      <c r="I35" s="10">
        <f t="shared" si="4"/>
        <v>0</v>
      </c>
      <c r="J35" s="90">
        <f t="shared" si="2"/>
        <v>0</v>
      </c>
    </row>
    <row r="36" spans="2:10" x14ac:dyDescent="0.2">
      <c r="B36" s="283"/>
      <c r="C36" s="415" t="s">
        <v>181</v>
      </c>
      <c r="D36" s="416"/>
      <c r="E36" s="10">
        <f>SUM(E15:E23)</f>
        <v>260334502.24199873</v>
      </c>
      <c r="F36" s="10">
        <f>SUM(F15:F23)</f>
        <v>0</v>
      </c>
      <c r="G36" s="128"/>
      <c r="H36" s="10">
        <f>SUM(H15:H23)</f>
        <v>1362647.8794011094</v>
      </c>
      <c r="I36" s="10">
        <f>SUM(I15:I23)</f>
        <v>0</v>
      </c>
      <c r="J36" s="90">
        <f>SUM(J15:J23)</f>
        <v>1362647.8794011094</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1"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x14ac:dyDescent="0.2">
      <c r="B1" s="135" t="s">
        <v>53</v>
      </c>
      <c r="C1" s="135"/>
    </row>
    <row r="2" spans="2:6" ht="20.25" x14ac:dyDescent="0.2">
      <c r="B2" s="135" t="str">
        <f>IF(Tradingname=0," ",Tradingname)</f>
        <v>APA WGP PTY LTD</v>
      </c>
      <c r="C2" s="135"/>
      <c r="E2" s="260"/>
    </row>
    <row r="3" spans="2:6" ht="20.25" x14ac:dyDescent="0.3">
      <c r="B3" s="135" t="s">
        <v>30</v>
      </c>
      <c r="C3" s="99">
        <f>IF(Yearending=0, "01/01/2000", Yearending)</f>
        <v>45838</v>
      </c>
    </row>
    <row r="4" spans="2:6" ht="45" customHeight="1" x14ac:dyDescent="0.2">
      <c r="B4" s="418" t="s">
        <v>199</v>
      </c>
      <c r="C4" s="418"/>
      <c r="D4" s="243"/>
    </row>
    <row r="5" spans="2:6" x14ac:dyDescent="0.2">
      <c r="D5" s="261"/>
    </row>
    <row r="6" spans="2:6" ht="12.75" customHeight="1" x14ac:dyDescent="0.2">
      <c r="B6" s="414" t="s">
        <v>200</v>
      </c>
      <c r="C6" s="414"/>
      <c r="D6" s="414"/>
      <c r="E6" s="414"/>
      <c r="F6" s="414"/>
    </row>
    <row r="7" spans="2:6" ht="12.75" customHeight="1" x14ac:dyDescent="0.2">
      <c r="B7" s="414"/>
      <c r="C7" s="414"/>
      <c r="D7" s="414"/>
      <c r="E7" s="414"/>
      <c r="F7" s="414"/>
    </row>
    <row r="8" spans="2:6" ht="12.75" customHeight="1" x14ac:dyDescent="0.2">
      <c r="B8" s="414"/>
      <c r="C8" s="414"/>
      <c r="D8" s="414"/>
      <c r="E8" s="414"/>
      <c r="F8" s="414"/>
    </row>
    <row r="9" spans="2:6" ht="12.75" customHeight="1" x14ac:dyDescent="0.2">
      <c r="B9" s="414"/>
      <c r="C9" s="414"/>
      <c r="D9" s="414"/>
      <c r="E9" s="414"/>
      <c r="F9" s="414"/>
    </row>
    <row r="10" spans="2:6" ht="12.75" customHeight="1" x14ac:dyDescent="0.2">
      <c r="B10" s="414"/>
      <c r="C10" s="414"/>
      <c r="D10" s="414"/>
      <c r="E10" s="414"/>
      <c r="F10" s="414"/>
    </row>
    <row r="11" spans="2:6" x14ac:dyDescent="0.2">
      <c r="D11" s="261"/>
    </row>
    <row r="12" spans="2:6" x14ac:dyDescent="0.2">
      <c r="D12" s="261"/>
    </row>
    <row r="13" spans="2:6" ht="15.75" x14ac:dyDescent="0.2">
      <c r="B13" s="417" t="s">
        <v>201</v>
      </c>
      <c r="C13" s="417"/>
      <c r="D13" s="261"/>
    </row>
    <row r="15" spans="2:6" ht="25.5" x14ac:dyDescent="0.2">
      <c r="B15" s="44" t="s">
        <v>113</v>
      </c>
      <c r="C15" s="45" t="s">
        <v>114</v>
      </c>
      <c r="D15" s="45" t="s">
        <v>162</v>
      </c>
      <c r="E15" s="301" t="s">
        <v>124</v>
      </c>
    </row>
    <row r="16" spans="2:6" x14ac:dyDescent="0.2">
      <c r="B16" s="44"/>
      <c r="C16" s="46" t="s">
        <v>202</v>
      </c>
      <c r="D16" s="301"/>
      <c r="E16" s="301"/>
    </row>
    <row r="17" spans="2:7" x14ac:dyDescent="0.2">
      <c r="B17" s="284"/>
      <c r="C17" s="48" t="s">
        <v>203</v>
      </c>
      <c r="D17" s="45"/>
      <c r="E17" s="301"/>
    </row>
    <row r="18" spans="2:7" x14ac:dyDescent="0.2">
      <c r="B18" s="324" t="s">
        <v>509</v>
      </c>
      <c r="C18" s="47" t="s">
        <v>204</v>
      </c>
      <c r="D18" s="129">
        <f>IF(Cover!C23="Scheme pipeline","-",SUMIF('3.5 Depreciation amortisation'!$D$15:$D$58,'3.1 Depreciated Book Value'!C17,'3.5 Depreciation amortisation'!$H$15:$H$58))</f>
        <v>2426927232.1699972</v>
      </c>
      <c r="E18" s="66">
        <v>2409504796.9699974</v>
      </c>
    </row>
    <row r="19" spans="2:7" x14ac:dyDescent="0.2">
      <c r="B19" s="324" t="s">
        <v>509</v>
      </c>
      <c r="C19" s="47" t="s">
        <v>205</v>
      </c>
      <c r="D19" s="129">
        <f>IF(Cover!C23="Scheme pipeline","-",SUMIF('3.5 Depreciation amortisation'!$D$15:$D$58,'3.1 Depreciated Book Value'!C17,'3.5 Depreciation amortisation'!$I$15:$I$58))</f>
        <v>5678001.8000000007</v>
      </c>
      <c r="E19" s="66">
        <v>17422435.200000003</v>
      </c>
    </row>
    <row r="20" spans="2:7" x14ac:dyDescent="0.2">
      <c r="B20" s="324" t="s">
        <v>509</v>
      </c>
      <c r="C20" s="47" t="s">
        <v>206</v>
      </c>
      <c r="D20" s="129">
        <f>IF(Cover!C23="Scheme pipeline","-",SUMIF('3.5 Depreciation amortisation'!$D$15:$D$58,'3.1 Depreciated Book Value'!C17,'3.5 Depreciation amortisation'!$J$15:$J$58))</f>
        <v>0</v>
      </c>
      <c r="E20" s="66">
        <v>0</v>
      </c>
    </row>
    <row r="21" spans="2:7" x14ac:dyDescent="0.2">
      <c r="B21" s="329"/>
      <c r="C21" s="84" t="s">
        <v>207</v>
      </c>
      <c r="D21" s="129">
        <f>IF(Cover!C23="Scheme pipeline","-",SUM(D18:D20))</f>
        <v>2432605233.9699974</v>
      </c>
      <c r="E21" s="129">
        <f>SUM(E18:E20)</f>
        <v>2426927232.1699972</v>
      </c>
    </row>
    <row r="22" spans="2:7" x14ac:dyDescent="0.2">
      <c r="B22" s="324" t="s">
        <v>509</v>
      </c>
      <c r="C22" s="47" t="s">
        <v>208</v>
      </c>
      <c r="D22" s="129">
        <f>IF(Cover!C23="Scheme pipeline","-",-ABS(SUMIF('3.5 Depreciation amortisation'!$D$15:$D$58,'3.1 Depreciated Book Value'!C17,'3.5 Depreciation amortisation'!$O$15:$O$58)+SUMIF('3.5 Depreciation amortisation'!$D$15:$D$58,'3.1 Depreciated Book Value'!C17,'3.5 Depreciation amortisation'!$P$15:$P$58))-D23)</f>
        <v>-1223637332.9399996</v>
      </c>
      <c r="E22" s="66">
        <v>-1101073272.0799994</v>
      </c>
    </row>
    <row r="23" spans="2:7" x14ac:dyDescent="0.2">
      <c r="B23" s="324" t="s">
        <v>509</v>
      </c>
      <c r="C23" s="47" t="s">
        <v>209</v>
      </c>
      <c r="D23" s="129">
        <f>IF(Cover!C23="Scheme pipeline","-",-ABS(SUMIF('3.4 Asset impairment'!$C$10:$C$24,'3.1 Depreciated Book Value'!C17,'3.4 Asset impairment'!$D$10:$D$24))+SUMIF('3.4 Asset impairment'!$C$30:$C$56,'3.1 Depreciated Book Value'!C17,'3.4 Asset impairment'!$G$30:$G$56))</f>
        <v>0</v>
      </c>
      <c r="E23" s="66">
        <v>0</v>
      </c>
    </row>
    <row r="24" spans="2:7" x14ac:dyDescent="0.2">
      <c r="B24" s="324" t="s">
        <v>509</v>
      </c>
      <c r="C24" s="47" t="s">
        <v>210</v>
      </c>
      <c r="D24" s="129">
        <f>IF(Cover!C23="Scheme pipeline","-",SUMIF('3.5 Depreciation amortisation'!$D$15:$D$58,'3.1 Depreciated Book Value'!C17,'3.5 Depreciation amortisation'!$K$15:$K$58))</f>
        <v>0</v>
      </c>
      <c r="E24" s="66">
        <v>0</v>
      </c>
      <c r="F24" s="241"/>
    </row>
    <row r="25" spans="2:7" x14ac:dyDescent="0.2">
      <c r="B25" s="329"/>
      <c r="C25" s="84" t="s">
        <v>211</v>
      </c>
      <c r="D25" s="129">
        <f>IF(Cover!C23="Scheme pipeline","-",SUM(D21:D24))</f>
        <v>1208967901.0299978</v>
      </c>
      <c r="E25" s="129">
        <f>SUM(E21:E24)</f>
        <v>1325853960.0899978</v>
      </c>
    </row>
    <row r="26" spans="2:7" x14ac:dyDescent="0.2">
      <c r="B26" s="329"/>
      <c r="C26" s="48" t="s">
        <v>212</v>
      </c>
      <c r="D26" s="130"/>
      <c r="E26" s="130"/>
      <c r="G26" s="160"/>
    </row>
    <row r="27" spans="2:7" x14ac:dyDescent="0.2">
      <c r="B27" s="324" t="s">
        <v>509</v>
      </c>
      <c r="C27" s="47" t="s">
        <v>204</v>
      </c>
      <c r="D27" s="129">
        <f>IF(Cover!C23="Scheme pipeline","-",SUMIF('3.5 Depreciation amortisation'!$D$15:$D$58,'3.1 Depreciated Book Value'!C26,'3.5 Depreciation amortisation'!$H$15:$H$58))</f>
        <v>0</v>
      </c>
      <c r="E27" s="66">
        <v>0</v>
      </c>
      <c r="G27" s="160"/>
    </row>
    <row r="28" spans="2:7" x14ac:dyDescent="0.2">
      <c r="B28" s="324" t="s">
        <v>509</v>
      </c>
      <c r="C28" s="47" t="s">
        <v>205</v>
      </c>
      <c r="D28" s="129">
        <f>IF(Cover!C23="Scheme pipeline","-",SUMIF('3.5 Depreciation amortisation'!$D$15:$D$58,'3.1 Depreciated Book Value'!C26,'3.5 Depreciation amortisation'!$I$15:$I$58))</f>
        <v>0</v>
      </c>
      <c r="E28" s="66">
        <v>0</v>
      </c>
      <c r="G28" s="160"/>
    </row>
    <row r="29" spans="2:7" x14ac:dyDescent="0.2">
      <c r="B29" s="324" t="s">
        <v>509</v>
      </c>
      <c r="C29" s="47" t="s">
        <v>206</v>
      </c>
      <c r="D29" s="129">
        <f>IF(Cover!C23="Scheme pipeline","-",SUMIF('3.5 Depreciation amortisation'!$D$15:$D$58,'3.1 Depreciated Book Value'!C26,'3.5 Depreciation amortisation'!$J$15:$J$58))</f>
        <v>0</v>
      </c>
      <c r="E29" s="66">
        <v>0</v>
      </c>
      <c r="G29" s="160"/>
    </row>
    <row r="30" spans="2:7" x14ac:dyDescent="0.2">
      <c r="B30" s="324" t="s">
        <v>509</v>
      </c>
      <c r="C30" s="47" t="s">
        <v>208</v>
      </c>
      <c r="D30" s="129">
        <f>IF(Cover!C23="Scheme pipeline","-",-ABS(SUMIF('3.5 Depreciation amortisation'!$D$15:$D$58,'3.1 Depreciated Book Value'!C26,'3.5 Depreciation amortisation'!$O$15:$O$58)+SUMIF('3.5 Depreciation amortisation'!$D$15:$D$58,'3.1 Depreciated Book Value'!C26,'3.5 Depreciation amortisation'!$P$15:$P$58))-D31)</f>
        <v>0</v>
      </c>
      <c r="E30" s="66">
        <v>0</v>
      </c>
      <c r="F30" s="241"/>
      <c r="G30" s="160"/>
    </row>
    <row r="31" spans="2:7" x14ac:dyDescent="0.2">
      <c r="B31" s="324" t="s">
        <v>509</v>
      </c>
      <c r="C31" s="47" t="s">
        <v>209</v>
      </c>
      <c r="D31" s="129">
        <f>IF(Cover!C23="Scheme pipeline","-",-ABS(SUMIF('3.4 Asset impairment'!$C$10:$C$24,'3.1 Depreciated Book Value'!C26,'3.4 Asset impairment'!$D$10:$D$24))+SUMIF('3.4 Asset impairment'!$C$30:$C$56,C26,'3.4 Asset impairment'!$G$30:$G$56))</f>
        <v>0</v>
      </c>
      <c r="E31" s="66">
        <v>0</v>
      </c>
      <c r="F31" s="241"/>
      <c r="G31" s="160"/>
    </row>
    <row r="32" spans="2:7" ht="11.25" customHeight="1" x14ac:dyDescent="0.2">
      <c r="B32" s="324" t="s">
        <v>509</v>
      </c>
      <c r="C32" s="47" t="s">
        <v>210</v>
      </c>
      <c r="D32" s="129">
        <f>IF(Cover!C23="Scheme pipeline","-",SUMIF('3.5 Depreciation amortisation'!$D$15:$D$58,'3.1 Depreciated Book Value'!C26,'3.5 Depreciation amortisation'!$K$15:$K$58))</f>
        <v>0</v>
      </c>
      <c r="E32" s="66">
        <v>0</v>
      </c>
      <c r="G32" s="160"/>
    </row>
    <row r="33" spans="2:7" x14ac:dyDescent="0.2">
      <c r="B33" s="329"/>
      <c r="C33" s="84" t="s">
        <v>213</v>
      </c>
      <c r="D33" s="129">
        <f>IF(Cover!C23="Scheme pipeline","-",SUM(D27:D32))</f>
        <v>0</v>
      </c>
      <c r="E33" s="129">
        <f>SUM(E27:E32)</f>
        <v>0</v>
      </c>
      <c r="G33" s="160"/>
    </row>
    <row r="34" spans="2:7" x14ac:dyDescent="0.2">
      <c r="B34" s="329"/>
      <c r="C34" s="48" t="s">
        <v>214</v>
      </c>
      <c r="D34" s="130"/>
      <c r="E34" s="130"/>
      <c r="G34" s="159"/>
    </row>
    <row r="35" spans="2:7" x14ac:dyDescent="0.2">
      <c r="B35" s="324" t="s">
        <v>509</v>
      </c>
      <c r="C35" s="47" t="s">
        <v>204</v>
      </c>
      <c r="D35" s="129">
        <f>IF(Cover!C23="Scheme pipeline","-",SUMIF('3.5 Depreciation amortisation'!$D$15:$D$58,'3.1 Depreciated Book Value'!C34,'3.5 Depreciation amortisation'!$H$15:$H$58))</f>
        <v>71491906.639999971</v>
      </c>
      <c r="E35" s="66">
        <v>71491906.639999971</v>
      </c>
    </row>
    <row r="36" spans="2:7" x14ac:dyDescent="0.2">
      <c r="B36" s="324" t="s">
        <v>509</v>
      </c>
      <c r="C36" s="47" t="s">
        <v>205</v>
      </c>
      <c r="D36" s="129">
        <f>IF(Cover!C23="Scheme pipeline","-",SUMIF('3.5 Depreciation amortisation'!$D$15:$D$58,'3.1 Depreciated Book Value'!C34,'3.5 Depreciation amortisation'!$I$15:$I$58))</f>
        <v>0</v>
      </c>
      <c r="E36" s="66">
        <v>0</v>
      </c>
    </row>
    <row r="37" spans="2:7" x14ac:dyDescent="0.2">
      <c r="B37" s="324" t="s">
        <v>509</v>
      </c>
      <c r="C37" s="47" t="s">
        <v>206</v>
      </c>
      <c r="D37" s="129">
        <f>IF(Cover!C23="Scheme pipeline","-",SUMIF('3.5 Depreciation amortisation'!$D$15:$D$58,'3.1 Depreciated Book Value'!C34,'3.5 Depreciation amortisation'!$J$15:$J$58))</f>
        <v>0</v>
      </c>
      <c r="E37" s="66">
        <v>0</v>
      </c>
    </row>
    <row r="38" spans="2:7" x14ac:dyDescent="0.2">
      <c r="B38" s="324" t="s">
        <v>509</v>
      </c>
      <c r="C38" s="47" t="s">
        <v>208</v>
      </c>
      <c r="D38" s="129">
        <f>IF(Cover!C23="Scheme pipeline","-",-ABS(SUMIF('3.5 Depreciation amortisation'!$D$15:$D$58,'3.1 Depreciated Book Value'!C34,'3.5 Depreciation amortisation'!$O$15:$O$58)+SUMIF('3.5 Depreciation amortisation'!$D$15:$D$58,'3.1 Depreciated Book Value'!C34,'3.5 Depreciation amortisation'!$P$15:$P$58))-D39)</f>
        <v>-51477269.860000014</v>
      </c>
      <c r="E38" s="66">
        <v>-46358743.74000001</v>
      </c>
      <c r="F38" s="241"/>
    </row>
    <row r="39" spans="2:7" x14ac:dyDescent="0.2">
      <c r="B39" s="324" t="s">
        <v>509</v>
      </c>
      <c r="C39" s="47" t="s">
        <v>209</v>
      </c>
      <c r="D39" s="129">
        <f>IF(Cover!C23="Scheme pipeline","-",-ABS(SUMIF('3.4 Asset impairment'!$C$10:$C$24,'3.1 Depreciated Book Value'!C34,'3.4 Asset impairment'!$D$10:$D$24))+SUMIF('3.4 Asset impairment'!$C$30:$C$56,'3.1 Depreciated Book Value'!C34,'3.4 Asset impairment'!$G$30:$G$56))</f>
        <v>0</v>
      </c>
      <c r="E39" s="66">
        <v>0</v>
      </c>
      <c r="F39" s="241"/>
    </row>
    <row r="40" spans="2:7" ht="11.25" customHeight="1" x14ac:dyDescent="0.2">
      <c r="B40" s="324" t="s">
        <v>509</v>
      </c>
      <c r="C40" s="47" t="s">
        <v>210</v>
      </c>
      <c r="D40" s="129">
        <f>IF(Cover!C23="Scheme pipeline","-",SUMIF('3.5 Depreciation amortisation'!$D$15:$D$58,'3.1 Depreciated Book Value'!C34,'3.5 Depreciation amortisation'!$K$15:$K$58))</f>
        <v>0</v>
      </c>
      <c r="E40" s="66">
        <v>0</v>
      </c>
    </row>
    <row r="41" spans="2:7" x14ac:dyDescent="0.2">
      <c r="B41" s="329"/>
      <c r="C41" s="84" t="s">
        <v>215</v>
      </c>
      <c r="D41" s="129">
        <f>SUM(D35:D40)</f>
        <v>20014636.779999956</v>
      </c>
      <c r="E41" s="129">
        <f>SUM(E35:E40)</f>
        <v>25133162.899999961</v>
      </c>
    </row>
    <row r="42" spans="2:7" x14ac:dyDescent="0.2">
      <c r="B42" s="329"/>
      <c r="C42" s="48" t="s">
        <v>216</v>
      </c>
      <c r="D42" s="130"/>
      <c r="E42" s="130"/>
    </row>
    <row r="43" spans="2:7" x14ac:dyDescent="0.2">
      <c r="B43" s="324" t="s">
        <v>509</v>
      </c>
      <c r="C43" s="47" t="s">
        <v>204</v>
      </c>
      <c r="D43" s="129">
        <f>IF(Cover!C23="Scheme pipeline","-",SUMIF('3.5 Depreciation amortisation'!$D$15:$D$58,'3.1 Depreciated Book Value'!C42,'3.5 Depreciation amortisation'!$H$15:$H$58))</f>
        <v>4000000.0000000005</v>
      </c>
      <c r="E43" s="66">
        <v>4000000.0000000005</v>
      </c>
    </row>
    <row r="44" spans="2:7" x14ac:dyDescent="0.2">
      <c r="B44" s="324" t="s">
        <v>509</v>
      </c>
      <c r="C44" s="47" t="s">
        <v>217</v>
      </c>
      <c r="D44" s="129">
        <f>IF(Cover!C23="Scheme pipeline","-",SUMIF('3.5 Depreciation amortisation'!$D$15:$D$58,'3.1 Depreciated Book Value'!C42,'3.5 Depreciation amortisation'!$I$15:$I$58))</f>
        <v>0</v>
      </c>
      <c r="E44" s="66">
        <v>0</v>
      </c>
    </row>
    <row r="45" spans="2:7" x14ac:dyDescent="0.2">
      <c r="B45" s="324" t="s">
        <v>509</v>
      </c>
      <c r="C45" s="47" t="s">
        <v>206</v>
      </c>
      <c r="D45" s="129">
        <f>IF(Cover!C23="Scheme pipeline","-",SUMIF('3.5 Depreciation amortisation'!$D$15:$D$58,'3.1 Depreciated Book Value'!C42,'3.5 Depreciation amortisation'!$J$15:$J$58))</f>
        <v>0</v>
      </c>
      <c r="E45" s="66">
        <v>0</v>
      </c>
    </row>
    <row r="46" spans="2:7" x14ac:dyDescent="0.2">
      <c r="B46" s="324" t="s">
        <v>509</v>
      </c>
      <c r="C46" s="47" t="s">
        <v>208</v>
      </c>
      <c r="D46" s="129">
        <f>IF(Cover!C23="Scheme pipeline","-",-ABS(SUMIF('3.5 Depreciation amortisation'!$D$15:$D$58,'3.1 Depreciated Book Value'!C42,'3.5 Depreciation amortisation'!$O$15:$O$58)+SUMIF('3.5 Depreciation amortisation'!$D$15:$D$58,'3.1 Depreciated Book Value'!C42,'3.5 Depreciation amortisation'!$P$15:$P$58))-D47)</f>
        <v>-2018920.98</v>
      </c>
      <c r="E46" s="66">
        <v>-1819148.32</v>
      </c>
      <c r="F46" s="241"/>
    </row>
    <row r="47" spans="2:7" x14ac:dyDescent="0.2">
      <c r="B47" s="324" t="s">
        <v>509</v>
      </c>
      <c r="C47" s="47" t="s">
        <v>209</v>
      </c>
      <c r="D47" s="129">
        <f>IF(Cover!C23="Scheme pipeline","-",-ABS(SUMIF('3.4 Asset impairment'!$C$10:$C$24,'3.1 Depreciated Book Value'!C42,'3.4 Asset impairment'!$D$10:$D$24))+SUMIF('3.4 Asset impairment'!$C$30:$C$56,'3.1 Depreciated Book Value'!C42,'3.4 Asset impairment'!$G$30:$G$56))</f>
        <v>0</v>
      </c>
      <c r="E47" s="66">
        <v>0</v>
      </c>
      <c r="F47" s="241"/>
    </row>
    <row r="48" spans="2:7" ht="11.25" customHeight="1" x14ac:dyDescent="0.2">
      <c r="B48" s="324" t="s">
        <v>509</v>
      </c>
      <c r="C48" s="47" t="s">
        <v>210</v>
      </c>
      <c r="D48" s="129">
        <f>IF(Cover!C23="Scheme pipeline","-",SUMIF('3.5 Depreciation amortisation'!$D$15:$D$58,'3.1 Depreciated Book Value'!C42,'3.5 Depreciation amortisation'!$K$15:$K$58))</f>
        <v>0</v>
      </c>
      <c r="E48" s="66">
        <v>0</v>
      </c>
    </row>
    <row r="49" spans="2:6" x14ac:dyDescent="0.2">
      <c r="B49" s="329"/>
      <c r="C49" s="84" t="s">
        <v>218</v>
      </c>
      <c r="D49" s="129">
        <f>SUM(D43:D48)</f>
        <v>1981079.0200000005</v>
      </c>
      <c r="E49" s="129">
        <f>SUM(E43:E48)</f>
        <v>2180851.6800000006</v>
      </c>
    </row>
    <row r="50" spans="2:6" x14ac:dyDescent="0.2">
      <c r="B50" s="329"/>
      <c r="C50" s="48" t="s">
        <v>219</v>
      </c>
      <c r="D50" s="130"/>
      <c r="E50" s="130"/>
    </row>
    <row r="51" spans="2:6" x14ac:dyDescent="0.2">
      <c r="B51" s="324" t="s">
        <v>509</v>
      </c>
      <c r="C51" s="47" t="s">
        <v>204</v>
      </c>
      <c r="D51" s="129">
        <f>IF(Cover!C23="Scheme pipeline","-",SUMIF('3.5 Depreciation amortisation'!$D$15:$D$58,'3.1 Depreciated Book Value'!C50,'3.5 Depreciation amortisation'!$H$15:$H$58))</f>
        <v>0</v>
      </c>
      <c r="E51" s="66">
        <v>0</v>
      </c>
    </row>
    <row r="52" spans="2:6" x14ac:dyDescent="0.2">
      <c r="B52" s="324" t="s">
        <v>509</v>
      </c>
      <c r="C52" s="47" t="s">
        <v>205</v>
      </c>
      <c r="D52" s="129">
        <f>IF(Cover!C23="Scheme pipeline","-",SUMIF('3.5 Depreciation amortisation'!$D$15:$D$58,'3.1 Depreciated Book Value'!C50,'3.5 Depreciation amortisation'!$I$15:$I$58))</f>
        <v>0</v>
      </c>
      <c r="E52" s="66">
        <v>0</v>
      </c>
    </row>
    <row r="53" spans="2:6" x14ac:dyDescent="0.2">
      <c r="B53" s="324" t="s">
        <v>509</v>
      </c>
      <c r="C53" s="47" t="s">
        <v>206</v>
      </c>
      <c r="D53" s="129">
        <f>IF(Cover!C23="Scheme pipeline","-",SUMIF('3.5 Depreciation amortisation'!$D$15:$D$58,'3.1 Depreciated Book Value'!C50,'3.5 Depreciation amortisation'!$J$15:$J$58))</f>
        <v>0</v>
      </c>
      <c r="E53" s="66">
        <v>0</v>
      </c>
    </row>
    <row r="54" spans="2:6" x14ac:dyDescent="0.2">
      <c r="B54" s="324" t="s">
        <v>509</v>
      </c>
      <c r="C54" s="47" t="s">
        <v>208</v>
      </c>
      <c r="D54" s="129">
        <f>IF(Cover!C23="Scheme pipeline","-",-ABS(SUMIF('3.5 Depreciation amortisation'!$D$15:$D$58,'3.1 Depreciated Book Value'!C50,'3.5 Depreciation amortisation'!$O$15:$O$58)+SUMIF('3.5 Depreciation amortisation'!$D$15:$D$58,'3.1 Depreciated Book Value'!C50,'3.5 Depreciation amortisation'!$P$15:$P$58))-D55)</f>
        <v>0</v>
      </c>
      <c r="E54" s="66">
        <v>0</v>
      </c>
      <c r="F54" s="241"/>
    </row>
    <row r="55" spans="2:6" x14ac:dyDescent="0.2">
      <c r="B55" s="324" t="s">
        <v>509</v>
      </c>
      <c r="C55" s="47" t="s">
        <v>209</v>
      </c>
      <c r="D55" s="129">
        <f>IF(Cover!C23="Scheme pipeline","-",-ABS(SUMIF('3.4 Asset impairment'!$C$10:$C$24,'3.1 Depreciated Book Value'!C50,'3.4 Asset impairment'!$D$10:$D$24))+SUMIF('3.4 Asset impairment'!$C$30:$C$56,'3.1 Depreciated Book Value'!C50,'3.4 Asset impairment'!$G$30:$G$56))</f>
        <v>0</v>
      </c>
      <c r="E55" s="66">
        <v>0</v>
      </c>
      <c r="F55" s="241"/>
    </row>
    <row r="56" spans="2:6" ht="11.25" customHeight="1" x14ac:dyDescent="0.2">
      <c r="B56" s="324" t="s">
        <v>509</v>
      </c>
      <c r="C56" s="47" t="s">
        <v>210</v>
      </c>
      <c r="D56" s="129">
        <f>IF(Cover!C23="Scheme pipeline","-",SUMIF('3.5 Depreciation amortisation'!$D$15:$D$58,'3.1 Depreciated Book Value'!C50,'3.5 Depreciation amortisation'!$K$15:$K$58))</f>
        <v>0</v>
      </c>
      <c r="E56" s="66">
        <v>0</v>
      </c>
    </row>
    <row r="57" spans="2:6" x14ac:dyDescent="0.2">
      <c r="B57" s="329"/>
      <c r="C57" s="84" t="s">
        <v>220</v>
      </c>
      <c r="D57" s="129">
        <f>SUM(D51:D56)</f>
        <v>0</v>
      </c>
      <c r="E57" s="129">
        <f>SUM(E51:E56)</f>
        <v>0</v>
      </c>
    </row>
    <row r="58" spans="2:6" x14ac:dyDescent="0.2">
      <c r="B58" s="329"/>
      <c r="C58" s="48" t="s">
        <v>221</v>
      </c>
      <c r="D58" s="130"/>
      <c r="E58" s="130"/>
    </row>
    <row r="59" spans="2:6" x14ac:dyDescent="0.2">
      <c r="B59" s="324" t="s">
        <v>509</v>
      </c>
      <c r="C59" s="47" t="s">
        <v>204</v>
      </c>
      <c r="D59" s="129">
        <f>IF(Cover!C23="Scheme pipeline","-",SUMIF('3.5 Depreciation amortisation'!$D$15:$D$58,'3.1 Depreciated Book Value'!C58,'3.5 Depreciation amortisation'!$H$15:$H$58))</f>
        <v>469252.94</v>
      </c>
      <c r="E59" s="66">
        <v>469252.94</v>
      </c>
    </row>
    <row r="60" spans="2:6" x14ac:dyDescent="0.2">
      <c r="B60" s="324" t="s">
        <v>509</v>
      </c>
      <c r="C60" s="47" t="s">
        <v>205</v>
      </c>
      <c r="D60" s="129">
        <f>IF(Cover!C23="Scheme pipeline","-",SUMIF('3.5 Depreciation amortisation'!$D$15:$D$58,'3.1 Depreciated Book Value'!C58,'3.5 Depreciation amortisation'!$I$15:$I$58))</f>
        <v>0</v>
      </c>
      <c r="E60" s="66">
        <v>0</v>
      </c>
    </row>
    <row r="61" spans="2:6" x14ac:dyDescent="0.2">
      <c r="B61" s="324" t="s">
        <v>509</v>
      </c>
      <c r="C61" s="47" t="s">
        <v>206</v>
      </c>
      <c r="D61" s="129">
        <f>IF(Cover!C23="Scheme pipeline","-",SUMIF('3.5 Depreciation amortisation'!$D$15:$D$58,'3.1 Depreciated Book Value'!C58,'3.5 Depreciation amortisation'!$J$15:$J$58))</f>
        <v>0</v>
      </c>
      <c r="E61" s="66">
        <v>0</v>
      </c>
    </row>
    <row r="62" spans="2:6" ht="11.25" customHeight="1" x14ac:dyDescent="0.2">
      <c r="B62" s="324" t="s">
        <v>509</v>
      </c>
      <c r="C62" s="47" t="s">
        <v>208</v>
      </c>
      <c r="D62" s="129">
        <f>IF(Cover!C23="Scheme pipeline","-",-ABS(SUMIF('3.5 Depreciation amortisation'!$D$15:$D$58,'3.1 Depreciated Book Value'!C58,'3.5 Depreciation amortisation'!$O$15:$O$58)+SUMIF('3.5 Depreciation amortisation'!$D$15:$D$58,'3.1 Depreciated Book Value'!C58,'3.5 Depreciation amortisation'!$P$15:$P$58))-D63)</f>
        <v>-353245.98</v>
      </c>
      <c r="E62" s="66">
        <v>-307375.84999999998</v>
      </c>
      <c r="F62" s="241"/>
    </row>
    <row r="63" spans="2:6" ht="11.25" customHeight="1" x14ac:dyDescent="0.2">
      <c r="B63" s="324" t="s">
        <v>509</v>
      </c>
      <c r="C63" s="47" t="s">
        <v>209</v>
      </c>
      <c r="D63" s="129">
        <f>IF(Cover!C23="Scheme pipeline","-",-ABS(SUMIF('3.4 Asset impairment'!$C$10:$C$24,'3.1 Depreciated Book Value'!C58,'3.4 Asset impairment'!$D$10:$D$24))+SUMIF('3.4 Asset impairment'!$C$30:$C$56,'3.1 Depreciated Book Value'!C58,'3.4 Asset impairment'!$G$30:$G$56))</f>
        <v>0</v>
      </c>
      <c r="E63" s="66">
        <v>0</v>
      </c>
      <c r="F63" s="241"/>
    </row>
    <row r="64" spans="2:6" ht="11.25" customHeight="1" x14ac:dyDescent="0.2">
      <c r="B64" s="324" t="s">
        <v>509</v>
      </c>
      <c r="C64" s="47" t="s">
        <v>210</v>
      </c>
      <c r="D64" s="129">
        <f>IF(Cover!C23="Scheme pipeline","-",SUMIF('3.5 Depreciation amortisation'!$D$15:$D$58,'3.1 Depreciated Book Value'!C58,'3.5 Depreciation amortisation'!$K$15:$K$58))</f>
        <v>0</v>
      </c>
      <c r="E64" s="66">
        <v>0</v>
      </c>
    </row>
    <row r="65" spans="2:6" x14ac:dyDescent="0.2">
      <c r="B65" s="329"/>
      <c r="C65" s="84" t="s">
        <v>222</v>
      </c>
      <c r="D65" s="129">
        <f>SUM(D59:D64)</f>
        <v>116006.96000000002</v>
      </c>
      <c r="E65" s="129">
        <f>SUM(E59:E64)</f>
        <v>161877.09000000003</v>
      </c>
    </row>
    <row r="66" spans="2:6" x14ac:dyDescent="0.2">
      <c r="B66" s="329"/>
      <c r="C66" s="48" t="s">
        <v>223</v>
      </c>
      <c r="D66" s="130"/>
      <c r="E66" s="130"/>
    </row>
    <row r="67" spans="2:6" x14ac:dyDescent="0.2">
      <c r="B67" s="324" t="s">
        <v>509</v>
      </c>
      <c r="C67" s="47" t="s">
        <v>204</v>
      </c>
      <c r="D67" s="129">
        <f>IF(Cover!C23="Scheme pipeline","-",SUMIF('3.5 Depreciation amortisation'!$D$15:$D$58,'3.1 Depreciated Book Value'!C66,'3.5 Depreciation amortisation'!$H$15:$H$58))</f>
        <v>70300000</v>
      </c>
      <c r="E67" s="66">
        <v>70300000</v>
      </c>
    </row>
    <row r="68" spans="2:6" x14ac:dyDescent="0.2">
      <c r="B68" s="324" t="s">
        <v>509</v>
      </c>
      <c r="C68" s="47" t="s">
        <v>205</v>
      </c>
      <c r="D68" s="129">
        <f>IF(Cover!C23="Scheme pipeline","-",SUMIF('3.5 Depreciation amortisation'!$D$15:$D$58,'3.1 Depreciated Book Value'!C66,'3.5 Depreciation amortisation'!$I$15:$I$58))</f>
        <v>0</v>
      </c>
      <c r="E68" s="66">
        <v>0</v>
      </c>
    </row>
    <row r="69" spans="2:6" x14ac:dyDescent="0.2">
      <c r="B69" s="324" t="s">
        <v>509</v>
      </c>
      <c r="C69" s="47" t="s">
        <v>206</v>
      </c>
      <c r="D69" s="129">
        <f>IF(Cover!C23="Scheme pipeline","-",SUMIF('3.5 Depreciation amortisation'!$D$15:$D$58,'3.1 Depreciated Book Value'!C66,'3.5 Depreciation amortisation'!$J$15:$J$58))</f>
        <v>0</v>
      </c>
      <c r="E69" s="66">
        <v>0</v>
      </c>
    </row>
    <row r="70" spans="2:6" x14ac:dyDescent="0.2">
      <c r="B70" s="324" t="s">
        <v>509</v>
      </c>
      <c r="C70" s="47" t="s">
        <v>208</v>
      </c>
      <c r="D70" s="129">
        <f>IF(Cover!C23="Scheme pipeline","-",-ABS(SUMIF('3.5 Depreciation amortisation'!$D$15:$D$58,'3.1 Depreciated Book Value'!C66,'3.5 Depreciation amortisation'!$O$15:$O$58)+SUMIF('3.5 Depreciation amortisation'!$D$15:$D$58,'3.1 Depreciated Book Value'!C66,'3.5 Depreciation amortisation'!$P$15:$P$58))-D71)</f>
        <v>-35482538.329999998</v>
      </c>
      <c r="E70" s="66">
        <v>-31971533.749999996</v>
      </c>
      <c r="F70" s="241"/>
    </row>
    <row r="71" spans="2:6" x14ac:dyDescent="0.2">
      <c r="B71" s="324" t="s">
        <v>509</v>
      </c>
      <c r="C71" s="47" t="s">
        <v>209</v>
      </c>
      <c r="D71" s="129">
        <f>IF(Cover!C23="Scheme pipeline","-",-ABS(SUMIF('3.4 Asset impairment'!$C$10:$C$24,'3.1 Depreciated Book Value'!C66,'3.4 Asset impairment'!$D$10:$D$24))+SUMIF('3.4 Asset impairment'!$C$30:$C$56,'3.1 Depreciated Book Value'!C66,'3.4 Asset impairment'!$G$30:$G$56))</f>
        <v>0</v>
      </c>
      <c r="E71" s="66">
        <v>0</v>
      </c>
      <c r="F71" s="241"/>
    </row>
    <row r="72" spans="2:6" ht="11.25" customHeight="1" x14ac:dyDescent="0.2">
      <c r="B72" s="324" t="s">
        <v>509</v>
      </c>
      <c r="C72" s="47" t="s">
        <v>210</v>
      </c>
      <c r="D72" s="129">
        <f>IF(Cover!C23="Scheme pipeline","-",SUMIF('3.5 Depreciation amortisation'!$D$15:$D$58,'3.1 Depreciated Book Value'!C66,'3.5 Depreciation amortisation'!$K$15:$K$58))</f>
        <v>0</v>
      </c>
      <c r="E72" s="66">
        <v>0</v>
      </c>
    </row>
    <row r="73" spans="2:6" x14ac:dyDescent="0.2">
      <c r="B73" s="329"/>
      <c r="C73" s="84" t="s">
        <v>224</v>
      </c>
      <c r="D73" s="129">
        <f>SUM(D67:D72)</f>
        <v>34817461.670000002</v>
      </c>
      <c r="E73" s="129">
        <f>SUM(E67:E72)</f>
        <v>38328466.25</v>
      </c>
    </row>
    <row r="74" spans="2:6" x14ac:dyDescent="0.2">
      <c r="B74" s="329"/>
      <c r="C74" s="48" t="s">
        <v>225</v>
      </c>
      <c r="D74" s="130"/>
      <c r="E74" s="130"/>
    </row>
    <row r="75" spans="2:6" x14ac:dyDescent="0.2">
      <c r="B75" s="324" t="s">
        <v>509</v>
      </c>
      <c r="C75" s="47" t="s">
        <v>204</v>
      </c>
      <c r="D75" s="129">
        <f>IF(Cover!C23="Scheme pipeline","-",SUMIF('3.5 Depreciation amortisation'!$D$15:$D$58,'3.1 Depreciated Book Value'!C74,'3.5 Depreciation amortisation'!$H$15:$H$58))</f>
        <v>1496841.25</v>
      </c>
      <c r="E75" s="66">
        <v>1496841.25</v>
      </c>
    </row>
    <row r="76" spans="2:6" x14ac:dyDescent="0.2">
      <c r="B76" s="324" t="s">
        <v>509</v>
      </c>
      <c r="C76" s="47" t="s">
        <v>205</v>
      </c>
      <c r="D76" s="129">
        <f>IF(Cover!C23="Scheme pipeline","-",SUMIF('3.5 Depreciation amortisation'!$D$15:$D$58,'3.1 Depreciated Book Value'!C74,'3.5 Depreciation amortisation'!$I$15:$I$58))</f>
        <v>0</v>
      </c>
      <c r="E76" s="66">
        <v>0</v>
      </c>
    </row>
    <row r="77" spans="2:6" x14ac:dyDescent="0.2">
      <c r="B77" s="324" t="s">
        <v>509</v>
      </c>
      <c r="C77" s="47" t="s">
        <v>206</v>
      </c>
      <c r="D77" s="129">
        <f>IF(Cover!C23="Scheme pipeline","-",SUMIF('3.5 Depreciation amortisation'!$D$15:$D$58,'3.1 Depreciated Book Value'!C74,'3.5 Depreciation amortisation'!$J$15:$J$58))</f>
        <v>0</v>
      </c>
      <c r="E77" s="66">
        <v>0</v>
      </c>
    </row>
    <row r="78" spans="2:6" x14ac:dyDescent="0.2">
      <c r="B78" s="324" t="s">
        <v>509</v>
      </c>
      <c r="C78" s="47" t="s">
        <v>209</v>
      </c>
      <c r="D78" s="129">
        <f>IF(Cover!C23="Scheme pipeline","-",-ABS(SUMIF('3.4 Asset impairment'!$C$10:$C$24,'3.1 Depreciated Book Value'!C74,'3.4 Asset impairment'!$D$10:$D$24))+SUMIF('3.4 Asset impairment'!$C$30:$C$56,'3.1 Depreciated Book Value'!C74,'3.4 Asset impairment'!$G$30:$G$56))</f>
        <v>0</v>
      </c>
      <c r="E78" s="66">
        <v>0</v>
      </c>
    </row>
    <row r="79" spans="2:6" ht="11.25" customHeight="1" x14ac:dyDescent="0.2">
      <c r="B79" s="324" t="s">
        <v>509</v>
      </c>
      <c r="C79" s="47" t="s">
        <v>210</v>
      </c>
      <c r="D79" s="129">
        <f>IF(Cover!C23="Scheme pipeline","-",SUMIF('3.5 Depreciation amortisation'!$D$15:$D$58,'3.1 Depreciated Book Value'!C74,'3.5 Depreciation amortisation'!$K$15:$K$58))</f>
        <v>0</v>
      </c>
      <c r="E79" s="66">
        <v>0</v>
      </c>
    </row>
    <row r="80" spans="2:6" x14ac:dyDescent="0.2">
      <c r="B80" s="329"/>
      <c r="C80" s="84" t="s">
        <v>226</v>
      </c>
      <c r="D80" s="129">
        <f>SUM(D75:D79)</f>
        <v>1496841.25</v>
      </c>
      <c r="E80" s="129">
        <f>SUM(E75:E79)</f>
        <v>1496841.25</v>
      </c>
    </row>
    <row r="81" spans="2:8" x14ac:dyDescent="0.2">
      <c r="B81" s="329"/>
      <c r="C81" s="48" t="s">
        <v>227</v>
      </c>
      <c r="D81" s="130"/>
      <c r="E81" s="130"/>
      <c r="G81" s="262"/>
      <c r="H81" s="262"/>
    </row>
    <row r="82" spans="2:8" s="262" customFormat="1" x14ac:dyDescent="0.2">
      <c r="B82" s="324" t="s">
        <v>509</v>
      </c>
      <c r="C82" s="47" t="s">
        <v>204</v>
      </c>
      <c r="D82" s="129">
        <f>IF(Cover!C23="Scheme pipeline","-",SUMIF('3.5 Depreciation amortisation'!$D$15:$D$58,'3.1 Depreciated Book Value'!C81,'3.5 Depreciation amortisation'!$H$15:$H$58))</f>
        <v>15503466.49</v>
      </c>
      <c r="E82" s="131">
        <v>15503466.49</v>
      </c>
      <c r="F82" s="263"/>
    </row>
    <row r="83" spans="2:8" s="262" customFormat="1" x14ac:dyDescent="0.2">
      <c r="B83" s="324" t="s">
        <v>509</v>
      </c>
      <c r="C83" s="47" t="s">
        <v>205</v>
      </c>
      <c r="D83" s="129">
        <f>IF(Cover!C23="Scheme pipeline","-",SUMIF('3.5 Depreciation amortisation'!$D$15:$D$58,'3.1 Depreciated Book Value'!C81,'3.5 Depreciation amortisation'!$I$15:$I$58))</f>
        <v>36731.53</v>
      </c>
      <c r="E83" s="131">
        <v>0</v>
      </c>
      <c r="F83" s="263"/>
    </row>
    <row r="84" spans="2:8" s="262" customFormat="1" x14ac:dyDescent="0.2">
      <c r="B84" s="324" t="s">
        <v>509</v>
      </c>
      <c r="C84" s="47" t="s">
        <v>206</v>
      </c>
      <c r="D84" s="129">
        <f>IF(Cover!C23="Scheme pipeline","-",SUMIF('3.5 Depreciation amortisation'!$D$15:$D$58,'3.1 Depreciated Book Value'!C81,'3.5 Depreciation amortisation'!$J$15:$J$58))</f>
        <v>0</v>
      </c>
      <c r="E84" s="131">
        <v>0</v>
      </c>
      <c r="F84" s="263"/>
    </row>
    <row r="85" spans="2:8" s="262" customFormat="1" x14ac:dyDescent="0.2">
      <c r="B85" s="324" t="s">
        <v>509</v>
      </c>
      <c r="C85" s="47" t="s">
        <v>208</v>
      </c>
      <c r="D85" s="129">
        <f>IF(Cover!C23="Scheme pipeline","-",-ABS(SUMIF('3.5 Depreciation amortisation'!$D$15:$D$58,'3.1 Depreciated Book Value'!C81,'3.5 Depreciation amortisation'!$O$15:$O$58)+SUMIF('3.5 Depreciation amortisation'!$D$15:$D$58,'3.1 Depreciated Book Value'!C81,'3.5 Depreciation amortisation'!$P$15:$P$58))-D86)</f>
        <v>-10916118.760000002</v>
      </c>
      <c r="E85" s="131">
        <v>-9797938.6100000013</v>
      </c>
      <c r="F85" s="263"/>
    </row>
    <row r="86" spans="2:8" s="262" customFormat="1" x14ac:dyDescent="0.2">
      <c r="B86" s="324" t="s">
        <v>509</v>
      </c>
      <c r="C86" s="47" t="s">
        <v>209</v>
      </c>
      <c r="D86" s="129">
        <f>IF(Cover!C23="Scheme pipeline","-",-ABS(SUMIF('3.4 Asset impairment'!$C$10:$C$24,'3.1 Depreciated Book Value'!C81,'3.4 Asset impairment'!$D$10:$D$24))+SUMIF('3.4 Asset impairment'!$C$30:$C$56,'3.1 Depreciated Book Value'!C81,'3.4 Asset impairment'!$G$30:$G$56))</f>
        <v>0</v>
      </c>
      <c r="E86" s="131">
        <v>0</v>
      </c>
      <c r="F86" s="263"/>
    </row>
    <row r="87" spans="2:8" s="262" customFormat="1" x14ac:dyDescent="0.2">
      <c r="B87" s="324" t="s">
        <v>509</v>
      </c>
      <c r="C87" s="47" t="s">
        <v>210</v>
      </c>
      <c r="D87" s="129">
        <f>IF(Cover!C23="Scheme pipeline","-",SUMIF('3.5 Depreciation amortisation'!$D$15:$D$58,'3.1 Depreciated Book Value'!C81,'3.5 Depreciation amortisation'!$K$15:$K$58))</f>
        <v>0</v>
      </c>
      <c r="E87" s="131">
        <v>0</v>
      </c>
      <c r="G87" s="4"/>
      <c r="H87" s="4"/>
    </row>
    <row r="88" spans="2:8" x14ac:dyDescent="0.2">
      <c r="B88" s="329"/>
      <c r="C88" s="84" t="s">
        <v>228</v>
      </c>
      <c r="D88" s="129">
        <f>SUM(D82:D87)</f>
        <v>4624079.2599999979</v>
      </c>
      <c r="E88" s="129">
        <f>SUM(E82:E87)</f>
        <v>5705527.879999999</v>
      </c>
    </row>
    <row r="89" spans="2:8" x14ac:dyDescent="0.2">
      <c r="B89" s="329"/>
      <c r="C89" s="48" t="s">
        <v>229</v>
      </c>
      <c r="D89" s="130"/>
      <c r="E89" s="130"/>
      <c r="F89" s="100"/>
    </row>
    <row r="90" spans="2:8" x14ac:dyDescent="0.2">
      <c r="B90" s="324" t="s">
        <v>509</v>
      </c>
      <c r="C90" s="47" t="s">
        <v>204</v>
      </c>
      <c r="D90" s="129">
        <f>IF(Cover!C23="Scheme pipeline","-",SUMIF('3.5 Depreciation amortisation'!$D$15:$D$58,'3.1 Depreciated Book Value'!C89,'3.5 Depreciation amortisation'!$H$15:$H$58))</f>
        <v>0</v>
      </c>
      <c r="E90" s="66">
        <v>0</v>
      </c>
      <c r="F90" s="100"/>
    </row>
    <row r="91" spans="2:8" x14ac:dyDescent="0.2">
      <c r="B91" s="324" t="s">
        <v>509</v>
      </c>
      <c r="C91" s="47" t="s">
        <v>205</v>
      </c>
      <c r="D91" s="129">
        <f>IF(Cover!C23="Scheme pipeline","-",SUMIF('3.5 Depreciation amortisation'!$D$15:$D$58,'3.1 Depreciated Book Value'!C89,'3.5 Depreciation amortisation'!$I$15:$I$58))</f>
        <v>0</v>
      </c>
      <c r="E91" s="66">
        <v>0</v>
      </c>
      <c r="F91" s="100"/>
    </row>
    <row r="92" spans="2:8" x14ac:dyDescent="0.2">
      <c r="B92" s="324" t="s">
        <v>509</v>
      </c>
      <c r="C92" s="47" t="s">
        <v>206</v>
      </c>
      <c r="D92" s="129">
        <f>IF(Cover!C23="Scheme pipeline","-",SUMIF('3.5 Depreciation amortisation'!$D$15:$D$58,'3.1 Depreciated Book Value'!C89,'3.5 Depreciation amortisation'!$J$15:$J$58))</f>
        <v>0</v>
      </c>
      <c r="E92" s="66">
        <v>0</v>
      </c>
      <c r="F92" s="100"/>
    </row>
    <row r="93" spans="2:8" x14ac:dyDescent="0.2">
      <c r="B93" s="324" t="s">
        <v>509</v>
      </c>
      <c r="C93" s="47" t="s">
        <v>230</v>
      </c>
      <c r="D93" s="129">
        <f>IF(Cover!C23="Scheme pipeline","-",-ABS(SUMIF('3.5 Depreciation amortisation'!$D$15:$D$58,'3.1 Depreciated Book Value'!C89,'3.5 Depreciation amortisation'!$O$15:$O$58)+SUMIF('3.5 Depreciation amortisation'!$D$15:$D$58,'3.1 Depreciated Book Value'!C89,'3.5 Depreciation amortisation'!$P$15:$P$58))-D94)</f>
        <v>0</v>
      </c>
      <c r="E93" s="66">
        <v>0</v>
      </c>
      <c r="F93" s="100"/>
      <c r="G93" s="100"/>
    </row>
    <row r="94" spans="2:8" x14ac:dyDescent="0.2">
      <c r="B94" s="324" t="s">
        <v>509</v>
      </c>
      <c r="C94" s="47" t="s">
        <v>209</v>
      </c>
      <c r="D94" s="129">
        <f>IF(Cover!C23="Scheme pipeline","-",-ABS(SUMIF('3.4 Asset impairment'!$C$10:$C$24,'3.1 Depreciated Book Value'!C89,'3.4 Asset impairment'!$D$10:$D$24))+SUMIF('3.4 Asset impairment'!$C$30:$C$56,'3.1 Depreciated Book Value'!C89,'3.4 Asset impairment'!$G$30:$G$56))</f>
        <v>0</v>
      </c>
      <c r="E94" s="66">
        <v>0</v>
      </c>
      <c r="F94" s="100"/>
      <c r="G94" s="100"/>
    </row>
    <row r="95" spans="2:8" ht="11.25" customHeight="1" x14ac:dyDescent="0.2">
      <c r="B95" s="324" t="s">
        <v>509</v>
      </c>
      <c r="C95" s="47" t="s">
        <v>210</v>
      </c>
      <c r="D95" s="129">
        <f>IF(Cover!C23="Scheme pipeline","-",SUMIF('3.5 Depreciation amortisation'!$D$15:$D$58,'3.1 Depreciated Book Value'!C89,'3.5 Depreciation amortisation'!$K$15:$K$58))</f>
        <v>0</v>
      </c>
      <c r="E95" s="66">
        <v>0</v>
      </c>
      <c r="F95" s="100"/>
    </row>
    <row r="96" spans="2:8" x14ac:dyDescent="0.2">
      <c r="B96" s="329"/>
      <c r="C96" s="84" t="s">
        <v>231</v>
      </c>
      <c r="D96" s="129">
        <f>SUM(D90:D95)</f>
        <v>0</v>
      </c>
      <c r="E96" s="129">
        <f>SUM(E90:E95)</f>
        <v>0</v>
      </c>
      <c r="F96" s="100"/>
    </row>
    <row r="97" spans="2:7" x14ac:dyDescent="0.2">
      <c r="B97" s="324" t="s">
        <v>509</v>
      </c>
      <c r="C97" s="48" t="s">
        <v>232</v>
      </c>
      <c r="D97" s="130"/>
      <c r="E97" s="130"/>
    </row>
    <row r="98" spans="2:7" x14ac:dyDescent="0.2">
      <c r="B98" s="324" t="s">
        <v>509</v>
      </c>
      <c r="C98" s="47" t="s">
        <v>204</v>
      </c>
      <c r="D98" s="66">
        <v>0</v>
      </c>
      <c r="E98" s="66">
        <v>0</v>
      </c>
      <c r="F98" s="100"/>
    </row>
    <row r="99" spans="2:7" x14ac:dyDescent="0.2">
      <c r="B99" s="324" t="s">
        <v>509</v>
      </c>
      <c r="C99" s="47" t="s">
        <v>205</v>
      </c>
      <c r="D99" s="66">
        <v>0</v>
      </c>
      <c r="E99" s="66">
        <v>0</v>
      </c>
      <c r="F99" s="100"/>
    </row>
    <row r="100" spans="2:7" x14ac:dyDescent="0.2">
      <c r="B100" s="324" t="s">
        <v>509</v>
      </c>
      <c r="C100" s="47" t="s">
        <v>206</v>
      </c>
      <c r="D100" s="66">
        <v>0</v>
      </c>
      <c r="E100" s="66">
        <v>0</v>
      </c>
      <c r="F100" s="100"/>
    </row>
    <row r="101" spans="2:7" x14ac:dyDescent="0.2">
      <c r="B101" s="324" t="s">
        <v>509</v>
      </c>
      <c r="C101" s="47" t="s">
        <v>210</v>
      </c>
      <c r="D101" s="66">
        <v>0</v>
      </c>
      <c r="E101" s="66">
        <v>0</v>
      </c>
      <c r="F101" s="100"/>
      <c r="G101" s="100"/>
    </row>
    <row r="102" spans="2:7" x14ac:dyDescent="0.2">
      <c r="B102" s="329"/>
      <c r="C102" s="84" t="s">
        <v>233</v>
      </c>
      <c r="D102" s="129">
        <f>SUM(D98:D101)</f>
        <v>0</v>
      </c>
      <c r="E102" s="129">
        <f>SUM(E98:E101)</f>
        <v>0</v>
      </c>
      <c r="F102" s="100"/>
    </row>
    <row r="103" spans="2:7" x14ac:dyDescent="0.2">
      <c r="B103" s="329"/>
      <c r="C103" s="85" t="s">
        <v>234</v>
      </c>
      <c r="D103" s="129">
        <f>SUM(D25,D33,D41,D49,D57,D65,D73,D80,D88,D102,D96)</f>
        <v>1272018005.9699979</v>
      </c>
      <c r="E103" s="129">
        <f>SUM(E25,E33,E41,E49,E57,E65,E73,E80,E88,E102,E96)</f>
        <v>1398860687.1399977</v>
      </c>
      <c r="F103" s="100"/>
    </row>
    <row r="104" spans="2:7" x14ac:dyDescent="0.2">
      <c r="B104" s="329"/>
      <c r="C104" s="46" t="s">
        <v>235</v>
      </c>
      <c r="D104" s="130"/>
      <c r="E104" s="130"/>
    </row>
    <row r="105" spans="2:7" x14ac:dyDescent="0.2">
      <c r="B105" s="329"/>
      <c r="C105" s="48" t="s">
        <v>236</v>
      </c>
      <c r="D105" s="130"/>
      <c r="E105" s="130"/>
    </row>
    <row r="106" spans="2:7" x14ac:dyDescent="0.2">
      <c r="B106" s="324" t="s">
        <v>509</v>
      </c>
      <c r="C106" s="47" t="s">
        <v>204</v>
      </c>
      <c r="D106" s="129">
        <f>IF(Cover!C23="Scheme pipeline","-",SUMIF('3.5 Depreciation amortisation'!$D$66:$D$83,$C$105,'3.5 Depreciation amortisation'!$G$66:$G$83))</f>
        <v>5086702.7025202289</v>
      </c>
      <c r="E106" s="66">
        <v>5063436.702659999</v>
      </c>
      <c r="F106" s="100"/>
    </row>
    <row r="107" spans="2:7" x14ac:dyDescent="0.2">
      <c r="B107" s="324" t="s">
        <v>509</v>
      </c>
      <c r="C107" s="47" t="s">
        <v>205</v>
      </c>
      <c r="D107" s="129">
        <f>IF(Cover!C23="Scheme pipeline","-",SUMIF('3.5 Depreciation amortisation'!$D$66:$D$83,$C$105,'3.5 Depreciation amortisation'!$H$66:$H$83))</f>
        <v>503710.53839600005</v>
      </c>
      <c r="E107" s="66">
        <v>38652.029344219336</v>
      </c>
      <c r="F107" s="100"/>
    </row>
    <row r="108" spans="2:7" x14ac:dyDescent="0.2">
      <c r="B108" s="324" t="s">
        <v>509</v>
      </c>
      <c r="C108" s="47" t="s">
        <v>206</v>
      </c>
      <c r="D108" s="129">
        <f>IF(Cover!C23="Scheme pipeline","-",SUMIF('3.5 Depreciation amortisation'!$D$66:$D$83,$C$105,'3.5 Depreciation amortisation'!$I$66:$I$83))</f>
        <v>0</v>
      </c>
      <c r="E108" s="66">
        <v>0</v>
      </c>
    </row>
    <row r="109" spans="2:7" x14ac:dyDescent="0.2">
      <c r="B109" s="324" t="s">
        <v>509</v>
      </c>
      <c r="C109" s="47" t="s">
        <v>208</v>
      </c>
      <c r="D109" s="129">
        <f>IF(Cover!C23="Scheme pipeline","-",-ABS(SUMIF('3.5 Depreciation amortisation'!$D$66:$D$83,$C$105,'3.5 Depreciation amortisation'!$N$66:$N$83)+SUMIF('3.5 Depreciation amortisation'!$D$66:$D$83,$C$105,'3.5 Depreciation amortisation'!$O$66:$O$83))-D110)</f>
        <v>-3788326.319922429</v>
      </c>
      <c r="E109" s="66">
        <v>-3500880.558722429</v>
      </c>
      <c r="F109" s="100"/>
    </row>
    <row r="110" spans="2:7" x14ac:dyDescent="0.2">
      <c r="B110" s="324" t="s">
        <v>509</v>
      </c>
      <c r="C110" s="47" t="s">
        <v>209</v>
      </c>
      <c r="D110" s="129">
        <f>IF(Cover!C23="Scheme pipeline","-",-ABS(SUMIF('3.4 Asset impairment'!$C$10:$C$24,'3.1 Depreciated Book Value'!C105,'3.4 Asset impairment'!$D$10:$D$24))+SUMIF('3.4 Asset impairment'!$C$30:$C$56,'3.1 Depreciated Book Value'!C105,'3.4 Asset impairment'!$G$30:$G$56))</f>
        <v>0</v>
      </c>
      <c r="E110" s="66">
        <v>0</v>
      </c>
      <c r="F110" s="100"/>
    </row>
    <row r="111" spans="2:7" x14ac:dyDescent="0.2">
      <c r="B111" s="324" t="s">
        <v>509</v>
      </c>
      <c r="C111" s="47" t="s">
        <v>210</v>
      </c>
      <c r="D111" s="129">
        <f>IF(Cover!C23="Scheme pipeline","-",SUMIF('3.5 Depreciation amortisation'!$D$66:$D$83,$C$105,'3.5 Depreciation amortisation'!$J$66:$J$83))</f>
        <v>-5534.0720759999995</v>
      </c>
      <c r="E111" s="66">
        <v>-15386.029483989436</v>
      </c>
      <c r="F111" s="100"/>
    </row>
    <row r="112" spans="2:7" x14ac:dyDescent="0.2">
      <c r="B112" s="329"/>
      <c r="C112" s="84" t="s">
        <v>237</v>
      </c>
      <c r="D112" s="129">
        <f>SUM(D106:D111)</f>
        <v>1796552.8489177998</v>
      </c>
      <c r="E112" s="129">
        <f>SUM(E106:E111)</f>
        <v>1585822.1437978004</v>
      </c>
    </row>
    <row r="113" spans="2:7" x14ac:dyDescent="0.2">
      <c r="B113" s="329"/>
      <c r="C113" s="48" t="s">
        <v>238</v>
      </c>
      <c r="D113" s="130"/>
      <c r="E113" s="130"/>
      <c r="F113" s="100"/>
    </row>
    <row r="114" spans="2:7" x14ac:dyDescent="0.2">
      <c r="B114" s="324" t="s">
        <v>509</v>
      </c>
      <c r="C114" s="47" t="s">
        <v>204</v>
      </c>
      <c r="D114" s="129">
        <f>IF(Cover!C23="Scheme pipeline","-",SUMIF('3.5 Depreciation amortisation'!$D$66:$D$83,$C$113,'3.5 Depreciation amortisation'!$G$66:$G$83))</f>
        <v>730534.52508817916</v>
      </c>
      <c r="E114" s="66">
        <v>648579.17176102556</v>
      </c>
      <c r="F114" s="100"/>
    </row>
    <row r="115" spans="2:7" x14ac:dyDescent="0.2">
      <c r="B115" s="324" t="s">
        <v>509</v>
      </c>
      <c r="C115" s="47" t="s">
        <v>205</v>
      </c>
      <c r="D115" s="129">
        <f>IF(Cover!C23="Scheme pipeline","-",SUMIF('3.5 Depreciation amortisation'!$D$66:$D$83,$C$113,'3.5 Depreciation amortisation'!$H$66:$H$83))</f>
        <v>68178.010469110945</v>
      </c>
      <c r="E115" s="66">
        <v>81796.318610522707</v>
      </c>
      <c r="F115" s="100"/>
    </row>
    <row r="116" spans="2:7" x14ac:dyDescent="0.2">
      <c r="B116" s="324" t="s">
        <v>509</v>
      </c>
      <c r="C116" s="47" t="s">
        <v>206</v>
      </c>
      <c r="D116" s="129">
        <f>IF(Cover!C23="Scheme pipeline","-",SUMIF('3.5 Depreciation amortisation'!$D$66:$D$83,$C$113,'3.5 Depreciation amortisation'!$I$66:$I$83))</f>
        <v>0</v>
      </c>
      <c r="E116" s="66">
        <v>0</v>
      </c>
      <c r="F116" s="100"/>
    </row>
    <row r="117" spans="2:7" x14ac:dyDescent="0.2">
      <c r="B117" s="324" t="s">
        <v>509</v>
      </c>
      <c r="C117" s="47" t="s">
        <v>230</v>
      </c>
      <c r="D117" s="129">
        <f>IF(Cover!C23="Scheme pipeline","-",-ABS(SUMIF('3.5 Depreciation amortisation'!$D$66:$D$83,$C$113,'3.5 Depreciation amortisation'!$N$66:$N$83)+SUMIF('3.5 Depreciation amortisation'!$D$66:$D$83,$C$113,'3.5 Depreciation amortisation'!$O$66:$O$83))-D118)</f>
        <v>-392837.89643736917</v>
      </c>
      <c r="E117" s="66">
        <v>-327820.77326950309</v>
      </c>
      <c r="F117" s="100"/>
      <c r="G117" s="100"/>
    </row>
    <row r="118" spans="2:7" x14ac:dyDescent="0.2">
      <c r="B118" s="324" t="s">
        <v>509</v>
      </c>
      <c r="C118" s="47" t="s">
        <v>209</v>
      </c>
      <c r="D118" s="129">
        <f>IF(Cover!C23="Scheme pipeline","-",-ABS(SUMIF('3.4 Asset impairment'!$C$10:$C$24,'3.1 Depreciated Book Value'!C113,'3.4 Asset impairment'!$D$10:$D$24))+SUMIF('3.4 Asset impairment'!$C$30:$C$56,'3.1 Depreciated Book Value'!C113,'3.4 Asset impairment'!$G$30:$G$56))</f>
        <v>0</v>
      </c>
      <c r="E118" s="66">
        <v>0</v>
      </c>
      <c r="F118" s="100"/>
      <c r="G118" s="100"/>
    </row>
    <row r="119" spans="2:7" ht="11.25" customHeight="1" x14ac:dyDescent="0.2">
      <c r="B119" s="324" t="s">
        <v>509</v>
      </c>
      <c r="C119" s="47" t="s">
        <v>210</v>
      </c>
      <c r="D119" s="129">
        <f>IF(Cover!C23="Scheme pipeline","-",SUMIF('3.5 Depreciation amortisation'!$D$66:$D$83,$C$113,'3.5 Depreciation amortisation'!$J$66:$J$83))</f>
        <v>-1540.4678916379748</v>
      </c>
      <c r="E119" s="66">
        <v>159.03471663086344</v>
      </c>
      <c r="F119" s="100"/>
    </row>
    <row r="120" spans="2:7" x14ac:dyDescent="0.2">
      <c r="B120" s="329"/>
      <c r="C120" s="84" t="s">
        <v>239</v>
      </c>
      <c r="D120" s="129">
        <f>SUM(D114:D119)</f>
        <v>404334.17122828291</v>
      </c>
      <c r="E120" s="129">
        <f>SUM(E114:E119)</f>
        <v>402713.75181867601</v>
      </c>
      <c r="F120" s="100"/>
    </row>
    <row r="121" spans="2:7" x14ac:dyDescent="0.2">
      <c r="B121" s="324" t="s">
        <v>509</v>
      </c>
      <c r="C121" s="48" t="s">
        <v>240</v>
      </c>
      <c r="D121" s="66">
        <v>0</v>
      </c>
      <c r="E121" s="66">
        <v>0</v>
      </c>
      <c r="F121" s="100"/>
    </row>
    <row r="122" spans="2:7" x14ac:dyDescent="0.2">
      <c r="B122" s="324" t="s">
        <v>509</v>
      </c>
      <c r="C122" s="48" t="s">
        <v>241</v>
      </c>
      <c r="D122" s="66">
        <v>0</v>
      </c>
      <c r="E122" s="66">
        <v>0</v>
      </c>
    </row>
    <row r="123" spans="2:7" x14ac:dyDescent="0.2">
      <c r="B123" s="324" t="s">
        <v>509</v>
      </c>
      <c r="C123" s="48" t="s">
        <v>242</v>
      </c>
      <c r="D123" s="66">
        <v>1802436309.3199999</v>
      </c>
      <c r="E123" s="66">
        <v>1972101693.4199996</v>
      </c>
    </row>
    <row r="124" spans="2:7" x14ac:dyDescent="0.2">
      <c r="B124" s="281"/>
      <c r="C124" s="86" t="s">
        <v>243</v>
      </c>
      <c r="D124" s="129">
        <f>SUM(D112,D120:D123)</f>
        <v>1804637196.3401461</v>
      </c>
      <c r="E124" s="129">
        <f>SUM(E112,E120:E123)</f>
        <v>1974090229.3156161</v>
      </c>
      <c r="F124" s="100"/>
    </row>
    <row r="125" spans="2:7" ht="12.75" customHeight="1" x14ac:dyDescent="0.2">
      <c r="B125" s="281"/>
      <c r="C125" s="86" t="s">
        <v>244</v>
      </c>
      <c r="D125" s="132">
        <f>SUM(D103,D124)</f>
        <v>3076655202.3101439</v>
      </c>
      <c r="E125" s="132">
        <f>SUM(E103,E124)</f>
        <v>3372950916.4556141</v>
      </c>
    </row>
    <row r="128" spans="2:7" ht="15.75" x14ac:dyDescent="0.25">
      <c r="B128" s="214" t="s">
        <v>245</v>
      </c>
    </row>
    <row r="129" spans="2:4" ht="12.75" customHeight="1" x14ac:dyDescent="0.25">
      <c r="B129" s="214"/>
    </row>
    <row r="130" spans="2:4" ht="25.5" x14ac:dyDescent="0.2">
      <c r="B130" s="44" t="s">
        <v>113</v>
      </c>
      <c r="C130" s="45" t="s">
        <v>114</v>
      </c>
      <c r="D130" s="301" t="str">
        <f>IFERROR(VLOOKUP(C132,[0]!rInitialyears,2,FALSE),"")</f>
        <v/>
      </c>
    </row>
    <row r="131" spans="2:4" x14ac:dyDescent="0.2">
      <c r="B131" s="44"/>
      <c r="C131" s="86" t="s">
        <v>244</v>
      </c>
      <c r="D131" s="301"/>
    </row>
    <row r="132" spans="2:4" x14ac:dyDescent="0.2">
      <c r="B132" s="324" t="s">
        <v>509</v>
      </c>
      <c r="C132" s="292" t="s">
        <v>480</v>
      </c>
      <c r="D132" s="315">
        <v>5975739208.2199974</v>
      </c>
    </row>
  </sheetData>
  <sheetProtection sheet="1"/>
  <mergeCells count="3">
    <mergeCell ref="B13:C13"/>
    <mergeCell ref="B4:C4"/>
    <mergeCell ref="B6:F10"/>
  </mergeCells>
  <phoneticPr fontId="33" type="noConversion"/>
  <dataValidations count="1">
    <dataValidation type="list" allowBlank="1" showInputMessage="1" showErrorMessage="1" sqref="C132" xr:uid="{CAB99EE8-3211-4BEA-8C72-8B2D8AA2AC9C}"/>
  </dataValidations>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4.5703125" style="4" customWidth="1"/>
    <col min="3" max="3" width="70.7109375" style="4" customWidth="1"/>
    <col min="4" max="8" width="20.7109375" style="4" customWidth="1"/>
    <col min="9" max="16384" width="9.28515625" style="4"/>
  </cols>
  <sheetData>
    <row r="1" spans="2:8" ht="20.25" x14ac:dyDescent="0.2">
      <c r="B1" s="135" t="s">
        <v>53</v>
      </c>
      <c r="C1" s="135"/>
    </row>
    <row r="2" spans="2:8" ht="20.25" x14ac:dyDescent="0.2">
      <c r="B2" s="135" t="str">
        <f>IF(Tradingname=0," ",Tradingname)</f>
        <v>APA WGP PTY LTD</v>
      </c>
      <c r="C2" s="135"/>
      <c r="E2" s="260"/>
    </row>
    <row r="3" spans="2:8" ht="20.25" x14ac:dyDescent="0.3">
      <c r="B3" s="135" t="s">
        <v>30</v>
      </c>
      <c r="C3" s="99">
        <f>IF(Yearending=0, "01/01/2000", Yearending)</f>
        <v>45838</v>
      </c>
    </row>
    <row r="4" spans="2:8" ht="20.25" x14ac:dyDescent="0.3">
      <c r="B4" s="135" t="s">
        <v>246</v>
      </c>
      <c r="C4" s="99">
        <f>'1. Pipeline information'!C15</f>
        <v>0</v>
      </c>
    </row>
    <row r="5" spans="2:8" ht="20.25" x14ac:dyDescent="0.2">
      <c r="B5" s="91" t="s">
        <v>247</v>
      </c>
      <c r="C5" s="91"/>
      <c r="D5" s="243"/>
    </row>
    <row r="6" spans="2:8" x14ac:dyDescent="0.2">
      <c r="D6" s="261"/>
    </row>
    <row r="7" spans="2:8" x14ac:dyDescent="0.2">
      <c r="B7" s="414" t="s">
        <v>248</v>
      </c>
      <c r="C7" s="414"/>
      <c r="D7" s="414"/>
    </row>
    <row r="8" spans="2:8" x14ac:dyDescent="0.2">
      <c r="B8" s="414"/>
      <c r="C8" s="414"/>
      <c r="D8" s="414"/>
    </row>
    <row r="9" spans="2:8" x14ac:dyDescent="0.2">
      <c r="B9" s="414"/>
      <c r="C9" s="414"/>
      <c r="D9" s="414"/>
    </row>
    <row r="12" spans="2:8" ht="15.75" x14ac:dyDescent="0.2">
      <c r="B12" s="417" t="s">
        <v>249</v>
      </c>
      <c r="C12" s="417"/>
      <c r="D12" s="261"/>
    </row>
    <row r="14" spans="2:8" x14ac:dyDescent="0.2">
      <c r="B14" s="261"/>
      <c r="C14" s="261"/>
      <c r="D14" s="419" t="s">
        <v>250</v>
      </c>
      <c r="E14" s="419"/>
      <c r="F14" s="419"/>
      <c r="G14" s="419"/>
      <c r="H14" s="419"/>
    </row>
    <row r="15" spans="2:8" x14ac:dyDescent="0.2">
      <c r="B15" s="44" t="s">
        <v>113</v>
      </c>
      <c r="C15" s="301" t="s">
        <v>114</v>
      </c>
      <c r="D15" s="301" t="str">
        <f>YEAR(Yearstart)-4&amp;"-"&amp;RIGHT(YEAR(Yearstart)-3,2)</f>
        <v>2020-21</v>
      </c>
      <c r="E15" s="301" t="str">
        <f>YEAR(Yearstart)-3&amp;"-"&amp;RIGHT(YEAR(Yearstart)-2,2)</f>
        <v>2021-22</v>
      </c>
      <c r="F15" s="45" t="str">
        <f>YEAR(Yearstart)-2&amp;"-"&amp;RIGHT(YEAR(Yearstart)-1,2)</f>
        <v>2022-23</v>
      </c>
      <c r="G15" s="45" t="str">
        <f>YEAR(Yearstart)-1&amp;"-"&amp;RIGHT(YEAR(Yearstart),2)</f>
        <v>2023-24</v>
      </c>
      <c r="H15" s="301" t="str">
        <f>YEAR(Yearstart)&amp;"-"&amp;RIGHT(YEAR(Yearstart)+1,2)</f>
        <v>2024-25</v>
      </c>
    </row>
    <row r="16" spans="2:8" x14ac:dyDescent="0.2">
      <c r="B16" s="285"/>
      <c r="C16" s="45"/>
      <c r="D16" s="45"/>
      <c r="E16" s="45"/>
      <c r="F16" s="45"/>
      <c r="G16" s="45"/>
      <c r="H16" s="301"/>
    </row>
    <row r="17" spans="2:12" x14ac:dyDescent="0.2">
      <c r="B17" s="284"/>
      <c r="C17" s="48" t="s">
        <v>251</v>
      </c>
      <c r="D17" s="162" t="s">
        <v>252</v>
      </c>
      <c r="E17" s="162" t="s">
        <v>252</v>
      </c>
      <c r="F17" s="162" t="s">
        <v>252</v>
      </c>
      <c r="G17" s="162" t="s">
        <v>252</v>
      </c>
      <c r="H17" s="162" t="s">
        <v>252</v>
      </c>
    </row>
    <row r="18" spans="2:12" x14ac:dyDescent="0.2">
      <c r="B18" s="324" t="s">
        <v>510</v>
      </c>
      <c r="C18" s="163" t="s">
        <v>253</v>
      </c>
      <c r="D18" s="66"/>
      <c r="E18" s="129">
        <f>D23</f>
        <v>0</v>
      </c>
      <c r="F18" s="129">
        <f>E23</f>
        <v>0</v>
      </c>
      <c r="G18" s="129">
        <f>F23</f>
        <v>0</v>
      </c>
      <c r="H18" s="129">
        <f>G23</f>
        <v>0</v>
      </c>
    </row>
    <row r="19" spans="2:12" x14ac:dyDescent="0.2">
      <c r="B19" s="330" t="s">
        <v>510</v>
      </c>
      <c r="C19" s="163" t="s">
        <v>254</v>
      </c>
      <c r="D19" s="66"/>
      <c r="E19" s="66"/>
      <c r="F19" s="66"/>
      <c r="G19" s="66"/>
      <c r="H19" s="66"/>
    </row>
    <row r="20" spans="2:12" x14ac:dyDescent="0.2">
      <c r="B20" s="284"/>
      <c r="C20" s="84" t="s">
        <v>255</v>
      </c>
      <c r="D20" s="129">
        <f>SUM(D18:D19)</f>
        <v>0</v>
      </c>
      <c r="E20" s="129">
        <f>SUM(E18:E19)</f>
        <v>0</v>
      </c>
      <c r="F20" s="129">
        <f>SUM(F18:F19)</f>
        <v>0</v>
      </c>
      <c r="G20" s="129">
        <f>SUM(G18:G19)</f>
        <v>0</v>
      </c>
      <c r="H20" s="129">
        <f>SUM(H18:H19)</f>
        <v>0</v>
      </c>
    </row>
    <row r="21" spans="2:12" x14ac:dyDescent="0.2">
      <c r="B21" s="330" t="s">
        <v>510</v>
      </c>
      <c r="C21" s="163" t="s">
        <v>256</v>
      </c>
      <c r="D21" s="66"/>
      <c r="E21" s="66"/>
      <c r="F21" s="66"/>
      <c r="G21" s="66"/>
      <c r="H21" s="66"/>
    </row>
    <row r="22" spans="2:12" x14ac:dyDescent="0.2">
      <c r="B22" s="330" t="s">
        <v>510</v>
      </c>
      <c r="C22" s="163" t="s">
        <v>257</v>
      </c>
      <c r="D22" s="66"/>
      <c r="E22" s="66"/>
      <c r="F22" s="66"/>
      <c r="G22" s="66"/>
      <c r="H22" s="66"/>
      <c r="L22" s="9"/>
    </row>
    <row r="23" spans="2:12" x14ac:dyDescent="0.2">
      <c r="B23" s="284"/>
      <c r="C23" s="84" t="s">
        <v>258</v>
      </c>
      <c r="D23" s="129">
        <f>SUM(D20:D22)</f>
        <v>0</v>
      </c>
      <c r="E23" s="129">
        <f>SUM(E20:E22)</f>
        <v>0</v>
      </c>
      <c r="F23" s="129">
        <f>SUM(F20:F22)</f>
        <v>0</v>
      </c>
      <c r="G23" s="129">
        <f>SUM(G20:G22)</f>
        <v>0</v>
      </c>
      <c r="H23" s="129">
        <f>SUM(H20:H22)</f>
        <v>0</v>
      </c>
    </row>
    <row r="24" spans="2:12" x14ac:dyDescent="0.2">
      <c r="B24" s="284"/>
      <c r="C24" s="48" t="s">
        <v>259</v>
      </c>
      <c r="D24" s="301"/>
      <c r="E24" s="301"/>
      <c r="F24" s="301"/>
      <c r="G24" s="301"/>
      <c r="H24" s="301"/>
    </row>
    <row r="25" spans="2:12" x14ac:dyDescent="0.2">
      <c r="B25" s="330" t="s">
        <v>510</v>
      </c>
      <c r="C25" s="163" t="s">
        <v>253</v>
      </c>
      <c r="D25" s="66"/>
      <c r="E25" s="129">
        <f>D29</f>
        <v>0</v>
      </c>
      <c r="F25" s="129">
        <f>E29</f>
        <v>0</v>
      </c>
      <c r="G25" s="129">
        <f>F29</f>
        <v>0</v>
      </c>
      <c r="H25" s="129">
        <f>G29</f>
        <v>0</v>
      </c>
    </row>
    <row r="26" spans="2:12" x14ac:dyDescent="0.2">
      <c r="B26" s="330" t="s">
        <v>510</v>
      </c>
      <c r="C26" s="163" t="s">
        <v>260</v>
      </c>
      <c r="D26" s="66"/>
      <c r="E26" s="66"/>
      <c r="F26" s="66"/>
      <c r="G26" s="66"/>
      <c r="H26" s="66"/>
    </row>
    <row r="27" spans="2:12" x14ac:dyDescent="0.2">
      <c r="B27" s="330" t="s">
        <v>510</v>
      </c>
      <c r="C27" s="163" t="s">
        <v>261</v>
      </c>
      <c r="D27" s="66"/>
      <c r="E27" s="66"/>
      <c r="F27" s="66"/>
      <c r="G27" s="66"/>
      <c r="H27" s="66"/>
    </row>
    <row r="28" spans="2:12" x14ac:dyDescent="0.2">
      <c r="B28" s="330" t="s">
        <v>510</v>
      </c>
      <c r="C28" s="163" t="s">
        <v>262</v>
      </c>
      <c r="D28" s="66"/>
      <c r="E28" s="66"/>
      <c r="F28" s="66"/>
      <c r="G28" s="66"/>
      <c r="H28" s="66"/>
    </row>
    <row r="29" spans="2:12" x14ac:dyDescent="0.2">
      <c r="B29" s="284"/>
      <c r="C29" s="84" t="s">
        <v>263</v>
      </c>
      <c r="D29" s="129">
        <f>SUM(D25:D28)</f>
        <v>0</v>
      </c>
      <c r="E29" s="129">
        <f>SUM(E25:E28)</f>
        <v>0</v>
      </c>
      <c r="F29" s="129">
        <f>SUM(F25:F28)</f>
        <v>0</v>
      </c>
      <c r="G29" s="129">
        <f>SUM(G25:G28)</f>
        <v>0</v>
      </c>
      <c r="H29" s="129">
        <f>SUM(H25:H28)</f>
        <v>0</v>
      </c>
    </row>
    <row r="30" spans="2:12" x14ac:dyDescent="0.2">
      <c r="B30" s="284"/>
      <c r="C30" s="48" t="s">
        <v>264</v>
      </c>
      <c r="D30" s="301"/>
      <c r="E30" s="301"/>
      <c r="F30" s="301"/>
      <c r="G30" s="301"/>
      <c r="H30" s="301"/>
    </row>
    <row r="31" spans="2:12" x14ac:dyDescent="0.2">
      <c r="B31" s="330" t="s">
        <v>510</v>
      </c>
      <c r="C31" s="163" t="s">
        <v>253</v>
      </c>
      <c r="D31" s="66"/>
      <c r="E31" s="129">
        <f>D35</f>
        <v>0</v>
      </c>
      <c r="F31" s="129">
        <f>E35</f>
        <v>0</v>
      </c>
      <c r="G31" s="129">
        <f>F35</f>
        <v>0</v>
      </c>
      <c r="H31" s="129">
        <f>G35</f>
        <v>0</v>
      </c>
    </row>
    <row r="32" spans="2:12" x14ac:dyDescent="0.2">
      <c r="B32" s="330" t="s">
        <v>510</v>
      </c>
      <c r="C32" s="163" t="s">
        <v>265</v>
      </c>
      <c r="D32" s="66"/>
      <c r="E32" s="66"/>
      <c r="F32" s="66"/>
      <c r="G32" s="66"/>
      <c r="H32" s="66"/>
    </row>
    <row r="33" spans="2:8" ht="11.25" customHeight="1" x14ac:dyDescent="0.2">
      <c r="B33" s="330" t="s">
        <v>510</v>
      </c>
      <c r="C33" s="163" t="s">
        <v>266</v>
      </c>
      <c r="D33" s="66"/>
      <c r="E33" s="66"/>
      <c r="F33" s="66"/>
      <c r="G33" s="66"/>
      <c r="H33" s="66"/>
    </row>
    <row r="34" spans="2:8" x14ac:dyDescent="0.2">
      <c r="B34" s="330" t="s">
        <v>510</v>
      </c>
      <c r="C34" s="163" t="s">
        <v>262</v>
      </c>
      <c r="D34" s="66"/>
      <c r="E34" s="66"/>
      <c r="F34" s="66"/>
      <c r="G34" s="66"/>
      <c r="H34" s="66"/>
    </row>
    <row r="35" spans="2:8" x14ac:dyDescent="0.2">
      <c r="B35" s="284"/>
      <c r="C35" s="84" t="s">
        <v>267</v>
      </c>
      <c r="D35" s="129">
        <f>SUM(D31:D34)</f>
        <v>0</v>
      </c>
      <c r="E35" s="129">
        <f>SUM(E31:E34)</f>
        <v>0</v>
      </c>
      <c r="F35" s="129">
        <f>SUM(F31:F34)</f>
        <v>0</v>
      </c>
      <c r="G35" s="129">
        <f>SUM(G31:G34)</f>
        <v>0</v>
      </c>
      <c r="H35" s="129">
        <f>SUM(H31:H34)</f>
        <v>0</v>
      </c>
    </row>
    <row r="36" spans="2:8" x14ac:dyDescent="0.2">
      <c r="B36" s="284"/>
      <c r="C36" s="48" t="s">
        <v>268</v>
      </c>
      <c r="D36" s="301"/>
      <c r="E36" s="301"/>
      <c r="F36" s="301"/>
      <c r="G36" s="301"/>
      <c r="H36" s="301"/>
    </row>
    <row r="37" spans="2:8" x14ac:dyDescent="0.2">
      <c r="B37" s="330" t="s">
        <v>510</v>
      </c>
      <c r="C37" s="163" t="s">
        <v>253</v>
      </c>
      <c r="D37" s="66"/>
      <c r="E37" s="129">
        <f>D41</f>
        <v>0</v>
      </c>
      <c r="F37" s="129">
        <f>E41</f>
        <v>0</v>
      </c>
      <c r="G37" s="129">
        <f>F41</f>
        <v>0</v>
      </c>
      <c r="H37" s="129">
        <f>G41</f>
        <v>0</v>
      </c>
    </row>
    <row r="38" spans="2:8" x14ac:dyDescent="0.2">
      <c r="B38" s="330" t="s">
        <v>510</v>
      </c>
      <c r="C38" s="163" t="s">
        <v>260</v>
      </c>
      <c r="D38" s="66"/>
      <c r="E38" s="66"/>
      <c r="F38" s="66"/>
      <c r="G38" s="66"/>
      <c r="H38" s="66"/>
    </row>
    <row r="39" spans="2:8" x14ac:dyDescent="0.2">
      <c r="B39" s="330" t="s">
        <v>510</v>
      </c>
      <c r="C39" s="163" t="s">
        <v>269</v>
      </c>
      <c r="D39" s="66"/>
      <c r="E39" s="66"/>
      <c r="F39" s="66"/>
      <c r="G39" s="66"/>
      <c r="H39" s="66"/>
    </row>
    <row r="40" spans="2:8" x14ac:dyDescent="0.2">
      <c r="B40" s="330" t="s">
        <v>510</v>
      </c>
      <c r="C40" s="163" t="s">
        <v>262</v>
      </c>
      <c r="D40" s="66"/>
      <c r="E40" s="66"/>
      <c r="F40" s="66"/>
      <c r="G40" s="66"/>
      <c r="H40" s="66"/>
    </row>
    <row r="41" spans="2:8" ht="11.25" customHeight="1" x14ac:dyDescent="0.2">
      <c r="B41" s="284"/>
      <c r="C41" s="84" t="s">
        <v>270</v>
      </c>
      <c r="D41" s="129">
        <f>SUM(D37:D40)</f>
        <v>0</v>
      </c>
      <c r="E41" s="129">
        <f>SUM(E37:E40)</f>
        <v>0</v>
      </c>
      <c r="F41" s="129">
        <f>SUM(F37:F40)</f>
        <v>0</v>
      </c>
      <c r="G41" s="129">
        <f>SUM(G37:G40)</f>
        <v>0</v>
      </c>
      <c r="H41" s="129">
        <f>SUM(H37:H40)</f>
        <v>0</v>
      </c>
    </row>
    <row r="42" spans="2:8" x14ac:dyDescent="0.2">
      <c r="B42" s="284"/>
      <c r="C42" s="48" t="s">
        <v>271</v>
      </c>
      <c r="D42" s="301"/>
      <c r="E42" s="301"/>
      <c r="F42" s="301"/>
      <c r="G42" s="301"/>
      <c r="H42" s="301"/>
    </row>
    <row r="43" spans="2:8" x14ac:dyDescent="0.2">
      <c r="B43" s="330" t="s">
        <v>510</v>
      </c>
      <c r="C43" s="163" t="s">
        <v>253</v>
      </c>
      <c r="D43" s="66"/>
      <c r="E43" s="129">
        <f>D47</f>
        <v>0</v>
      </c>
      <c r="F43" s="129">
        <f>E47</f>
        <v>0</v>
      </c>
      <c r="G43" s="129">
        <f>F47</f>
        <v>0</v>
      </c>
      <c r="H43" s="129">
        <f>G47</f>
        <v>0</v>
      </c>
    </row>
    <row r="44" spans="2:8" x14ac:dyDescent="0.2">
      <c r="B44" s="330" t="s">
        <v>510</v>
      </c>
      <c r="C44" s="163" t="s">
        <v>260</v>
      </c>
      <c r="D44" s="66"/>
      <c r="E44" s="66"/>
      <c r="F44" s="66"/>
      <c r="G44" s="66"/>
      <c r="H44" s="66"/>
    </row>
    <row r="45" spans="2:8" x14ac:dyDescent="0.2">
      <c r="B45" s="330" t="s">
        <v>510</v>
      </c>
      <c r="C45" s="163" t="s">
        <v>272</v>
      </c>
      <c r="D45" s="66"/>
      <c r="E45" s="66"/>
      <c r="F45" s="66"/>
      <c r="G45" s="66"/>
      <c r="H45" s="66"/>
    </row>
    <row r="46" spans="2:8" x14ac:dyDescent="0.2">
      <c r="B46" s="330" t="s">
        <v>510</v>
      </c>
      <c r="C46" s="163" t="s">
        <v>262</v>
      </c>
      <c r="D46" s="66"/>
      <c r="E46" s="66"/>
      <c r="F46" s="66"/>
      <c r="G46" s="66"/>
      <c r="H46" s="66"/>
    </row>
    <row r="47" spans="2:8" x14ac:dyDescent="0.2">
      <c r="B47" s="284"/>
      <c r="C47" s="84" t="s">
        <v>273</v>
      </c>
      <c r="D47" s="129">
        <f>SUM(D43:D46)</f>
        <v>0</v>
      </c>
      <c r="E47" s="129">
        <f>SUM(E43:E46)</f>
        <v>0</v>
      </c>
      <c r="F47" s="129">
        <f>SUM(F43:F46)</f>
        <v>0</v>
      </c>
      <c r="G47" s="129">
        <f>SUM(G43:G46)</f>
        <v>0</v>
      </c>
      <c r="H47" s="129">
        <f>SUM(H43:H46)</f>
        <v>0</v>
      </c>
    </row>
    <row r="48" spans="2:8" x14ac:dyDescent="0.2">
      <c r="B48" s="284"/>
      <c r="C48" s="48" t="s">
        <v>274</v>
      </c>
      <c r="D48" s="301"/>
      <c r="E48" s="301"/>
      <c r="F48" s="301"/>
      <c r="G48" s="301"/>
      <c r="H48" s="301"/>
    </row>
    <row r="49" spans="2:8" ht="11.25" customHeight="1" x14ac:dyDescent="0.2">
      <c r="B49" s="330" t="s">
        <v>510</v>
      </c>
      <c r="C49" s="163" t="s">
        <v>253</v>
      </c>
      <c r="D49" s="66"/>
      <c r="E49" s="129">
        <f>D53</f>
        <v>0</v>
      </c>
      <c r="F49" s="129">
        <f>E53</f>
        <v>0</v>
      </c>
      <c r="G49" s="129">
        <f>F53</f>
        <v>0</v>
      </c>
      <c r="H49" s="129">
        <f>G53</f>
        <v>0</v>
      </c>
    </row>
    <row r="50" spans="2:8" x14ac:dyDescent="0.2">
      <c r="B50" s="330" t="s">
        <v>510</v>
      </c>
      <c r="C50" s="163" t="s">
        <v>260</v>
      </c>
      <c r="D50" s="66"/>
      <c r="E50" s="66"/>
      <c r="F50" s="66"/>
      <c r="G50" s="66"/>
      <c r="H50" s="66"/>
    </row>
    <row r="51" spans="2:8" x14ac:dyDescent="0.2">
      <c r="B51" s="330" t="s">
        <v>510</v>
      </c>
      <c r="C51" s="163" t="s">
        <v>275</v>
      </c>
      <c r="D51" s="66"/>
      <c r="E51" s="66"/>
      <c r="F51" s="66"/>
      <c r="G51" s="66"/>
      <c r="H51" s="66"/>
    </row>
    <row r="52" spans="2:8" x14ac:dyDescent="0.2">
      <c r="B52" s="330" t="s">
        <v>510</v>
      </c>
      <c r="C52" s="163" t="s">
        <v>262</v>
      </c>
      <c r="D52" s="66"/>
      <c r="E52" s="66"/>
      <c r="F52" s="66"/>
      <c r="G52" s="66"/>
      <c r="H52" s="66"/>
    </row>
    <row r="53" spans="2:8" x14ac:dyDescent="0.2">
      <c r="B53" s="284"/>
      <c r="C53" s="84" t="s">
        <v>276</v>
      </c>
      <c r="D53" s="129">
        <f>SUM(D49:D52)</f>
        <v>0</v>
      </c>
      <c r="E53" s="129">
        <f>SUM(E49:E52)</f>
        <v>0</v>
      </c>
      <c r="F53" s="129">
        <f>SUM(F49:F52)</f>
        <v>0</v>
      </c>
      <c r="G53" s="129">
        <f>SUM(G49:G52)</f>
        <v>0</v>
      </c>
      <c r="H53" s="129">
        <f>SUM(H49:H52)</f>
        <v>0</v>
      </c>
    </row>
    <row r="54" spans="2:8" x14ac:dyDescent="0.2">
      <c r="B54" s="284"/>
      <c r="C54" s="48" t="s">
        <v>277</v>
      </c>
      <c r="D54" s="301"/>
      <c r="E54" s="301"/>
      <c r="F54" s="301"/>
      <c r="G54" s="301"/>
      <c r="H54" s="301"/>
    </row>
    <row r="55" spans="2:8" x14ac:dyDescent="0.2">
      <c r="B55" s="330" t="s">
        <v>510</v>
      </c>
      <c r="C55" s="163" t="s">
        <v>253</v>
      </c>
      <c r="D55" s="66"/>
      <c r="E55" s="129">
        <f>D59</f>
        <v>0</v>
      </c>
      <c r="F55" s="129">
        <f>E59</f>
        <v>0</v>
      </c>
      <c r="G55" s="129">
        <f>F59</f>
        <v>0</v>
      </c>
      <c r="H55" s="129">
        <f>G59</f>
        <v>0</v>
      </c>
    </row>
    <row r="56" spans="2:8" x14ac:dyDescent="0.2">
      <c r="B56" s="330" t="s">
        <v>510</v>
      </c>
      <c r="C56" s="163" t="s">
        <v>260</v>
      </c>
      <c r="D56" s="66"/>
      <c r="E56" s="66"/>
      <c r="F56" s="66"/>
      <c r="G56" s="66"/>
      <c r="H56" s="66"/>
    </row>
    <row r="57" spans="2:8" ht="11.25" customHeight="1" x14ac:dyDescent="0.2">
      <c r="B57" s="330" t="s">
        <v>510</v>
      </c>
      <c r="C57" s="163" t="s">
        <v>278</v>
      </c>
      <c r="D57" s="66"/>
      <c r="E57" s="66"/>
      <c r="F57" s="66"/>
      <c r="G57" s="66"/>
      <c r="H57" s="66"/>
    </row>
    <row r="58" spans="2:8" x14ac:dyDescent="0.2">
      <c r="B58" s="330" t="s">
        <v>510</v>
      </c>
      <c r="C58" s="163" t="s">
        <v>262</v>
      </c>
      <c r="D58" s="66"/>
      <c r="E58" s="66"/>
      <c r="F58" s="66"/>
      <c r="G58" s="66"/>
      <c r="H58" s="66"/>
    </row>
    <row r="59" spans="2:8" x14ac:dyDescent="0.2">
      <c r="B59" s="284"/>
      <c r="C59" s="84" t="s">
        <v>279</v>
      </c>
      <c r="D59" s="129">
        <f>SUM(D55:D58)</f>
        <v>0</v>
      </c>
      <c r="E59" s="129">
        <f>SUM(E55:E58)</f>
        <v>0</v>
      </c>
      <c r="F59" s="129">
        <f>SUM(F55:F58)</f>
        <v>0</v>
      </c>
      <c r="G59" s="129">
        <f>SUM(G55:G58)</f>
        <v>0</v>
      </c>
      <c r="H59" s="129">
        <f>SUM(H55:H58)</f>
        <v>0</v>
      </c>
    </row>
    <row r="60" spans="2:8" x14ac:dyDescent="0.2">
      <c r="B60" s="284"/>
      <c r="C60" s="48" t="s">
        <v>280</v>
      </c>
      <c r="D60" s="301"/>
      <c r="E60" s="301"/>
      <c r="F60" s="301"/>
      <c r="G60" s="301"/>
      <c r="H60" s="301"/>
    </row>
    <row r="61" spans="2:8" x14ac:dyDescent="0.2">
      <c r="B61" s="330" t="s">
        <v>510</v>
      </c>
      <c r="C61" s="163" t="s">
        <v>253</v>
      </c>
      <c r="D61" s="66"/>
      <c r="E61" s="129">
        <f>D65</f>
        <v>0</v>
      </c>
      <c r="F61" s="129">
        <f>E65</f>
        <v>0</v>
      </c>
      <c r="G61" s="129">
        <f>F65</f>
        <v>0</v>
      </c>
      <c r="H61" s="129">
        <f>G65</f>
        <v>0</v>
      </c>
    </row>
    <row r="62" spans="2:8" x14ac:dyDescent="0.2">
      <c r="B62" s="330" t="s">
        <v>510</v>
      </c>
      <c r="C62" s="163" t="s">
        <v>260</v>
      </c>
      <c r="D62" s="66"/>
      <c r="E62" s="66"/>
      <c r="F62" s="66"/>
      <c r="G62" s="66"/>
      <c r="H62" s="66"/>
    </row>
    <row r="63" spans="2:8" ht="11.25" customHeight="1" x14ac:dyDescent="0.2">
      <c r="B63" s="330" t="s">
        <v>510</v>
      </c>
      <c r="C63" s="163" t="s">
        <v>281</v>
      </c>
      <c r="D63" s="66"/>
      <c r="E63" s="66"/>
      <c r="F63" s="66"/>
      <c r="G63" s="66"/>
      <c r="H63" s="66"/>
    </row>
    <row r="64" spans="2:8" ht="11.25" customHeight="1" x14ac:dyDescent="0.2">
      <c r="B64" s="330" t="s">
        <v>510</v>
      </c>
      <c r="C64" s="163" t="s">
        <v>262</v>
      </c>
      <c r="D64" s="66"/>
      <c r="E64" s="66"/>
      <c r="F64" s="66"/>
      <c r="G64" s="66"/>
      <c r="H64" s="66"/>
    </row>
    <row r="65" spans="2:8" ht="11.25" customHeight="1" x14ac:dyDescent="0.2">
      <c r="B65" s="284"/>
      <c r="C65" s="84" t="s">
        <v>282</v>
      </c>
      <c r="D65" s="129">
        <f>SUM(D61:D64)</f>
        <v>0</v>
      </c>
      <c r="E65" s="129">
        <f>SUM(E61:E64)</f>
        <v>0</v>
      </c>
      <c r="F65" s="129">
        <f>SUM(F61:F64)</f>
        <v>0</v>
      </c>
      <c r="G65" s="129">
        <f>SUM(G61:G64)</f>
        <v>0</v>
      </c>
      <c r="H65" s="129">
        <f>SUM(H61:H64)</f>
        <v>0</v>
      </c>
    </row>
    <row r="66" spans="2:8" x14ac:dyDescent="0.2">
      <c r="B66" s="284"/>
      <c r="C66" s="48" t="s">
        <v>283</v>
      </c>
      <c r="D66" s="301"/>
      <c r="E66" s="301"/>
      <c r="F66" s="301"/>
      <c r="G66" s="301"/>
      <c r="H66" s="301"/>
    </row>
    <row r="67" spans="2:8" x14ac:dyDescent="0.2">
      <c r="B67" s="330" t="s">
        <v>510</v>
      </c>
      <c r="C67" s="163" t="s">
        <v>253</v>
      </c>
      <c r="D67" s="66"/>
      <c r="E67" s="129">
        <f>D71</f>
        <v>0</v>
      </c>
      <c r="F67" s="129">
        <f>E71</f>
        <v>0</v>
      </c>
      <c r="G67" s="129">
        <f>F71</f>
        <v>0</v>
      </c>
      <c r="H67" s="129">
        <f>G71</f>
        <v>0</v>
      </c>
    </row>
    <row r="68" spans="2:8" x14ac:dyDescent="0.2">
      <c r="B68" s="330" t="s">
        <v>510</v>
      </c>
      <c r="C68" s="163" t="s">
        <v>260</v>
      </c>
      <c r="D68" s="66"/>
      <c r="E68" s="66"/>
      <c r="F68" s="66"/>
      <c r="G68" s="66"/>
      <c r="H68" s="66"/>
    </row>
    <row r="69" spans="2:8" x14ac:dyDescent="0.2">
      <c r="B69" s="330" t="s">
        <v>510</v>
      </c>
      <c r="C69" s="163" t="s">
        <v>284</v>
      </c>
      <c r="D69" s="66"/>
      <c r="E69" s="66"/>
      <c r="F69" s="66"/>
      <c r="G69" s="66"/>
      <c r="H69" s="66"/>
    </row>
    <row r="70" spans="2:8" x14ac:dyDescent="0.2">
      <c r="B70" s="330" t="s">
        <v>510</v>
      </c>
      <c r="C70" s="163" t="s">
        <v>262</v>
      </c>
      <c r="D70" s="66"/>
      <c r="E70" s="66"/>
      <c r="F70" s="66"/>
      <c r="G70" s="66"/>
      <c r="H70" s="66"/>
    </row>
    <row r="71" spans="2:8" x14ac:dyDescent="0.2">
      <c r="B71" s="284"/>
      <c r="C71" s="84" t="s">
        <v>285</v>
      </c>
      <c r="D71" s="129">
        <f>SUM(D67:D70)</f>
        <v>0</v>
      </c>
      <c r="E71" s="129">
        <f>SUM(E67:E70)</f>
        <v>0</v>
      </c>
      <c r="F71" s="129">
        <f>SUM(F67:F70)</f>
        <v>0</v>
      </c>
      <c r="G71" s="129">
        <f>SUM(G67:G70)</f>
        <v>0</v>
      </c>
      <c r="H71" s="129">
        <f>SUM(H67:H70)</f>
        <v>0</v>
      </c>
    </row>
    <row r="72" spans="2:8" x14ac:dyDescent="0.2">
      <c r="B72" s="284"/>
      <c r="C72" s="48" t="s">
        <v>286</v>
      </c>
      <c r="D72" s="301"/>
      <c r="E72" s="301"/>
      <c r="F72" s="301"/>
      <c r="G72" s="301"/>
      <c r="H72" s="301"/>
    </row>
    <row r="73" spans="2:8" ht="11.25" customHeight="1" x14ac:dyDescent="0.2">
      <c r="B73" s="330" t="s">
        <v>510</v>
      </c>
      <c r="C73" s="163" t="s">
        <v>253</v>
      </c>
      <c r="D73" s="66"/>
      <c r="E73" s="129">
        <f>D77</f>
        <v>0</v>
      </c>
      <c r="F73" s="129">
        <f>E77</f>
        <v>0</v>
      </c>
      <c r="G73" s="129">
        <f>F77</f>
        <v>0</v>
      </c>
      <c r="H73" s="129">
        <f>G77</f>
        <v>0</v>
      </c>
    </row>
    <row r="74" spans="2:8" x14ac:dyDescent="0.2">
      <c r="B74" s="330" t="s">
        <v>510</v>
      </c>
      <c r="C74" s="163" t="s">
        <v>260</v>
      </c>
      <c r="D74" s="66"/>
      <c r="E74" s="66"/>
      <c r="F74" s="66"/>
      <c r="G74" s="66"/>
      <c r="H74" s="66"/>
    </row>
    <row r="75" spans="2:8" x14ac:dyDescent="0.2">
      <c r="B75" s="330" t="s">
        <v>510</v>
      </c>
      <c r="C75" s="163" t="s">
        <v>284</v>
      </c>
      <c r="D75" s="66"/>
      <c r="E75" s="66"/>
      <c r="F75" s="66"/>
      <c r="G75" s="66"/>
      <c r="H75" s="66"/>
    </row>
    <row r="76" spans="2:8" x14ac:dyDescent="0.2">
      <c r="B76" s="330" t="s">
        <v>510</v>
      </c>
      <c r="C76" s="163" t="s">
        <v>262</v>
      </c>
      <c r="D76" s="66"/>
      <c r="E76" s="66"/>
      <c r="F76" s="66"/>
      <c r="G76" s="66"/>
      <c r="H76" s="66"/>
    </row>
    <row r="77" spans="2:8" x14ac:dyDescent="0.2">
      <c r="B77" s="284"/>
      <c r="C77" s="84" t="s">
        <v>287</v>
      </c>
      <c r="D77" s="129">
        <f>SUM(D73:D76)</f>
        <v>0</v>
      </c>
      <c r="E77" s="129">
        <f>SUM(E73:E76)</f>
        <v>0</v>
      </c>
      <c r="F77" s="129">
        <f>SUM(F73:F76)</f>
        <v>0</v>
      </c>
      <c r="G77" s="129">
        <f>SUM(G73:G76)</f>
        <v>0</v>
      </c>
      <c r="H77" s="129">
        <f>SUM(H73:H76)</f>
        <v>0</v>
      </c>
    </row>
    <row r="78" spans="2:8" x14ac:dyDescent="0.2">
      <c r="B78" s="284"/>
      <c r="C78" s="84" t="s">
        <v>288</v>
      </c>
      <c r="D78" s="129">
        <f>SUM(D23,D29,D35,D41,D47,D53,D59,D65,D71,D77)</f>
        <v>0</v>
      </c>
      <c r="E78" s="129">
        <f>SUM(E23,E29,E35,E41,E47,E53,E59,E65,E71,E77)</f>
        <v>0</v>
      </c>
      <c r="F78" s="129">
        <f>SUM(F23,F29,F35,F41,F47,F53,F59,F65,F71,F77)</f>
        <v>0</v>
      </c>
      <c r="G78" s="129">
        <f>SUM(G23,G29,G35,G41,G47,G53,G59,G65,G71,G77)</f>
        <v>0</v>
      </c>
      <c r="H78" s="129">
        <f>SUM(H23,H29,H35,H41,H47,H53,H59,H65,H71,H77)</f>
        <v>0</v>
      </c>
    </row>
    <row r="79" spans="2:8" x14ac:dyDescent="0.2">
      <c r="B79" s="284"/>
      <c r="C79" s="48" t="s">
        <v>289</v>
      </c>
      <c r="D79" s="301"/>
      <c r="E79" s="301"/>
      <c r="F79" s="301"/>
      <c r="G79" s="301"/>
      <c r="H79" s="301"/>
    </row>
    <row r="80" spans="2:8" ht="11.25" customHeight="1" x14ac:dyDescent="0.2">
      <c r="B80" s="330" t="s">
        <v>510</v>
      </c>
      <c r="C80" s="163" t="s">
        <v>253</v>
      </c>
      <c r="D80" s="66"/>
      <c r="E80" s="129">
        <f>D84</f>
        <v>0</v>
      </c>
      <c r="F80" s="129">
        <f>E84</f>
        <v>0</v>
      </c>
      <c r="G80" s="129">
        <f>F84</f>
        <v>0</v>
      </c>
      <c r="H80" s="129">
        <f>G84</f>
        <v>0</v>
      </c>
    </row>
    <row r="81" spans="2:8" x14ac:dyDescent="0.2">
      <c r="B81" s="330" t="s">
        <v>510</v>
      </c>
      <c r="C81" s="163" t="s">
        <v>260</v>
      </c>
      <c r="D81" s="66"/>
      <c r="E81" s="66"/>
      <c r="F81" s="66"/>
      <c r="G81" s="66"/>
      <c r="H81" s="66"/>
    </row>
    <row r="82" spans="2:8" x14ac:dyDescent="0.2">
      <c r="B82" s="330" t="s">
        <v>510</v>
      </c>
      <c r="C82" s="163" t="s">
        <v>290</v>
      </c>
      <c r="D82" s="66"/>
      <c r="E82" s="66"/>
      <c r="F82" s="66"/>
      <c r="G82" s="66"/>
      <c r="H82" s="66"/>
    </row>
    <row r="83" spans="2:8" s="262" customFormat="1" x14ac:dyDescent="0.2">
      <c r="B83" s="330" t="s">
        <v>510</v>
      </c>
      <c r="C83" s="163" t="s">
        <v>291</v>
      </c>
      <c r="D83" s="66"/>
      <c r="E83" s="66"/>
      <c r="F83" s="66"/>
      <c r="G83" s="66"/>
      <c r="H83" s="66"/>
    </row>
    <row r="84" spans="2:8" s="262" customFormat="1" x14ac:dyDescent="0.2">
      <c r="B84" s="284"/>
      <c r="C84" s="84" t="s">
        <v>292</v>
      </c>
      <c r="D84" s="129">
        <f>SUM(D80:D83)</f>
        <v>0</v>
      </c>
      <c r="E84" s="129">
        <f>SUM(E80:E83)</f>
        <v>0</v>
      </c>
      <c r="F84" s="129">
        <f>SUM(F80:F83)</f>
        <v>0</v>
      </c>
      <c r="G84" s="129">
        <f>SUM(G80:G83)</f>
        <v>0</v>
      </c>
      <c r="H84" s="129">
        <f>SUM(H80:H83)</f>
        <v>0</v>
      </c>
    </row>
    <row r="85" spans="2:8" s="262" customFormat="1" x14ac:dyDescent="0.2">
      <c r="B85" s="284"/>
      <c r="C85" s="48" t="s">
        <v>293</v>
      </c>
      <c r="D85" s="301"/>
      <c r="E85" s="301"/>
      <c r="F85" s="301"/>
      <c r="G85" s="301"/>
      <c r="H85" s="301"/>
    </row>
    <row r="86" spans="2:8" s="262" customFormat="1" x14ac:dyDescent="0.2">
      <c r="B86" s="330" t="s">
        <v>510</v>
      </c>
      <c r="C86" s="163" t="s">
        <v>253</v>
      </c>
      <c r="D86" s="66"/>
      <c r="E86" s="129">
        <f>D90</f>
        <v>0</v>
      </c>
      <c r="F86" s="129">
        <f>E90</f>
        <v>0</v>
      </c>
      <c r="G86" s="129">
        <f>F90</f>
        <v>0</v>
      </c>
      <c r="H86" s="129">
        <f>G90</f>
        <v>0</v>
      </c>
    </row>
    <row r="87" spans="2:8" s="262" customFormat="1" x14ac:dyDescent="0.2">
      <c r="B87" s="330" t="s">
        <v>510</v>
      </c>
      <c r="C87" s="163" t="s">
        <v>260</v>
      </c>
      <c r="D87" s="66"/>
      <c r="E87" s="66"/>
      <c r="F87" s="66"/>
      <c r="G87" s="66"/>
      <c r="H87" s="66"/>
    </row>
    <row r="88" spans="2:8" s="262" customFormat="1" x14ac:dyDescent="0.2">
      <c r="B88" s="330" t="s">
        <v>510</v>
      </c>
      <c r="C88" s="163" t="s">
        <v>284</v>
      </c>
      <c r="D88" s="66"/>
      <c r="E88" s="66"/>
      <c r="F88" s="66"/>
      <c r="G88" s="66"/>
      <c r="H88" s="66"/>
    </row>
    <row r="89" spans="2:8" x14ac:dyDescent="0.2">
      <c r="B89" s="330" t="s">
        <v>510</v>
      </c>
      <c r="C89" s="163" t="s">
        <v>262</v>
      </c>
      <c r="D89" s="66"/>
      <c r="E89" s="66"/>
      <c r="F89" s="66"/>
      <c r="G89" s="66"/>
      <c r="H89" s="66"/>
    </row>
    <row r="90" spans="2:8" x14ac:dyDescent="0.2">
      <c r="B90" s="284"/>
      <c r="C90" s="84" t="s">
        <v>294</v>
      </c>
      <c r="D90" s="129">
        <f>SUM(D86:D89)</f>
        <v>0</v>
      </c>
      <c r="E90" s="129">
        <f>SUM(E86:E89)</f>
        <v>0</v>
      </c>
      <c r="F90" s="129">
        <f>SUM(F86:F89)</f>
        <v>0</v>
      </c>
      <c r="G90" s="129">
        <f>SUM(G86:G89)</f>
        <v>0</v>
      </c>
      <c r="H90" s="129">
        <f>SUM(H86:H89)</f>
        <v>0</v>
      </c>
    </row>
    <row r="91" spans="2:8" x14ac:dyDescent="0.2">
      <c r="B91" s="330" t="s">
        <v>510</v>
      </c>
      <c r="C91" s="163" t="s">
        <v>295</v>
      </c>
      <c r="D91" s="66"/>
      <c r="E91" s="129">
        <f>D93</f>
        <v>0</v>
      </c>
      <c r="F91" s="129">
        <f>E93</f>
        <v>0</v>
      </c>
      <c r="G91" s="129">
        <f>F93</f>
        <v>0</v>
      </c>
      <c r="H91" s="129">
        <f>G93</f>
        <v>0</v>
      </c>
    </row>
    <row r="92" spans="2:8" x14ac:dyDescent="0.2">
      <c r="B92" s="330" t="s">
        <v>510</v>
      </c>
      <c r="C92" s="163" t="s">
        <v>296</v>
      </c>
      <c r="D92" s="66"/>
      <c r="E92" s="66"/>
      <c r="F92" s="66"/>
      <c r="G92" s="66"/>
      <c r="H92" s="66"/>
    </row>
    <row r="93" spans="2:8" x14ac:dyDescent="0.2">
      <c r="B93" s="284"/>
      <c r="C93" s="84" t="s">
        <v>297</v>
      </c>
      <c r="D93" s="129">
        <f>SUM(D91:D92)</f>
        <v>0</v>
      </c>
      <c r="E93" s="129">
        <f>SUM(E91:E92)</f>
        <v>0</v>
      </c>
      <c r="F93" s="129">
        <f>SUM(F91:F92)</f>
        <v>0</v>
      </c>
      <c r="G93" s="129">
        <f>SUM(G91:G92)</f>
        <v>0</v>
      </c>
      <c r="H93" s="129">
        <f>SUM(H91:H92)</f>
        <v>0</v>
      </c>
    </row>
    <row r="94" spans="2:8" x14ac:dyDescent="0.2">
      <c r="B94" s="284"/>
      <c r="C94" s="84" t="s">
        <v>298</v>
      </c>
      <c r="D94" s="129">
        <f>SUM(D84,D90,D93)</f>
        <v>0</v>
      </c>
      <c r="E94" s="129">
        <f>SUM(E84,E90,E93)</f>
        <v>0</v>
      </c>
      <c r="F94" s="129">
        <f>SUM(F84,F90,F93)</f>
        <v>0</v>
      </c>
      <c r="G94" s="129">
        <f>SUM(G84,G90,G93)</f>
        <v>0</v>
      </c>
      <c r="H94" s="129">
        <f>SUM(H84,H90,H93)</f>
        <v>0</v>
      </c>
    </row>
    <row r="95" spans="2:8" x14ac:dyDescent="0.2">
      <c r="B95" s="284"/>
      <c r="C95" s="84" t="s">
        <v>299</v>
      </c>
      <c r="D95" s="129">
        <f>D78+D94</f>
        <v>0</v>
      </c>
      <c r="E95" s="129">
        <f>E78+E94</f>
        <v>0</v>
      </c>
      <c r="F95" s="129">
        <f>F78+F94</f>
        <v>0</v>
      </c>
      <c r="G95" s="129">
        <f>G78+G94</f>
        <v>0</v>
      </c>
      <c r="H95" s="129">
        <f>H78+H94</f>
        <v>0</v>
      </c>
    </row>
    <row r="119" spans="3:3" x14ac:dyDescent="0.2">
      <c r="C119" s="264"/>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05" customWidth="1"/>
    <col min="2" max="2" width="21" style="205" customWidth="1"/>
    <col min="3" max="6" width="42.28515625" style="205" customWidth="1"/>
    <col min="7" max="7" width="9.42578125" style="205" customWidth="1"/>
    <col min="8" max="8" width="25.28515625" style="205" customWidth="1"/>
    <col min="9" max="16384" width="9.28515625" style="205"/>
  </cols>
  <sheetData>
    <row r="1" spans="2:6" ht="20.25" customHeight="1" x14ac:dyDescent="0.2">
      <c r="B1" s="135" t="s">
        <v>53</v>
      </c>
      <c r="C1" s="135"/>
    </row>
    <row r="2" spans="2:6" ht="20.25" x14ac:dyDescent="0.2">
      <c r="B2" s="135" t="str">
        <f>IF(Tradingname=0," ",Tradingname)</f>
        <v>APA WGP PTY LTD</v>
      </c>
      <c r="C2" s="135"/>
    </row>
    <row r="3" spans="2:6" ht="20.25" x14ac:dyDescent="0.3">
      <c r="B3" s="135" t="s">
        <v>30</v>
      </c>
      <c r="C3" s="99">
        <f>IF(Yearending=0, "01/01/2000", Yearending)</f>
        <v>45838</v>
      </c>
    </row>
    <row r="4" spans="2:6" ht="20.25" x14ac:dyDescent="0.2">
      <c r="B4" s="91" t="s">
        <v>300</v>
      </c>
      <c r="C4" s="91"/>
    </row>
    <row r="7" spans="2:6" ht="15.75" x14ac:dyDescent="0.25">
      <c r="B7" s="207" t="s">
        <v>301</v>
      </c>
      <c r="C7" s="208"/>
      <c r="D7" s="208"/>
      <c r="E7" s="208"/>
    </row>
    <row r="8" spans="2:6" ht="15.75" x14ac:dyDescent="0.25">
      <c r="B8" s="207"/>
      <c r="C8" s="208"/>
      <c r="D8" s="208"/>
      <c r="E8" s="208"/>
    </row>
    <row r="9" spans="2:6" ht="25.5" x14ac:dyDescent="0.2">
      <c r="B9" s="37" t="s">
        <v>113</v>
      </c>
      <c r="C9" s="37" t="s">
        <v>302</v>
      </c>
      <c r="D9" s="37" t="s">
        <v>303</v>
      </c>
      <c r="E9" s="37" t="s">
        <v>304</v>
      </c>
      <c r="F9" s="49" t="s">
        <v>305</v>
      </c>
    </row>
    <row r="10" spans="2:6" x14ac:dyDescent="0.2">
      <c r="B10" s="39"/>
      <c r="C10" s="39"/>
      <c r="D10" s="42"/>
      <c r="E10" s="265" t="s">
        <v>306</v>
      </c>
      <c r="F10" s="266"/>
    </row>
    <row r="11" spans="2:6" ht="25.5" x14ac:dyDescent="0.2">
      <c r="B11" s="328" t="s">
        <v>511</v>
      </c>
      <c r="C11" s="13" t="str">
        <f>'3.1 Depreciated Book Value'!C17</f>
        <v xml:space="preserve">Pipelines </v>
      </c>
      <c r="D11" s="309" t="str">
        <f>CONCATENATE("3/6/2015"," to ",TEXT(Yearending,"d/m/yyyy"))</f>
        <v>3/6/2015 to 30/6/2025</v>
      </c>
      <c r="E11" s="133">
        <v>19.887593698151981</v>
      </c>
      <c r="F11" s="308" t="s">
        <v>521</v>
      </c>
    </row>
    <row r="12" spans="2:6" x14ac:dyDescent="0.2">
      <c r="B12" s="328" t="s">
        <v>511</v>
      </c>
      <c r="C12" s="13" t="str">
        <f>'3.1 Depreciated Book Value'!C26</f>
        <v xml:space="preserve">Compressors </v>
      </c>
      <c r="D12" s="309" t="s">
        <v>481</v>
      </c>
      <c r="E12" s="133" t="s">
        <v>481</v>
      </c>
      <c r="F12" s="134" t="s">
        <v>481</v>
      </c>
    </row>
    <row r="13" spans="2:6" ht="25.5" x14ac:dyDescent="0.2">
      <c r="B13" s="328" t="s">
        <v>511</v>
      </c>
      <c r="C13" s="13" t="str">
        <f>'3.1 Depreciated Book Value'!C34</f>
        <v xml:space="preserve">City Gates, supply regulators and valve stations </v>
      </c>
      <c r="D13" s="74" t="str">
        <f>CONCATENATE("3/6/2015"," to ",TEXT(Yearending,"d/m/yyyy"))</f>
        <v>3/6/2015 to 30/6/2025</v>
      </c>
      <c r="E13" s="133">
        <v>14.957485457965118</v>
      </c>
      <c r="F13" s="134" t="s">
        <v>521</v>
      </c>
    </row>
    <row r="14" spans="2:6" ht="25.5" x14ac:dyDescent="0.2">
      <c r="B14" s="328" t="s">
        <v>511</v>
      </c>
      <c r="C14" s="13" t="str">
        <f>'3.1 Depreciated Book Value'!C42</f>
        <v xml:space="preserve">Metering </v>
      </c>
      <c r="D14" s="74" t="str">
        <f>CONCATENATE("3/6/2015"," to ",TEXT(Yearending,"d/m/yyyy"))</f>
        <v>3/6/2015 to 30/6/2025</v>
      </c>
      <c r="E14" s="133">
        <v>20</v>
      </c>
      <c r="F14" s="134" t="s">
        <v>521</v>
      </c>
    </row>
    <row r="15" spans="2:6" x14ac:dyDescent="0.2">
      <c r="B15" s="328" t="s">
        <v>511</v>
      </c>
      <c r="C15" s="13" t="str">
        <f>'3.1 Depreciated Book Value'!C50</f>
        <v xml:space="preserve">Odorant plants </v>
      </c>
      <c r="D15" s="74" t="s">
        <v>481</v>
      </c>
      <c r="E15" s="133" t="s">
        <v>481</v>
      </c>
      <c r="F15" s="134" t="s">
        <v>481</v>
      </c>
    </row>
    <row r="16" spans="2:6" ht="25.5" x14ac:dyDescent="0.2">
      <c r="B16" s="328" t="s">
        <v>511</v>
      </c>
      <c r="C16" s="13" t="str">
        <f>'3.1 Depreciated Book Value'!C58</f>
        <v xml:space="preserve">SCADA (Communications) </v>
      </c>
      <c r="D16" s="309" t="str">
        <f>CONCATENATE("3/6/2015"," to ",TEXT(Yearending,"d/m/yyyy"))</f>
        <v>3/6/2015 to 30/6/2025</v>
      </c>
      <c r="E16" s="133">
        <v>10.000000213104679</v>
      </c>
      <c r="F16" s="134" t="s">
        <v>521</v>
      </c>
    </row>
    <row r="17" spans="2:7" ht="25.5" x14ac:dyDescent="0.2">
      <c r="B17" s="328" t="s">
        <v>511</v>
      </c>
      <c r="C17" s="13" t="str">
        <f>'3.1 Depreciated Book Value'!C66</f>
        <v xml:space="preserve">Buildings </v>
      </c>
      <c r="D17" s="310" t="str">
        <f>CONCATENATE("3/6/2015"," to ",TEXT(Yearending,"d/m/yyyy"))</f>
        <v>3/6/2015 to 30/6/2025</v>
      </c>
      <c r="E17" s="133">
        <v>20</v>
      </c>
      <c r="F17" s="134" t="s">
        <v>521</v>
      </c>
    </row>
    <row r="18" spans="2:7" ht="25.5" x14ac:dyDescent="0.2">
      <c r="B18" s="328" t="s">
        <v>511</v>
      </c>
      <c r="C18" s="13" t="str">
        <f>'3.1 Depreciated Book Value'!C81</f>
        <v>Other depreciable pipeline assets</v>
      </c>
      <c r="D18" s="74" t="str">
        <f>CONCATENATE("3/6/2015"," to ",TEXT(Yearending,"d/m/yyyy"))</f>
        <v>3/6/2015 to 30/6/2025</v>
      </c>
      <c r="E18" s="133">
        <v>14.678587937324108</v>
      </c>
      <c r="F18" s="134" t="s">
        <v>521</v>
      </c>
    </row>
    <row r="19" spans="2:7" ht="25.5" x14ac:dyDescent="0.2">
      <c r="B19" s="282"/>
      <c r="C19" s="320" t="s">
        <v>505</v>
      </c>
      <c r="D19" s="74" t="str">
        <f>CONCATENATE("3/6/2015"," to ",TEXT(Yearending,"d/m/yyyy"))</f>
        <v>3/6/2015 to 30/6/2025</v>
      </c>
      <c r="E19" s="133" t="s">
        <v>481</v>
      </c>
      <c r="F19" s="134" t="s">
        <v>521</v>
      </c>
    </row>
    <row r="20" spans="2:7" x14ac:dyDescent="0.2">
      <c r="B20" s="282"/>
      <c r="C20" s="73" t="s">
        <v>307</v>
      </c>
      <c r="D20" s="74"/>
      <c r="E20" s="133"/>
      <c r="F20" s="134"/>
    </row>
    <row r="21" spans="2:7" x14ac:dyDescent="0.2">
      <c r="B21" s="282"/>
      <c r="C21" s="73" t="s">
        <v>307</v>
      </c>
      <c r="D21" s="74"/>
      <c r="E21" s="133"/>
      <c r="F21" s="134"/>
      <c r="G21" s="267"/>
    </row>
    <row r="22" spans="2:7" x14ac:dyDescent="0.2">
      <c r="B22" s="282"/>
      <c r="C22" s="73" t="s">
        <v>307</v>
      </c>
      <c r="D22" s="74"/>
      <c r="E22" s="133"/>
      <c r="F22" s="134"/>
      <c r="G22" s="267"/>
    </row>
    <row r="23" spans="2:7" x14ac:dyDescent="0.2">
      <c r="B23" s="328" t="s">
        <v>511</v>
      </c>
      <c r="C23" s="13" t="str">
        <f>'3.1 Depreciated Book Value'!C89</f>
        <v xml:space="preserve">Leased assets </v>
      </c>
      <c r="D23" s="74" t="str">
        <f>CONCATENATE("1/7/2019"," to ",TEXT(Yearending,"d/m/yyyy"))</f>
        <v>1/7/2019 to 30/6/2025</v>
      </c>
      <c r="E23" s="317" t="s">
        <v>481</v>
      </c>
      <c r="F23" s="134" t="s">
        <v>481</v>
      </c>
      <c r="G23" s="267"/>
    </row>
    <row r="24" spans="2:7" x14ac:dyDescent="0.2">
      <c r="B24" s="282"/>
      <c r="C24" s="73" t="s">
        <v>307</v>
      </c>
      <c r="D24" s="74"/>
      <c r="E24" s="133"/>
      <c r="F24" s="134"/>
      <c r="G24" s="267"/>
    </row>
    <row r="25" spans="2:7" x14ac:dyDescent="0.2">
      <c r="B25" s="282"/>
      <c r="C25" s="73" t="s">
        <v>307</v>
      </c>
      <c r="D25" s="74"/>
      <c r="E25" s="133"/>
      <c r="F25" s="134"/>
      <c r="G25" s="267"/>
    </row>
    <row r="26" spans="2:7" x14ac:dyDescent="0.2">
      <c r="B26" s="282"/>
      <c r="C26" s="73" t="s">
        <v>307</v>
      </c>
      <c r="D26" s="74"/>
      <c r="E26" s="133"/>
      <c r="F26" s="134"/>
    </row>
    <row r="27" spans="2:7" x14ac:dyDescent="0.2">
      <c r="B27" s="282"/>
      <c r="C27" s="73" t="s">
        <v>307</v>
      </c>
      <c r="D27" s="74"/>
      <c r="E27" s="133"/>
      <c r="F27" s="134"/>
    </row>
    <row r="28" spans="2:7" ht="25.5" x14ac:dyDescent="0.2">
      <c r="B28" s="328" t="s">
        <v>511</v>
      </c>
      <c r="C28" s="13" t="str">
        <f>'3.1 Depreciated Book Value'!C105</f>
        <v>Shared property, plant and equipment</v>
      </c>
      <c r="D28" s="74" t="str">
        <f>CONCATENATE("3/6/2015"," to ",TEXT(Yearending,"d/m/yyyy"))</f>
        <v>3/6/2015 to 30/6/2025</v>
      </c>
      <c r="E28" s="317">
        <v>3.4323791017076388</v>
      </c>
      <c r="F28" s="134" t="s">
        <v>521</v>
      </c>
    </row>
    <row r="29" spans="2:7" x14ac:dyDescent="0.2">
      <c r="B29" s="282"/>
      <c r="C29" s="73" t="s">
        <v>307</v>
      </c>
      <c r="D29" s="74"/>
      <c r="E29" s="133"/>
      <c r="F29" s="134"/>
    </row>
    <row r="30" spans="2:7" x14ac:dyDescent="0.2">
      <c r="B30" s="282"/>
      <c r="C30" s="73" t="s">
        <v>307</v>
      </c>
      <c r="D30" s="74"/>
      <c r="E30" s="133"/>
      <c r="F30" s="134"/>
    </row>
    <row r="31" spans="2:7" x14ac:dyDescent="0.2">
      <c r="B31" s="282"/>
      <c r="C31" s="73" t="s">
        <v>307</v>
      </c>
      <c r="D31" s="74"/>
      <c r="E31" s="133"/>
      <c r="F31" s="134"/>
    </row>
    <row r="32" spans="2:7" x14ac:dyDescent="0.2">
      <c r="B32" s="282"/>
      <c r="C32" s="73" t="s">
        <v>307</v>
      </c>
      <c r="D32" s="74"/>
      <c r="E32" s="133"/>
      <c r="F32" s="134"/>
      <c r="G32" s="267"/>
    </row>
    <row r="33" spans="2:7" x14ac:dyDescent="0.2">
      <c r="B33" s="282"/>
      <c r="C33" s="73" t="s">
        <v>307</v>
      </c>
      <c r="D33" s="74"/>
      <c r="E33" s="133"/>
      <c r="F33" s="134"/>
      <c r="G33" s="267"/>
    </row>
    <row r="34" spans="2:7" ht="25.5" x14ac:dyDescent="0.2">
      <c r="B34" s="328" t="s">
        <v>511</v>
      </c>
      <c r="C34" s="13" t="str">
        <f>'3.1 Depreciated Book Value'!C113</f>
        <v>Shared leased assets</v>
      </c>
      <c r="D34" s="74" t="str">
        <f>CONCATENATE("1/7/2019"," to ",TEXT(Yearending,"d/m/yyyy"))</f>
        <v>1/7/2019 to 30/6/2025</v>
      </c>
      <c r="E34" s="133" t="s">
        <v>503</v>
      </c>
      <c r="F34" s="134" t="s">
        <v>521</v>
      </c>
      <c r="G34" s="267"/>
    </row>
    <row r="35" spans="2:7" x14ac:dyDescent="0.2">
      <c r="B35" s="282"/>
      <c r="C35" s="73" t="s">
        <v>307</v>
      </c>
      <c r="D35" s="74"/>
      <c r="E35" s="133"/>
      <c r="F35" s="134"/>
      <c r="G35" s="267"/>
    </row>
    <row r="36" spans="2:7" x14ac:dyDescent="0.2">
      <c r="B36" s="282"/>
      <c r="C36" s="73" t="s">
        <v>307</v>
      </c>
      <c r="D36" s="74"/>
      <c r="E36" s="133"/>
      <c r="F36" s="134"/>
      <c r="G36" s="267"/>
    </row>
    <row r="37" spans="2:7" x14ac:dyDescent="0.2">
      <c r="B37" s="282"/>
      <c r="C37" s="73" t="s">
        <v>307</v>
      </c>
      <c r="D37" s="74"/>
      <c r="E37" s="133"/>
      <c r="F37" s="134"/>
      <c r="G37" s="267"/>
    </row>
    <row r="38" spans="2:7" x14ac:dyDescent="0.2">
      <c r="B38" s="282"/>
      <c r="C38" s="73" t="s">
        <v>307</v>
      </c>
      <c r="D38" s="74"/>
      <c r="E38" s="133"/>
      <c r="F38" s="134"/>
    </row>
    <row r="39" spans="2:7" x14ac:dyDescent="0.2">
      <c r="B39" s="282"/>
      <c r="C39" s="73" t="s">
        <v>307</v>
      </c>
      <c r="D39" s="74"/>
      <c r="E39" s="133"/>
      <c r="F39" s="134"/>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x14ac:dyDescent="0.3">
      <c r="B1" s="135" t="s">
        <v>53</v>
      </c>
      <c r="C1" s="135"/>
      <c r="D1" s="204"/>
      <c r="E1" s="204"/>
      <c r="F1" s="204"/>
      <c r="G1" s="204"/>
      <c r="H1" s="204"/>
      <c r="I1" s="204"/>
      <c r="J1" s="204"/>
    </row>
    <row r="2" spans="2:10" ht="20.25" x14ac:dyDescent="0.2">
      <c r="B2" s="135" t="str">
        <f>IF(Tradingname=0," ",Tradingname)</f>
        <v>APA WGP PTY LTD</v>
      </c>
      <c r="C2" s="135"/>
    </row>
    <row r="3" spans="2:10" ht="18" customHeight="1" x14ac:dyDescent="0.45">
      <c r="B3" s="135" t="s">
        <v>30</v>
      </c>
      <c r="C3" s="99">
        <f>IF(Yearending=0, "01/01/2000", Yearending)</f>
        <v>45838</v>
      </c>
      <c r="F3" s="237"/>
    </row>
    <row r="4" spans="2:10" ht="20.25" x14ac:dyDescent="0.2">
      <c r="B4" s="91" t="s">
        <v>308</v>
      </c>
      <c r="C4" s="91"/>
    </row>
    <row r="6" spans="2:10" ht="15.75" x14ac:dyDescent="0.25">
      <c r="B6" s="214"/>
    </row>
    <row r="7" spans="2:10" ht="15.75" x14ac:dyDescent="0.25">
      <c r="B7" s="214" t="s">
        <v>309</v>
      </c>
    </row>
    <row r="8" spans="2:10" x14ac:dyDescent="0.2">
      <c r="B8" s="215"/>
      <c r="C8" s="216"/>
      <c r="D8" s="216"/>
      <c r="E8" s="216"/>
      <c r="F8" s="216"/>
      <c r="G8" s="239"/>
      <c r="H8" s="240"/>
      <c r="I8" s="241"/>
      <c r="J8" s="241"/>
    </row>
    <row r="9" spans="2:10" ht="31.9" customHeight="1" x14ac:dyDescent="0.2">
      <c r="B9" s="30" t="s">
        <v>310</v>
      </c>
      <c r="C9" s="51" t="s">
        <v>311</v>
      </c>
      <c r="D9" s="30" t="s">
        <v>312</v>
      </c>
      <c r="E9" s="30" t="s">
        <v>313</v>
      </c>
      <c r="F9" s="30" t="s">
        <v>314</v>
      </c>
    </row>
    <row r="10" spans="2:10" ht="13.9" customHeight="1" x14ac:dyDescent="0.2">
      <c r="B10" s="67"/>
      <c r="C10" s="76"/>
      <c r="D10" s="68"/>
      <c r="E10" s="75"/>
      <c r="F10" s="69"/>
    </row>
    <row r="11" spans="2:10" ht="13.9" customHeight="1" x14ac:dyDescent="0.2">
      <c r="B11" s="67"/>
      <c r="C11" s="76"/>
      <c r="D11" s="68"/>
      <c r="E11" s="75"/>
      <c r="F11" s="69"/>
    </row>
    <row r="12" spans="2:10" ht="13.9" customHeight="1" x14ac:dyDescent="0.2">
      <c r="B12" s="67"/>
      <c r="C12" s="76"/>
      <c r="D12" s="68"/>
      <c r="E12" s="75"/>
      <c r="F12" s="69"/>
    </row>
    <row r="13" spans="2:10" ht="13.9" customHeight="1" x14ac:dyDescent="0.2">
      <c r="B13" s="67"/>
      <c r="C13" s="76"/>
      <c r="D13" s="68"/>
      <c r="E13" s="75"/>
      <c r="F13" s="69"/>
    </row>
    <row r="14" spans="2:10" ht="13.9" customHeight="1" x14ac:dyDescent="0.2">
      <c r="B14" s="67"/>
      <c r="C14" s="76"/>
      <c r="D14" s="68"/>
      <c r="E14" s="75"/>
      <c r="F14" s="69"/>
    </row>
    <row r="15" spans="2:10" ht="13.9" customHeight="1" x14ac:dyDescent="0.2">
      <c r="B15" s="67"/>
      <c r="C15" s="76"/>
      <c r="D15" s="68"/>
      <c r="E15" s="75"/>
      <c r="F15" s="69"/>
    </row>
    <row r="16" spans="2:10" ht="13.9" customHeight="1" x14ac:dyDescent="0.2">
      <c r="B16" s="67"/>
      <c r="C16" s="76"/>
      <c r="D16" s="68"/>
      <c r="E16" s="75"/>
      <c r="F16" s="69"/>
    </row>
    <row r="17" spans="2:9" ht="13.9" customHeight="1" x14ac:dyDescent="0.2">
      <c r="B17" s="67"/>
      <c r="C17" s="76"/>
      <c r="D17" s="68"/>
      <c r="E17" s="75"/>
      <c r="F17" s="69"/>
    </row>
    <row r="18" spans="2:9" ht="13.9" customHeight="1" x14ac:dyDescent="0.2">
      <c r="B18" s="67"/>
      <c r="C18" s="76"/>
      <c r="D18" s="68"/>
      <c r="E18" s="75"/>
      <c r="F18" s="69"/>
    </row>
    <row r="19" spans="2:9" ht="13.9" customHeight="1" x14ac:dyDescent="0.2">
      <c r="B19" s="67"/>
      <c r="C19" s="76"/>
      <c r="D19" s="68"/>
      <c r="E19" s="75"/>
      <c r="F19" s="69"/>
    </row>
    <row r="20" spans="2:9" ht="13.9" customHeight="1" x14ac:dyDescent="0.2">
      <c r="B20" s="67"/>
      <c r="C20" s="76"/>
      <c r="D20" s="68"/>
      <c r="E20" s="75"/>
      <c r="F20" s="69"/>
    </row>
    <row r="21" spans="2:9" ht="13.9" customHeight="1" x14ac:dyDescent="0.2">
      <c r="B21" s="67"/>
      <c r="C21" s="76"/>
      <c r="D21" s="68"/>
      <c r="E21" s="75"/>
      <c r="F21" s="69"/>
    </row>
    <row r="22" spans="2:9" ht="13.9" customHeight="1" x14ac:dyDescent="0.2">
      <c r="B22" s="67"/>
      <c r="C22" s="76"/>
      <c r="D22" s="68"/>
      <c r="E22" s="75"/>
      <c r="F22" s="69"/>
    </row>
    <row r="23" spans="2:9" ht="13.9" customHeight="1" x14ac:dyDescent="0.2">
      <c r="B23" s="67"/>
      <c r="C23" s="76"/>
      <c r="D23" s="68"/>
      <c r="E23" s="75"/>
      <c r="F23" s="69"/>
    </row>
    <row r="24" spans="2:9" ht="13.9" customHeight="1" x14ac:dyDescent="0.2">
      <c r="B24" s="67"/>
      <c r="C24" s="76"/>
      <c r="D24" s="68"/>
      <c r="E24" s="75"/>
      <c r="F24" s="69"/>
    </row>
    <row r="27" spans="2:9" ht="15.75" x14ac:dyDescent="0.25">
      <c r="B27" s="214" t="s">
        <v>315</v>
      </c>
    </row>
    <row r="28" spans="2:9" x14ac:dyDescent="0.2">
      <c r="B28" s="215"/>
      <c r="C28" s="216"/>
      <c r="D28" s="216"/>
      <c r="E28" s="216"/>
    </row>
    <row r="29" spans="2:9" ht="37.15" customHeight="1" x14ac:dyDescent="0.2">
      <c r="B29" s="30" t="s">
        <v>310</v>
      </c>
      <c r="C29" s="51" t="s">
        <v>311</v>
      </c>
      <c r="D29" s="30" t="s">
        <v>316</v>
      </c>
      <c r="E29" s="30" t="s">
        <v>313</v>
      </c>
      <c r="F29" s="30" t="s">
        <v>314</v>
      </c>
      <c r="G29" s="30" t="s">
        <v>317</v>
      </c>
      <c r="H29" s="30" t="s">
        <v>318</v>
      </c>
      <c r="I29" s="30" t="s">
        <v>319</v>
      </c>
    </row>
    <row r="30" spans="2:9" x14ac:dyDescent="0.2">
      <c r="B30" s="67"/>
      <c r="C30" s="76"/>
      <c r="D30" s="68"/>
      <c r="E30" s="75"/>
      <c r="F30" s="69"/>
      <c r="G30" s="68"/>
      <c r="H30" s="75"/>
      <c r="I30" s="69"/>
    </row>
    <row r="31" spans="2:9" x14ac:dyDescent="0.2">
      <c r="B31" s="67"/>
      <c r="C31" s="76"/>
      <c r="D31" s="68"/>
      <c r="E31" s="75"/>
      <c r="F31" s="69"/>
      <c r="G31" s="68"/>
      <c r="H31" s="75"/>
      <c r="I31" s="69"/>
    </row>
    <row r="32" spans="2:9" x14ac:dyDescent="0.2">
      <c r="B32" s="67"/>
      <c r="C32" s="76"/>
      <c r="D32" s="68"/>
      <c r="E32" s="75"/>
      <c r="F32" s="69"/>
      <c r="G32" s="68"/>
      <c r="H32" s="75"/>
      <c r="I32" s="69"/>
    </row>
    <row r="33" spans="2:9" x14ac:dyDescent="0.2">
      <c r="B33" s="67"/>
      <c r="C33" s="76"/>
      <c r="D33" s="68"/>
      <c r="E33" s="75"/>
      <c r="F33" s="69"/>
      <c r="G33" s="68"/>
      <c r="H33" s="75"/>
      <c r="I33" s="69"/>
    </row>
    <row r="34" spans="2:9" x14ac:dyDescent="0.2">
      <c r="B34" s="67"/>
      <c r="C34" s="76"/>
      <c r="D34" s="68"/>
      <c r="E34" s="75"/>
      <c r="F34" s="69"/>
      <c r="G34" s="68"/>
      <c r="H34" s="75"/>
      <c r="I34" s="69"/>
    </row>
    <row r="35" spans="2:9" x14ac:dyDescent="0.2">
      <c r="B35" s="67"/>
      <c r="C35" s="76"/>
      <c r="D35" s="68"/>
      <c r="E35" s="75"/>
      <c r="F35" s="69"/>
      <c r="G35" s="68"/>
      <c r="H35" s="75"/>
      <c r="I35" s="69"/>
    </row>
    <row r="36" spans="2:9" x14ac:dyDescent="0.2">
      <c r="B36" s="67"/>
      <c r="C36" s="76"/>
      <c r="D36" s="68"/>
      <c r="E36" s="75"/>
      <c r="F36" s="69"/>
      <c r="G36" s="68"/>
      <c r="H36" s="75"/>
      <c r="I36" s="69"/>
    </row>
    <row r="37" spans="2:9" x14ac:dyDescent="0.2">
      <c r="B37" s="67"/>
      <c r="C37" s="76"/>
      <c r="D37" s="68"/>
      <c r="E37" s="75"/>
      <c r="F37" s="69"/>
      <c r="G37" s="68"/>
      <c r="H37" s="75"/>
      <c r="I37" s="69"/>
    </row>
    <row r="38" spans="2:9" x14ac:dyDescent="0.2">
      <c r="B38" s="67"/>
      <c r="C38" s="76"/>
      <c r="D38" s="68"/>
      <c r="E38" s="75"/>
      <c r="F38" s="69"/>
      <c r="G38" s="68"/>
      <c r="H38" s="75"/>
      <c r="I38" s="69"/>
    </row>
    <row r="39" spans="2:9" x14ac:dyDescent="0.2">
      <c r="B39" s="67"/>
      <c r="C39" s="76"/>
      <c r="D39" s="68"/>
      <c r="E39" s="75"/>
      <c r="F39" s="69"/>
      <c r="G39" s="68"/>
      <c r="H39" s="75"/>
      <c r="I39" s="69"/>
    </row>
    <row r="40" spans="2:9" x14ac:dyDescent="0.2">
      <c r="B40" s="67"/>
      <c r="C40" s="76"/>
      <c r="D40" s="68"/>
      <c r="E40" s="75"/>
      <c r="F40" s="69"/>
      <c r="G40" s="68"/>
      <c r="H40" s="75"/>
      <c r="I40" s="69"/>
    </row>
    <row r="41" spans="2:9" x14ac:dyDescent="0.2">
      <c r="B41" s="67"/>
      <c r="C41" s="76"/>
      <c r="D41" s="68"/>
      <c r="E41" s="75"/>
      <c r="F41" s="69"/>
      <c r="G41" s="68"/>
      <c r="H41" s="75"/>
      <c r="I41" s="69"/>
    </row>
    <row r="42" spans="2:9" x14ac:dyDescent="0.2">
      <c r="B42" s="67"/>
      <c r="C42" s="76"/>
      <c r="D42" s="68"/>
      <c r="E42" s="75"/>
      <c r="F42" s="69"/>
      <c r="G42" s="68"/>
      <c r="H42" s="75"/>
      <c r="I42" s="69"/>
    </row>
    <row r="43" spans="2:9" x14ac:dyDescent="0.2">
      <c r="B43" s="67"/>
      <c r="C43" s="76"/>
      <c r="D43" s="68"/>
      <c r="E43" s="75"/>
      <c r="F43" s="69"/>
      <c r="G43" s="68"/>
      <c r="H43" s="75"/>
      <c r="I43" s="69"/>
    </row>
    <row r="44" spans="2:9" x14ac:dyDescent="0.2">
      <c r="B44" s="67"/>
      <c r="C44" s="76"/>
      <c r="D44" s="68"/>
      <c r="E44" s="75"/>
      <c r="F44" s="69"/>
      <c r="G44" s="68"/>
      <c r="H44" s="75"/>
      <c r="I44" s="69"/>
    </row>
    <row r="45" spans="2:9" x14ac:dyDescent="0.2">
      <c r="B45" s="67"/>
      <c r="C45" s="76"/>
      <c r="D45" s="68"/>
      <c r="E45" s="75"/>
      <c r="F45" s="69"/>
      <c r="G45" s="68"/>
      <c r="H45" s="75"/>
      <c r="I45" s="69"/>
    </row>
    <row r="46" spans="2:9" x14ac:dyDescent="0.2">
      <c r="B46" s="67"/>
      <c r="C46" s="76"/>
      <c r="D46" s="68"/>
      <c r="E46" s="75"/>
      <c r="F46" s="69"/>
      <c r="G46" s="68"/>
      <c r="H46" s="75"/>
      <c r="I46" s="69"/>
    </row>
    <row r="47" spans="2:9" x14ac:dyDescent="0.2">
      <c r="B47" s="67"/>
      <c r="C47" s="76"/>
      <c r="D47" s="68"/>
      <c r="E47" s="75"/>
      <c r="F47" s="69"/>
      <c r="G47" s="68"/>
      <c r="H47" s="75"/>
      <c r="I47" s="69"/>
    </row>
    <row r="48" spans="2:9" x14ac:dyDescent="0.2">
      <c r="B48" s="67"/>
      <c r="C48" s="76"/>
      <c r="D48" s="68"/>
      <c r="E48" s="75"/>
      <c r="F48" s="69"/>
      <c r="G48" s="68"/>
      <c r="H48" s="75"/>
      <c r="I48" s="69"/>
    </row>
    <row r="49" spans="2:9" x14ac:dyDescent="0.2">
      <c r="B49" s="67"/>
      <c r="C49" s="76"/>
      <c r="D49" s="68"/>
      <c r="E49" s="75"/>
      <c r="F49" s="69"/>
      <c r="G49" s="68"/>
      <c r="H49" s="75"/>
      <c r="I49" s="69"/>
    </row>
    <row r="50" spans="2:9" x14ac:dyDescent="0.2">
      <c r="B50" s="67"/>
      <c r="C50" s="76"/>
      <c r="D50" s="68"/>
      <c r="E50" s="75"/>
      <c r="F50" s="69"/>
      <c r="G50" s="68"/>
      <c r="H50" s="75"/>
      <c r="I50" s="69"/>
    </row>
    <row r="51" spans="2:9" x14ac:dyDescent="0.2">
      <c r="B51" s="67"/>
      <c r="C51" s="76"/>
      <c r="D51" s="68"/>
      <c r="E51" s="75"/>
      <c r="F51" s="69"/>
      <c r="G51" s="68"/>
      <c r="H51" s="75"/>
      <c r="I51" s="69"/>
    </row>
    <row r="52" spans="2:9" x14ac:dyDescent="0.2">
      <c r="B52" s="67"/>
      <c r="C52" s="76"/>
      <c r="D52" s="68"/>
      <c r="E52" s="75"/>
      <c r="F52" s="69"/>
      <c r="G52" s="68"/>
      <c r="H52" s="75"/>
      <c r="I52" s="69"/>
    </row>
    <row r="53" spans="2:9" x14ac:dyDescent="0.2">
      <c r="B53" s="67"/>
      <c r="C53" s="76"/>
      <c r="D53" s="68"/>
      <c r="E53" s="75"/>
      <c r="F53" s="69"/>
      <c r="G53" s="68"/>
      <c r="H53" s="75"/>
      <c r="I53" s="69"/>
    </row>
    <row r="54" spans="2:9" x14ac:dyDescent="0.2">
      <c r="B54" s="67"/>
      <c r="C54" s="76"/>
      <c r="D54" s="68"/>
      <c r="E54" s="75"/>
      <c r="F54" s="69"/>
      <c r="G54" s="68"/>
      <c r="H54" s="75"/>
      <c r="I54" s="69"/>
    </row>
    <row r="55" spans="2:9" x14ac:dyDescent="0.2">
      <c r="B55" s="67"/>
      <c r="C55" s="76"/>
      <c r="D55" s="68"/>
      <c r="E55" s="75"/>
      <c r="F55" s="69"/>
      <c r="G55" s="68"/>
      <c r="H55" s="75"/>
      <c r="I55" s="69"/>
    </row>
    <row r="56" spans="2:9" x14ac:dyDescent="0.2">
      <c r="B56" s="67"/>
      <c r="C56" s="76"/>
      <c r="D56" s="68"/>
      <c r="E56" s="75"/>
      <c r="F56" s="69"/>
      <c r="G56" s="68"/>
      <c r="H56" s="75"/>
      <c r="I56" s="69"/>
    </row>
  </sheetData>
  <sheetProtection sheet="1" insertRows="0"/>
  <dataValidations disablePrompts="1" count="2">
    <dataValidation type="list" allowBlank="1" showInputMessage="1" showErrorMessage="1" sqref="C11:C24 C31:C56" xr:uid="{1F71852C-FA0D-4537-BE5B-E917B55AF536}">
      <formula1>rAllAssets</formula1>
    </dataValidation>
    <dataValidation type="list" allowBlank="1" showInputMessage="1" showErrorMessage="1" sqref="C10 C30" xr:uid="{CC151AE7-D97F-42AB-A579-101CA8D20A27}"/>
  </dataValidations>
  <pageMargins left="0.25" right="0.25" top="0.75" bottom="0.75" header="0.3" footer="0.3"/>
  <pageSetup paperSize="9" scale="59" orientation="landscape" r:id="rId1"/>
  <headerFooter alignWithMargins="0">
    <oddFooter>&amp;C_x000D_&amp;1#&amp;"Calibri"&amp;10&amp;K008000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91" zoomScaleNormal="91"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32.42578125" customWidth="1"/>
    <col min="3" max="3" width="40.7109375" customWidth="1"/>
    <col min="4" max="4" width="44.28515625" bestFit="1" customWidth="1"/>
    <col min="5" max="5" width="36.71093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35" t="s">
        <v>53</v>
      </c>
      <c r="C1" s="135"/>
    </row>
    <row r="2" spans="2:17" ht="20.25" x14ac:dyDescent="0.2">
      <c r="B2" s="135" t="str">
        <f>IF(Tradingname=0," ",Tradingname)</f>
        <v>APA WGP PTY LTD</v>
      </c>
      <c r="C2" s="135"/>
    </row>
    <row r="3" spans="2:17" ht="20.25" customHeight="1" x14ac:dyDescent="0.3">
      <c r="B3" s="135" t="s">
        <v>30</v>
      </c>
      <c r="C3" s="99">
        <f>IF(Yearending=0, "01/01/2000", Yearending)</f>
        <v>45838</v>
      </c>
    </row>
    <row r="4" spans="2:17" ht="20.25" x14ac:dyDescent="0.2">
      <c r="B4" s="91" t="s">
        <v>320</v>
      </c>
      <c r="C4" s="91"/>
    </row>
    <row r="5" spans="2:17" ht="12.75" customHeight="1" x14ac:dyDescent="0.2"/>
    <row r="6" spans="2:17" x14ac:dyDescent="0.2">
      <c r="B6" s="420" t="s">
        <v>321</v>
      </c>
      <c r="C6" s="420"/>
      <c r="D6" s="420"/>
      <c r="E6" s="420"/>
    </row>
    <row r="7" spans="2:17" ht="15.75" customHeight="1" x14ac:dyDescent="0.2">
      <c r="B7" s="420"/>
      <c r="C7" s="420"/>
      <c r="D7" s="420"/>
      <c r="E7" s="420"/>
      <c r="G7" s="160"/>
    </row>
    <row r="8" spans="2:17" ht="15.75" customHeight="1" x14ac:dyDescent="0.2">
      <c r="B8" s="420"/>
      <c r="C8" s="420"/>
      <c r="D8" s="420"/>
      <c r="E8" s="420"/>
      <c r="G8" s="160"/>
    </row>
    <row r="9" spans="2:17" x14ac:dyDescent="0.2">
      <c r="G9" s="160"/>
    </row>
    <row r="11" spans="2:17" ht="15.75" x14ac:dyDescent="0.25">
      <c r="B11" s="197" t="s">
        <v>322</v>
      </c>
    </row>
    <row r="13" spans="2:17" ht="45" customHeight="1" x14ac:dyDescent="0.2">
      <c r="B13" s="50" t="s">
        <v>113</v>
      </c>
      <c r="C13" s="51" t="s">
        <v>114</v>
      </c>
      <c r="D13" s="51" t="s">
        <v>311</v>
      </c>
      <c r="E13" s="51" t="s">
        <v>323</v>
      </c>
      <c r="F13" s="51" t="s">
        <v>324</v>
      </c>
      <c r="G13" s="51" t="s">
        <v>325</v>
      </c>
      <c r="H13" s="52" t="s">
        <v>204</v>
      </c>
      <c r="I13" s="52" t="s">
        <v>326</v>
      </c>
      <c r="J13" s="52" t="s">
        <v>327</v>
      </c>
      <c r="K13" s="52" t="s">
        <v>328</v>
      </c>
      <c r="L13" s="51" t="s">
        <v>329</v>
      </c>
      <c r="M13" s="51" t="s">
        <v>330</v>
      </c>
      <c r="N13" s="51" t="s">
        <v>331</v>
      </c>
      <c r="O13" s="51" t="s">
        <v>332</v>
      </c>
      <c r="P13" s="51" t="s">
        <v>333</v>
      </c>
      <c r="Q13" s="30" t="s">
        <v>334</v>
      </c>
    </row>
    <row r="14" spans="2:17" x14ac:dyDescent="0.2">
      <c r="B14" s="286"/>
      <c r="C14" s="53"/>
      <c r="D14" s="53"/>
      <c r="E14" s="53"/>
      <c r="F14" s="53" t="s">
        <v>335</v>
      </c>
      <c r="G14" s="53" t="s">
        <v>116</v>
      </c>
      <c r="H14" s="54" t="s">
        <v>116</v>
      </c>
      <c r="I14" s="54" t="s">
        <v>116</v>
      </c>
      <c r="J14" s="54" t="s">
        <v>116</v>
      </c>
      <c r="K14" s="54" t="s">
        <v>116</v>
      </c>
      <c r="L14" s="53" t="s">
        <v>116</v>
      </c>
      <c r="M14" s="53"/>
      <c r="N14" s="53" t="s">
        <v>116</v>
      </c>
      <c r="O14" s="53" t="s">
        <v>116</v>
      </c>
      <c r="P14" s="53" t="s">
        <v>116</v>
      </c>
      <c r="Q14" s="53" t="s">
        <v>116</v>
      </c>
    </row>
    <row r="15" spans="2:17" x14ac:dyDescent="0.2">
      <c r="B15" s="331" t="s">
        <v>512</v>
      </c>
      <c r="C15" s="76"/>
      <c r="D15" s="269" t="s">
        <v>203</v>
      </c>
      <c r="E15" s="311" t="str">
        <f>'3.3 Asset useful life'!D11</f>
        <v>3/6/2015 to 30/6/2025</v>
      </c>
      <c r="F15" s="312">
        <f>'3.3 Asset useful life'!E11</f>
        <v>19.887593698151981</v>
      </c>
      <c r="G15" s="79"/>
      <c r="H15" s="79">
        <v>2426927232.1699972</v>
      </c>
      <c r="I15" s="79">
        <v>5678001.8000000007</v>
      </c>
      <c r="J15" s="79">
        <v>0</v>
      </c>
      <c r="K15" s="79">
        <v>0</v>
      </c>
      <c r="L15" s="14">
        <f>SUM(H15:K15)</f>
        <v>2432605233.9699974</v>
      </c>
      <c r="M15" s="72">
        <v>1</v>
      </c>
      <c r="N15" s="90">
        <f>L15*M15</f>
        <v>2432605233.9699974</v>
      </c>
      <c r="O15" s="79">
        <v>-1101073272.0799994</v>
      </c>
      <c r="P15" s="79">
        <v>-122564060.86000006</v>
      </c>
      <c r="Q15" s="10">
        <f>SUM(N15:P15)</f>
        <v>1208967901.0299978</v>
      </c>
    </row>
    <row r="16" spans="2:17" x14ac:dyDescent="0.2">
      <c r="B16" s="331" t="s">
        <v>512</v>
      </c>
      <c r="C16" s="76"/>
      <c r="D16" s="269" t="s">
        <v>212</v>
      </c>
      <c r="E16" s="311" t="str">
        <f>'3.3 Asset useful life'!D12</f>
        <v>N/A</v>
      </c>
      <c r="F16" s="312" t="str">
        <f>'3.3 Asset useful life'!E12</f>
        <v>N/A</v>
      </c>
      <c r="G16" s="79"/>
      <c r="H16" s="79">
        <v>0</v>
      </c>
      <c r="I16" s="79">
        <v>0</v>
      </c>
      <c r="J16" s="79">
        <v>0</v>
      </c>
      <c r="K16" s="79">
        <v>0</v>
      </c>
      <c r="L16" s="14">
        <f>SUM(H16:K16)</f>
        <v>0</v>
      </c>
      <c r="M16" s="72">
        <v>1</v>
      </c>
      <c r="N16" s="90">
        <f t="shared" ref="N16:N58" si="0">L16*M16</f>
        <v>0</v>
      </c>
      <c r="O16" s="79">
        <v>0</v>
      </c>
      <c r="P16" s="79">
        <v>0</v>
      </c>
      <c r="Q16" s="10">
        <f t="shared" ref="Q16:Q58" si="1">SUM(N16:P16)</f>
        <v>0</v>
      </c>
    </row>
    <row r="17" spans="2:17" x14ac:dyDescent="0.2">
      <c r="B17" s="331" t="s">
        <v>512</v>
      </c>
      <c r="C17" s="76"/>
      <c r="D17" s="269" t="s">
        <v>214</v>
      </c>
      <c r="E17" s="311" t="str">
        <f>'3.3 Asset useful life'!D13</f>
        <v>3/6/2015 to 30/6/2025</v>
      </c>
      <c r="F17" s="312">
        <f>'3.3 Asset useful life'!E13</f>
        <v>14.957485457965118</v>
      </c>
      <c r="G17" s="79"/>
      <c r="H17" s="79">
        <v>71491906.639999971</v>
      </c>
      <c r="I17" s="79">
        <v>0</v>
      </c>
      <c r="J17" s="79">
        <v>0</v>
      </c>
      <c r="K17" s="79">
        <v>0</v>
      </c>
      <c r="L17" s="14">
        <f t="shared" ref="L17:L58" si="2">SUM(H17:K17)</f>
        <v>71491906.639999971</v>
      </c>
      <c r="M17" s="72">
        <v>1</v>
      </c>
      <c r="N17" s="90">
        <f t="shared" si="0"/>
        <v>71491906.639999971</v>
      </c>
      <c r="O17" s="79">
        <v>-46358743.74000001</v>
      </c>
      <c r="P17" s="79">
        <v>-5118526.120000002</v>
      </c>
      <c r="Q17" s="10">
        <f t="shared" si="1"/>
        <v>20014636.77999996</v>
      </c>
    </row>
    <row r="18" spans="2:17" x14ac:dyDescent="0.2">
      <c r="B18" s="331" t="s">
        <v>512</v>
      </c>
      <c r="C18" s="76"/>
      <c r="D18" s="269" t="s">
        <v>216</v>
      </c>
      <c r="E18" s="311" t="str">
        <f>'3.3 Asset useful life'!D14</f>
        <v>3/6/2015 to 30/6/2025</v>
      </c>
      <c r="F18" s="312">
        <f>'3.3 Asset useful life'!E14</f>
        <v>20</v>
      </c>
      <c r="G18" s="79"/>
      <c r="H18" s="79">
        <v>4000000.0000000005</v>
      </c>
      <c r="I18" s="79">
        <v>0</v>
      </c>
      <c r="J18" s="79">
        <v>0</v>
      </c>
      <c r="K18" s="79">
        <v>0</v>
      </c>
      <c r="L18" s="14">
        <f t="shared" si="2"/>
        <v>4000000.0000000005</v>
      </c>
      <c r="M18" s="72">
        <v>1</v>
      </c>
      <c r="N18" s="90">
        <f t="shared" si="0"/>
        <v>4000000.0000000005</v>
      </c>
      <c r="O18" s="79">
        <v>-1819148.32</v>
      </c>
      <c r="P18" s="79">
        <v>-199772.65999999997</v>
      </c>
      <c r="Q18" s="10">
        <f t="shared" si="1"/>
        <v>1981079.0200000007</v>
      </c>
    </row>
    <row r="19" spans="2:17" x14ac:dyDescent="0.2">
      <c r="B19" s="331" t="s">
        <v>512</v>
      </c>
      <c r="C19" s="76"/>
      <c r="D19" s="269" t="s">
        <v>219</v>
      </c>
      <c r="E19" s="311" t="str">
        <f>'3.3 Asset useful life'!D15</f>
        <v>N/A</v>
      </c>
      <c r="F19" s="312" t="str">
        <f>'3.3 Asset useful life'!E15</f>
        <v>N/A</v>
      </c>
      <c r="G19" s="79"/>
      <c r="H19" s="79">
        <v>0</v>
      </c>
      <c r="I19" s="79">
        <v>0</v>
      </c>
      <c r="J19" s="79">
        <v>0</v>
      </c>
      <c r="K19" s="79">
        <v>0</v>
      </c>
      <c r="L19" s="14">
        <f t="shared" si="2"/>
        <v>0</v>
      </c>
      <c r="M19" s="72">
        <v>1</v>
      </c>
      <c r="N19" s="90">
        <f t="shared" si="0"/>
        <v>0</v>
      </c>
      <c r="O19" s="79">
        <v>0</v>
      </c>
      <c r="P19" s="79">
        <v>0</v>
      </c>
      <c r="Q19" s="10">
        <f t="shared" si="1"/>
        <v>0</v>
      </c>
    </row>
    <row r="20" spans="2:17" x14ac:dyDescent="0.2">
      <c r="B20" s="331" t="s">
        <v>512</v>
      </c>
      <c r="C20" s="76"/>
      <c r="D20" s="269" t="s">
        <v>221</v>
      </c>
      <c r="E20" s="311" t="str">
        <f>'3.3 Asset useful life'!D16</f>
        <v>3/6/2015 to 30/6/2025</v>
      </c>
      <c r="F20" s="312">
        <f>'3.3 Asset useful life'!E16</f>
        <v>10.000000213104679</v>
      </c>
      <c r="G20" s="79"/>
      <c r="H20" s="79">
        <v>469252.94</v>
      </c>
      <c r="I20" s="79">
        <v>0</v>
      </c>
      <c r="J20" s="79">
        <v>0</v>
      </c>
      <c r="K20" s="79">
        <v>0</v>
      </c>
      <c r="L20" s="14">
        <f t="shared" si="2"/>
        <v>469252.94</v>
      </c>
      <c r="M20" s="72">
        <v>1</v>
      </c>
      <c r="N20" s="90">
        <f t="shared" si="0"/>
        <v>469252.94</v>
      </c>
      <c r="O20" s="79">
        <v>-307375.84999999998</v>
      </c>
      <c r="P20" s="79">
        <v>-45870.13</v>
      </c>
      <c r="Q20" s="10">
        <f t="shared" si="1"/>
        <v>116006.96000000002</v>
      </c>
    </row>
    <row r="21" spans="2:17" x14ac:dyDescent="0.2">
      <c r="B21" s="331" t="s">
        <v>512</v>
      </c>
      <c r="C21" s="76"/>
      <c r="D21" s="269" t="s">
        <v>223</v>
      </c>
      <c r="E21" s="311" t="str">
        <f>'3.3 Asset useful life'!D17</f>
        <v>3/6/2015 to 30/6/2025</v>
      </c>
      <c r="F21" s="312">
        <f>'3.3 Asset useful life'!E17</f>
        <v>20</v>
      </c>
      <c r="G21" s="79"/>
      <c r="H21" s="79">
        <v>70300000</v>
      </c>
      <c r="I21" s="79">
        <v>0</v>
      </c>
      <c r="J21" s="79">
        <v>0</v>
      </c>
      <c r="K21" s="79">
        <v>0</v>
      </c>
      <c r="L21" s="14">
        <f t="shared" si="2"/>
        <v>70300000</v>
      </c>
      <c r="M21" s="72">
        <v>1</v>
      </c>
      <c r="N21" s="90">
        <f t="shared" si="0"/>
        <v>70300000</v>
      </c>
      <c r="O21" s="79">
        <v>-31971533.749999996</v>
      </c>
      <c r="P21" s="79">
        <v>-3511004.5799999991</v>
      </c>
      <c r="Q21" s="10">
        <f t="shared" si="1"/>
        <v>34817461.670000002</v>
      </c>
    </row>
    <row r="22" spans="2:17" x14ac:dyDescent="0.2">
      <c r="B22" s="331" t="s">
        <v>512</v>
      </c>
      <c r="C22" s="76"/>
      <c r="D22" s="269" t="s">
        <v>225</v>
      </c>
      <c r="E22" s="311" t="str">
        <f>'3.3 Asset useful life'!D19</f>
        <v>3/6/2015 to 30/6/2025</v>
      </c>
      <c r="F22" s="313" t="s">
        <v>495</v>
      </c>
      <c r="G22" s="79"/>
      <c r="H22" s="79">
        <v>1496841.25</v>
      </c>
      <c r="I22" s="79">
        <v>0</v>
      </c>
      <c r="J22" s="79">
        <v>0</v>
      </c>
      <c r="K22" s="79">
        <v>0</v>
      </c>
      <c r="L22" s="14">
        <f t="shared" si="2"/>
        <v>1496841.25</v>
      </c>
      <c r="M22" s="72">
        <v>1</v>
      </c>
      <c r="N22" s="90">
        <f t="shared" si="0"/>
        <v>1496841.25</v>
      </c>
      <c r="O22" s="79">
        <v>0</v>
      </c>
      <c r="P22" s="79">
        <v>0</v>
      </c>
      <c r="Q22" s="10">
        <f t="shared" si="1"/>
        <v>1496841.25</v>
      </c>
    </row>
    <row r="23" spans="2:17" x14ac:dyDescent="0.2">
      <c r="B23" s="331" t="s">
        <v>512</v>
      </c>
      <c r="C23" s="76"/>
      <c r="D23" s="269" t="s">
        <v>227</v>
      </c>
      <c r="E23" s="311" t="str">
        <f>'3.3 Asset useful life'!D18</f>
        <v>3/6/2015 to 30/6/2025</v>
      </c>
      <c r="F23" s="312">
        <f>'3.3 Asset useful life'!E18</f>
        <v>14.678587937324108</v>
      </c>
      <c r="G23" s="79"/>
      <c r="H23" s="79">
        <v>15503466.49</v>
      </c>
      <c r="I23" s="79">
        <v>36731.53</v>
      </c>
      <c r="J23" s="79">
        <v>0</v>
      </c>
      <c r="K23" s="79">
        <v>0</v>
      </c>
      <c r="L23" s="14">
        <f t="shared" si="2"/>
        <v>15540198.02</v>
      </c>
      <c r="M23" s="72">
        <v>1</v>
      </c>
      <c r="N23" s="90">
        <f t="shared" si="0"/>
        <v>15540198.02</v>
      </c>
      <c r="O23" s="79">
        <v>-9797938.6100000013</v>
      </c>
      <c r="P23" s="79">
        <v>-1118180.1499999999</v>
      </c>
      <c r="Q23" s="10">
        <f t="shared" si="1"/>
        <v>4624079.2599999979</v>
      </c>
    </row>
    <row r="24" spans="2:17" x14ac:dyDescent="0.2">
      <c r="B24" s="331" t="s">
        <v>512</v>
      </c>
      <c r="C24" s="76"/>
      <c r="D24" s="269" t="s">
        <v>229</v>
      </c>
      <c r="E24" s="311" t="str">
        <f>'3.3 Asset useful life'!D23</f>
        <v>1/7/2019 to 30/6/2025</v>
      </c>
      <c r="F24" s="313" t="str">
        <f>'3.3 Asset useful life'!E23</f>
        <v>N/A</v>
      </c>
      <c r="G24" s="79"/>
      <c r="H24" s="79">
        <v>0</v>
      </c>
      <c r="I24" s="79">
        <v>0</v>
      </c>
      <c r="J24" s="79">
        <v>0</v>
      </c>
      <c r="K24" s="79">
        <v>0</v>
      </c>
      <c r="L24" s="14">
        <f t="shared" si="2"/>
        <v>0</v>
      </c>
      <c r="M24" s="72">
        <v>1</v>
      </c>
      <c r="N24" s="90">
        <f t="shared" si="0"/>
        <v>0</v>
      </c>
      <c r="O24" s="79">
        <v>0</v>
      </c>
      <c r="P24" s="79">
        <v>0</v>
      </c>
      <c r="Q24" s="10">
        <f t="shared" si="1"/>
        <v>0</v>
      </c>
    </row>
    <row r="25" spans="2:17" x14ac:dyDescent="0.2">
      <c r="B25" s="287"/>
      <c r="C25" s="76"/>
      <c r="D25" s="269"/>
      <c r="E25" s="77"/>
      <c r="F25" s="78"/>
      <c r="G25" s="79"/>
      <c r="H25" s="79"/>
      <c r="I25" s="79"/>
      <c r="J25" s="79"/>
      <c r="K25" s="79"/>
      <c r="L25" s="14">
        <f t="shared" si="2"/>
        <v>0</v>
      </c>
      <c r="M25" s="72">
        <v>1</v>
      </c>
      <c r="N25" s="90">
        <f t="shared" si="0"/>
        <v>0</v>
      </c>
      <c r="O25" s="79"/>
      <c r="P25" s="79"/>
      <c r="Q25" s="10">
        <f t="shared" si="1"/>
        <v>0</v>
      </c>
    </row>
    <row r="26" spans="2:17" x14ac:dyDescent="0.2">
      <c r="B26" s="287"/>
      <c r="C26" s="76"/>
      <c r="D26" s="269"/>
      <c r="E26" s="77"/>
      <c r="F26" s="78"/>
      <c r="G26" s="79"/>
      <c r="H26" s="79"/>
      <c r="I26" s="79"/>
      <c r="J26" s="79"/>
      <c r="K26" s="79"/>
      <c r="L26" s="14">
        <f t="shared" si="2"/>
        <v>0</v>
      </c>
      <c r="M26" s="72">
        <v>1</v>
      </c>
      <c r="N26" s="90">
        <f t="shared" si="0"/>
        <v>0</v>
      </c>
      <c r="O26" s="79"/>
      <c r="P26" s="79"/>
      <c r="Q26" s="10">
        <f t="shared" si="1"/>
        <v>0</v>
      </c>
    </row>
    <row r="27" spans="2:17" x14ac:dyDescent="0.2">
      <c r="B27" s="287"/>
      <c r="C27" s="76"/>
      <c r="D27" s="269"/>
      <c r="E27" s="77"/>
      <c r="F27" s="78"/>
      <c r="G27" s="79"/>
      <c r="H27" s="79"/>
      <c r="I27" s="79"/>
      <c r="J27" s="79"/>
      <c r="K27" s="79"/>
      <c r="L27" s="14">
        <f t="shared" si="2"/>
        <v>0</v>
      </c>
      <c r="M27" s="72">
        <v>1</v>
      </c>
      <c r="N27" s="90">
        <f t="shared" si="0"/>
        <v>0</v>
      </c>
      <c r="O27" s="79"/>
      <c r="P27" s="79"/>
      <c r="Q27" s="10">
        <f t="shared" si="1"/>
        <v>0</v>
      </c>
    </row>
    <row r="28" spans="2:17" x14ac:dyDescent="0.2">
      <c r="B28" s="287"/>
      <c r="C28" s="76"/>
      <c r="D28" s="269"/>
      <c r="E28" s="77"/>
      <c r="F28" s="78"/>
      <c r="G28" s="79"/>
      <c r="H28" s="79"/>
      <c r="I28" s="79"/>
      <c r="J28" s="79"/>
      <c r="K28" s="79"/>
      <c r="L28" s="14">
        <f t="shared" si="2"/>
        <v>0</v>
      </c>
      <c r="M28" s="72">
        <v>1</v>
      </c>
      <c r="N28" s="90">
        <f t="shared" si="0"/>
        <v>0</v>
      </c>
      <c r="O28" s="79"/>
      <c r="P28" s="79"/>
      <c r="Q28" s="10">
        <f t="shared" si="1"/>
        <v>0</v>
      </c>
    </row>
    <row r="29" spans="2:17" x14ac:dyDescent="0.2">
      <c r="B29" s="287"/>
      <c r="C29" s="76"/>
      <c r="D29" s="269"/>
      <c r="E29" s="77"/>
      <c r="F29" s="78"/>
      <c r="G29" s="79"/>
      <c r="H29" s="79"/>
      <c r="I29" s="79"/>
      <c r="J29" s="79"/>
      <c r="K29" s="79"/>
      <c r="L29" s="14">
        <f t="shared" si="2"/>
        <v>0</v>
      </c>
      <c r="M29" s="72">
        <v>1</v>
      </c>
      <c r="N29" s="90">
        <f t="shared" si="0"/>
        <v>0</v>
      </c>
      <c r="O29" s="79"/>
      <c r="P29" s="79"/>
      <c r="Q29" s="10">
        <f t="shared" si="1"/>
        <v>0</v>
      </c>
    </row>
    <row r="30" spans="2:17" x14ac:dyDescent="0.2">
      <c r="B30" s="287"/>
      <c r="C30" s="76"/>
      <c r="D30" s="269"/>
      <c r="E30" s="77"/>
      <c r="F30" s="78"/>
      <c r="G30" s="79"/>
      <c r="H30" s="79"/>
      <c r="I30" s="79"/>
      <c r="J30" s="79"/>
      <c r="K30" s="79"/>
      <c r="L30" s="14">
        <f t="shared" si="2"/>
        <v>0</v>
      </c>
      <c r="M30" s="72">
        <v>1</v>
      </c>
      <c r="N30" s="90">
        <f t="shared" si="0"/>
        <v>0</v>
      </c>
      <c r="O30" s="79"/>
      <c r="P30" s="79"/>
      <c r="Q30" s="10">
        <f t="shared" si="1"/>
        <v>0</v>
      </c>
    </row>
    <row r="31" spans="2:17" x14ac:dyDescent="0.2">
      <c r="B31" s="287"/>
      <c r="C31" s="76"/>
      <c r="D31" s="269"/>
      <c r="E31" s="77"/>
      <c r="F31" s="78"/>
      <c r="G31" s="79"/>
      <c r="H31" s="79"/>
      <c r="I31" s="79"/>
      <c r="J31" s="79"/>
      <c r="K31" s="79"/>
      <c r="L31" s="14">
        <f t="shared" si="2"/>
        <v>0</v>
      </c>
      <c r="M31" s="72">
        <v>1</v>
      </c>
      <c r="N31" s="90">
        <f t="shared" si="0"/>
        <v>0</v>
      </c>
      <c r="O31" s="79"/>
      <c r="P31" s="79"/>
      <c r="Q31" s="10">
        <f t="shared" si="1"/>
        <v>0</v>
      </c>
    </row>
    <row r="32" spans="2:17" x14ac:dyDescent="0.2">
      <c r="B32" s="287"/>
      <c r="C32" s="76"/>
      <c r="D32" s="269"/>
      <c r="E32" s="77"/>
      <c r="F32" s="78"/>
      <c r="G32" s="79"/>
      <c r="H32" s="79"/>
      <c r="I32" s="79"/>
      <c r="J32" s="79"/>
      <c r="K32" s="79"/>
      <c r="L32" s="14">
        <f t="shared" si="2"/>
        <v>0</v>
      </c>
      <c r="M32" s="72">
        <v>1</v>
      </c>
      <c r="N32" s="90">
        <f t="shared" si="0"/>
        <v>0</v>
      </c>
      <c r="O32" s="79"/>
      <c r="P32" s="79"/>
      <c r="Q32" s="10">
        <f t="shared" si="1"/>
        <v>0</v>
      </c>
    </row>
    <row r="33" spans="2:17" x14ac:dyDescent="0.2">
      <c r="B33" s="287"/>
      <c r="C33" s="76"/>
      <c r="D33" s="269"/>
      <c r="E33" s="77"/>
      <c r="F33" s="78"/>
      <c r="G33" s="79"/>
      <c r="H33" s="79"/>
      <c r="I33" s="79"/>
      <c r="J33" s="79"/>
      <c r="K33" s="79"/>
      <c r="L33" s="14">
        <f t="shared" si="2"/>
        <v>0</v>
      </c>
      <c r="M33" s="72">
        <v>1</v>
      </c>
      <c r="N33" s="90">
        <f t="shared" si="0"/>
        <v>0</v>
      </c>
      <c r="O33" s="79"/>
      <c r="P33" s="79"/>
      <c r="Q33" s="10">
        <f t="shared" si="1"/>
        <v>0</v>
      </c>
    </row>
    <row r="34" spans="2:17" x14ac:dyDescent="0.2">
      <c r="B34" s="287"/>
      <c r="C34" s="76"/>
      <c r="D34" s="269"/>
      <c r="E34" s="77"/>
      <c r="F34" s="78"/>
      <c r="G34" s="79"/>
      <c r="H34" s="79"/>
      <c r="I34" s="79"/>
      <c r="J34" s="79"/>
      <c r="K34" s="79"/>
      <c r="L34" s="14">
        <f t="shared" si="2"/>
        <v>0</v>
      </c>
      <c r="M34" s="72">
        <v>1</v>
      </c>
      <c r="N34" s="90">
        <f t="shared" si="0"/>
        <v>0</v>
      </c>
      <c r="O34" s="79"/>
      <c r="P34" s="79"/>
      <c r="Q34" s="10">
        <f t="shared" si="1"/>
        <v>0</v>
      </c>
    </row>
    <row r="35" spans="2:17" x14ac:dyDescent="0.2">
      <c r="B35" s="287"/>
      <c r="C35" s="76"/>
      <c r="D35" s="269"/>
      <c r="E35" s="77"/>
      <c r="F35" s="78"/>
      <c r="G35" s="79"/>
      <c r="H35" s="79"/>
      <c r="I35" s="79"/>
      <c r="J35" s="79"/>
      <c r="K35" s="79"/>
      <c r="L35" s="14">
        <f t="shared" si="2"/>
        <v>0</v>
      </c>
      <c r="M35" s="72">
        <v>1</v>
      </c>
      <c r="N35" s="90">
        <f t="shared" si="0"/>
        <v>0</v>
      </c>
      <c r="O35" s="79"/>
      <c r="P35" s="79"/>
      <c r="Q35" s="10">
        <f t="shared" si="1"/>
        <v>0</v>
      </c>
    </row>
    <row r="36" spans="2:17" x14ac:dyDescent="0.2">
      <c r="B36" s="287"/>
      <c r="C36" s="76"/>
      <c r="D36" s="269"/>
      <c r="E36" s="77"/>
      <c r="F36" s="78"/>
      <c r="G36" s="79"/>
      <c r="H36" s="79"/>
      <c r="I36" s="79"/>
      <c r="J36" s="79"/>
      <c r="K36" s="79"/>
      <c r="L36" s="14">
        <f t="shared" si="2"/>
        <v>0</v>
      </c>
      <c r="M36" s="72">
        <v>1</v>
      </c>
      <c r="N36" s="90">
        <f t="shared" si="0"/>
        <v>0</v>
      </c>
      <c r="O36" s="79"/>
      <c r="P36" s="79"/>
      <c r="Q36" s="10">
        <f t="shared" si="1"/>
        <v>0</v>
      </c>
    </row>
    <row r="37" spans="2:17" x14ac:dyDescent="0.2">
      <c r="B37" s="287"/>
      <c r="C37" s="76"/>
      <c r="D37" s="269"/>
      <c r="E37" s="77"/>
      <c r="F37" s="78"/>
      <c r="G37" s="79"/>
      <c r="H37" s="79"/>
      <c r="I37" s="79"/>
      <c r="J37" s="79"/>
      <c r="K37" s="79"/>
      <c r="L37" s="14">
        <f t="shared" si="2"/>
        <v>0</v>
      </c>
      <c r="M37" s="72">
        <v>1</v>
      </c>
      <c r="N37" s="90">
        <f t="shared" si="0"/>
        <v>0</v>
      </c>
      <c r="O37" s="79"/>
      <c r="P37" s="79"/>
      <c r="Q37" s="10">
        <f t="shared" si="1"/>
        <v>0</v>
      </c>
    </row>
    <row r="38" spans="2:17" x14ac:dyDescent="0.2">
      <c r="B38" s="287"/>
      <c r="C38" s="76"/>
      <c r="D38" s="269"/>
      <c r="E38" s="77"/>
      <c r="F38" s="78"/>
      <c r="G38" s="79"/>
      <c r="H38" s="79"/>
      <c r="I38" s="79"/>
      <c r="J38" s="79"/>
      <c r="K38" s="79"/>
      <c r="L38" s="14">
        <f t="shared" si="2"/>
        <v>0</v>
      </c>
      <c r="M38" s="72">
        <v>1</v>
      </c>
      <c r="N38" s="90">
        <f t="shared" si="0"/>
        <v>0</v>
      </c>
      <c r="O38" s="79"/>
      <c r="P38" s="79"/>
      <c r="Q38" s="10">
        <f t="shared" si="1"/>
        <v>0</v>
      </c>
    </row>
    <row r="39" spans="2:17" x14ac:dyDescent="0.2">
      <c r="B39" s="287"/>
      <c r="C39" s="76"/>
      <c r="D39" s="269"/>
      <c r="E39" s="77"/>
      <c r="F39" s="78"/>
      <c r="G39" s="79"/>
      <c r="H39" s="79"/>
      <c r="I39" s="79"/>
      <c r="J39" s="79"/>
      <c r="K39" s="79"/>
      <c r="L39" s="14">
        <f t="shared" si="2"/>
        <v>0</v>
      </c>
      <c r="M39" s="72">
        <v>1</v>
      </c>
      <c r="N39" s="90">
        <f t="shared" si="0"/>
        <v>0</v>
      </c>
      <c r="O39" s="79"/>
      <c r="P39" s="79"/>
      <c r="Q39" s="10">
        <f t="shared" si="1"/>
        <v>0</v>
      </c>
    </row>
    <row r="40" spans="2:17" x14ac:dyDescent="0.2">
      <c r="B40" s="287"/>
      <c r="C40" s="76"/>
      <c r="D40" s="269"/>
      <c r="E40" s="77"/>
      <c r="F40" s="78"/>
      <c r="G40" s="79"/>
      <c r="H40" s="79"/>
      <c r="I40" s="79"/>
      <c r="J40" s="79"/>
      <c r="K40" s="79"/>
      <c r="L40" s="14">
        <f t="shared" si="2"/>
        <v>0</v>
      </c>
      <c r="M40" s="72">
        <v>1</v>
      </c>
      <c r="N40" s="90">
        <f t="shared" si="0"/>
        <v>0</v>
      </c>
      <c r="O40" s="79"/>
      <c r="P40" s="79"/>
      <c r="Q40" s="10">
        <f t="shared" si="1"/>
        <v>0</v>
      </c>
    </row>
    <row r="41" spans="2:17" x14ac:dyDescent="0.2">
      <c r="B41" s="287"/>
      <c r="C41" s="76"/>
      <c r="D41" s="269"/>
      <c r="E41" s="77"/>
      <c r="F41" s="78"/>
      <c r="G41" s="79"/>
      <c r="H41" s="79"/>
      <c r="I41" s="79"/>
      <c r="J41" s="79"/>
      <c r="K41" s="79"/>
      <c r="L41" s="14">
        <f t="shared" si="2"/>
        <v>0</v>
      </c>
      <c r="M41" s="72">
        <v>1</v>
      </c>
      <c r="N41" s="90">
        <f t="shared" si="0"/>
        <v>0</v>
      </c>
      <c r="O41" s="79"/>
      <c r="P41" s="79"/>
      <c r="Q41" s="10">
        <f t="shared" si="1"/>
        <v>0</v>
      </c>
    </row>
    <row r="42" spans="2:17" x14ac:dyDescent="0.2">
      <c r="B42" s="287"/>
      <c r="C42" s="76"/>
      <c r="D42" s="269"/>
      <c r="E42" s="77"/>
      <c r="F42" s="78"/>
      <c r="G42" s="79"/>
      <c r="H42" s="79"/>
      <c r="I42" s="79"/>
      <c r="J42" s="79"/>
      <c r="K42" s="79"/>
      <c r="L42" s="14">
        <f t="shared" si="2"/>
        <v>0</v>
      </c>
      <c r="M42" s="72">
        <v>1</v>
      </c>
      <c r="N42" s="90">
        <f t="shared" si="0"/>
        <v>0</v>
      </c>
      <c r="O42" s="79"/>
      <c r="P42" s="79"/>
      <c r="Q42" s="10">
        <f t="shared" si="1"/>
        <v>0</v>
      </c>
    </row>
    <row r="43" spans="2:17" x14ac:dyDescent="0.2">
      <c r="B43" s="287"/>
      <c r="C43" s="76"/>
      <c r="D43" s="269"/>
      <c r="E43" s="77"/>
      <c r="F43" s="78"/>
      <c r="G43" s="79"/>
      <c r="H43" s="79"/>
      <c r="I43" s="79"/>
      <c r="J43" s="79"/>
      <c r="K43" s="79"/>
      <c r="L43" s="14">
        <f t="shared" si="2"/>
        <v>0</v>
      </c>
      <c r="M43" s="72">
        <v>1</v>
      </c>
      <c r="N43" s="90">
        <f t="shared" si="0"/>
        <v>0</v>
      </c>
      <c r="O43" s="79"/>
      <c r="P43" s="79"/>
      <c r="Q43" s="10">
        <f t="shared" si="1"/>
        <v>0</v>
      </c>
    </row>
    <row r="44" spans="2:17" x14ac:dyDescent="0.2">
      <c r="B44" s="287"/>
      <c r="C44" s="76"/>
      <c r="D44" s="269"/>
      <c r="E44" s="77"/>
      <c r="F44" s="78"/>
      <c r="G44" s="79"/>
      <c r="H44" s="79"/>
      <c r="I44" s="79"/>
      <c r="J44" s="79"/>
      <c r="K44" s="79"/>
      <c r="L44" s="14">
        <f t="shared" si="2"/>
        <v>0</v>
      </c>
      <c r="M44" s="72">
        <v>1</v>
      </c>
      <c r="N44" s="90">
        <f t="shared" si="0"/>
        <v>0</v>
      </c>
      <c r="O44" s="79"/>
      <c r="P44" s="79"/>
      <c r="Q44" s="10">
        <f t="shared" si="1"/>
        <v>0</v>
      </c>
    </row>
    <row r="45" spans="2:17" x14ac:dyDescent="0.2">
      <c r="B45" s="287"/>
      <c r="C45" s="76"/>
      <c r="D45" s="269"/>
      <c r="E45" s="77"/>
      <c r="F45" s="78"/>
      <c r="G45" s="79"/>
      <c r="H45" s="79"/>
      <c r="I45" s="79"/>
      <c r="J45" s="79"/>
      <c r="K45" s="79"/>
      <c r="L45" s="14">
        <f t="shared" si="2"/>
        <v>0</v>
      </c>
      <c r="M45" s="72">
        <v>1</v>
      </c>
      <c r="N45" s="90">
        <f t="shared" si="0"/>
        <v>0</v>
      </c>
      <c r="O45" s="79"/>
      <c r="P45" s="79"/>
      <c r="Q45" s="10">
        <f t="shared" si="1"/>
        <v>0</v>
      </c>
    </row>
    <row r="46" spans="2:17" x14ac:dyDescent="0.2">
      <c r="B46" s="287"/>
      <c r="C46" s="76"/>
      <c r="D46" s="269"/>
      <c r="E46" s="77"/>
      <c r="F46" s="78"/>
      <c r="G46" s="79"/>
      <c r="H46" s="79"/>
      <c r="I46" s="79"/>
      <c r="J46" s="79"/>
      <c r="K46" s="79"/>
      <c r="L46" s="14">
        <f t="shared" si="2"/>
        <v>0</v>
      </c>
      <c r="M46" s="72">
        <v>1</v>
      </c>
      <c r="N46" s="90">
        <f t="shared" si="0"/>
        <v>0</v>
      </c>
      <c r="O46" s="79"/>
      <c r="P46" s="79"/>
      <c r="Q46" s="10">
        <f t="shared" si="1"/>
        <v>0</v>
      </c>
    </row>
    <row r="47" spans="2:17" x14ac:dyDescent="0.2">
      <c r="B47" s="287"/>
      <c r="C47" s="76"/>
      <c r="D47" s="269"/>
      <c r="E47" s="77"/>
      <c r="F47" s="78"/>
      <c r="G47" s="79"/>
      <c r="H47" s="79"/>
      <c r="I47" s="79"/>
      <c r="J47" s="79"/>
      <c r="K47" s="79"/>
      <c r="L47" s="14">
        <f t="shared" si="2"/>
        <v>0</v>
      </c>
      <c r="M47" s="72">
        <v>1</v>
      </c>
      <c r="N47" s="90">
        <f t="shared" si="0"/>
        <v>0</v>
      </c>
      <c r="O47" s="79"/>
      <c r="P47" s="79"/>
      <c r="Q47" s="10">
        <f t="shared" si="1"/>
        <v>0</v>
      </c>
    </row>
    <row r="48" spans="2:17" x14ac:dyDescent="0.2">
      <c r="B48" s="287"/>
      <c r="C48" s="76"/>
      <c r="D48" s="269"/>
      <c r="E48" s="77"/>
      <c r="F48" s="78"/>
      <c r="G48" s="79"/>
      <c r="H48" s="79"/>
      <c r="I48" s="79"/>
      <c r="J48" s="79"/>
      <c r="K48" s="79"/>
      <c r="L48" s="14">
        <f t="shared" si="2"/>
        <v>0</v>
      </c>
      <c r="M48" s="72">
        <v>1</v>
      </c>
      <c r="N48" s="90">
        <f t="shared" si="0"/>
        <v>0</v>
      </c>
      <c r="O48" s="79"/>
      <c r="P48" s="79"/>
      <c r="Q48" s="10">
        <f t="shared" si="1"/>
        <v>0</v>
      </c>
    </row>
    <row r="49" spans="2:17" x14ac:dyDescent="0.2">
      <c r="B49" s="287"/>
      <c r="C49" s="76"/>
      <c r="D49" s="269"/>
      <c r="E49" s="77"/>
      <c r="F49" s="78"/>
      <c r="G49" s="79"/>
      <c r="H49" s="79"/>
      <c r="I49" s="79"/>
      <c r="J49" s="79"/>
      <c r="K49" s="79"/>
      <c r="L49" s="14">
        <f t="shared" si="2"/>
        <v>0</v>
      </c>
      <c r="M49" s="72">
        <v>1</v>
      </c>
      <c r="N49" s="90">
        <f t="shared" si="0"/>
        <v>0</v>
      </c>
      <c r="O49" s="79"/>
      <c r="P49" s="79"/>
      <c r="Q49" s="10">
        <f t="shared" si="1"/>
        <v>0</v>
      </c>
    </row>
    <row r="50" spans="2:17" x14ac:dyDescent="0.2">
      <c r="B50" s="287"/>
      <c r="C50" s="76"/>
      <c r="D50" s="269"/>
      <c r="E50" s="77"/>
      <c r="F50" s="78"/>
      <c r="G50" s="79"/>
      <c r="H50" s="79"/>
      <c r="I50" s="79"/>
      <c r="J50" s="79"/>
      <c r="K50" s="79"/>
      <c r="L50" s="14">
        <f t="shared" si="2"/>
        <v>0</v>
      </c>
      <c r="M50" s="72">
        <v>1</v>
      </c>
      <c r="N50" s="90">
        <f t="shared" si="0"/>
        <v>0</v>
      </c>
      <c r="O50" s="79"/>
      <c r="P50" s="79"/>
      <c r="Q50" s="10">
        <f t="shared" si="1"/>
        <v>0</v>
      </c>
    </row>
    <row r="51" spans="2:17" x14ac:dyDescent="0.2">
      <c r="B51" s="287"/>
      <c r="C51" s="76"/>
      <c r="D51" s="269"/>
      <c r="E51" s="77"/>
      <c r="F51" s="78"/>
      <c r="G51" s="79"/>
      <c r="H51" s="79"/>
      <c r="I51" s="79"/>
      <c r="J51" s="79"/>
      <c r="K51" s="79"/>
      <c r="L51" s="14">
        <f t="shared" si="2"/>
        <v>0</v>
      </c>
      <c r="M51" s="72">
        <v>1</v>
      </c>
      <c r="N51" s="90">
        <f t="shared" si="0"/>
        <v>0</v>
      </c>
      <c r="O51" s="79"/>
      <c r="P51" s="79"/>
      <c r="Q51" s="10">
        <f t="shared" si="1"/>
        <v>0</v>
      </c>
    </row>
    <row r="52" spans="2:17" x14ac:dyDescent="0.2">
      <c r="B52" s="287"/>
      <c r="C52" s="76"/>
      <c r="D52" s="269"/>
      <c r="E52" s="77"/>
      <c r="F52" s="78"/>
      <c r="G52" s="79"/>
      <c r="H52" s="79"/>
      <c r="I52" s="79"/>
      <c r="J52" s="79"/>
      <c r="K52" s="79"/>
      <c r="L52" s="14">
        <f t="shared" si="2"/>
        <v>0</v>
      </c>
      <c r="M52" s="72">
        <v>1</v>
      </c>
      <c r="N52" s="90">
        <f t="shared" si="0"/>
        <v>0</v>
      </c>
      <c r="O52" s="79"/>
      <c r="P52" s="79"/>
      <c r="Q52" s="10">
        <f t="shared" si="1"/>
        <v>0</v>
      </c>
    </row>
    <row r="53" spans="2:17" x14ac:dyDescent="0.2">
      <c r="B53" s="287"/>
      <c r="C53" s="76"/>
      <c r="D53" s="269"/>
      <c r="E53" s="77"/>
      <c r="F53" s="78"/>
      <c r="G53" s="79"/>
      <c r="H53" s="79"/>
      <c r="I53" s="79"/>
      <c r="J53" s="79"/>
      <c r="K53" s="79"/>
      <c r="L53" s="14">
        <f t="shared" si="2"/>
        <v>0</v>
      </c>
      <c r="M53" s="72">
        <v>1</v>
      </c>
      <c r="N53" s="90">
        <f t="shared" si="0"/>
        <v>0</v>
      </c>
      <c r="O53" s="79"/>
      <c r="P53" s="79"/>
      <c r="Q53" s="10">
        <f t="shared" si="1"/>
        <v>0</v>
      </c>
    </row>
    <row r="54" spans="2:17" x14ac:dyDescent="0.2">
      <c r="B54" s="287"/>
      <c r="C54" s="76"/>
      <c r="D54" s="269"/>
      <c r="E54" s="77"/>
      <c r="F54" s="78"/>
      <c r="G54" s="79"/>
      <c r="H54" s="79"/>
      <c r="I54" s="79"/>
      <c r="J54" s="79"/>
      <c r="K54" s="79"/>
      <c r="L54" s="14">
        <f t="shared" si="2"/>
        <v>0</v>
      </c>
      <c r="M54" s="72">
        <v>1</v>
      </c>
      <c r="N54" s="90">
        <f t="shared" si="0"/>
        <v>0</v>
      </c>
      <c r="O54" s="79"/>
      <c r="P54" s="79"/>
      <c r="Q54" s="10">
        <f>SUM(N54:P54)</f>
        <v>0</v>
      </c>
    </row>
    <row r="55" spans="2:17" x14ac:dyDescent="0.2">
      <c r="B55" s="287"/>
      <c r="C55" s="76"/>
      <c r="D55" s="269"/>
      <c r="E55" s="77"/>
      <c r="F55" s="78"/>
      <c r="G55" s="79"/>
      <c r="H55" s="79"/>
      <c r="I55" s="79"/>
      <c r="J55" s="79"/>
      <c r="K55" s="79"/>
      <c r="L55" s="14">
        <f t="shared" si="2"/>
        <v>0</v>
      </c>
      <c r="M55" s="72">
        <v>1</v>
      </c>
      <c r="N55" s="90">
        <f t="shared" si="0"/>
        <v>0</v>
      </c>
      <c r="O55" s="79"/>
      <c r="P55" s="79"/>
      <c r="Q55" s="10">
        <f t="shared" si="1"/>
        <v>0</v>
      </c>
    </row>
    <row r="56" spans="2:17" x14ac:dyDescent="0.2">
      <c r="B56" s="287"/>
      <c r="C56" s="76"/>
      <c r="D56" s="269"/>
      <c r="E56" s="77"/>
      <c r="F56" s="78"/>
      <c r="G56" s="79"/>
      <c r="H56" s="79"/>
      <c r="I56" s="79"/>
      <c r="J56" s="79"/>
      <c r="K56" s="79"/>
      <c r="L56" s="14">
        <f t="shared" si="2"/>
        <v>0</v>
      </c>
      <c r="M56" s="72">
        <v>1</v>
      </c>
      <c r="N56" s="90">
        <f t="shared" si="0"/>
        <v>0</v>
      </c>
      <c r="O56" s="79"/>
      <c r="P56" s="79"/>
      <c r="Q56" s="10">
        <f t="shared" si="1"/>
        <v>0</v>
      </c>
    </row>
    <row r="57" spans="2:17" x14ac:dyDescent="0.2">
      <c r="B57" s="287"/>
      <c r="C57" s="76"/>
      <c r="D57" s="269"/>
      <c r="E57" s="77"/>
      <c r="F57" s="78"/>
      <c r="G57" s="79"/>
      <c r="H57" s="79"/>
      <c r="I57" s="79"/>
      <c r="J57" s="79"/>
      <c r="K57" s="79"/>
      <c r="L57" s="14">
        <f t="shared" si="2"/>
        <v>0</v>
      </c>
      <c r="M57" s="72">
        <v>1</v>
      </c>
      <c r="N57" s="90">
        <f t="shared" si="0"/>
        <v>0</v>
      </c>
      <c r="O57" s="79"/>
      <c r="P57" s="79"/>
      <c r="Q57" s="10">
        <f>SUM(N57:P57)</f>
        <v>0</v>
      </c>
    </row>
    <row r="58" spans="2:17" x14ac:dyDescent="0.2">
      <c r="B58" s="287"/>
      <c r="C58" s="76"/>
      <c r="D58" s="269"/>
      <c r="E58" s="77"/>
      <c r="F58" s="78"/>
      <c r="G58" s="79"/>
      <c r="H58" s="79"/>
      <c r="I58" s="79"/>
      <c r="J58" s="79"/>
      <c r="K58" s="79"/>
      <c r="L58" s="14">
        <f t="shared" si="2"/>
        <v>0</v>
      </c>
      <c r="M58" s="72">
        <v>1</v>
      </c>
      <c r="N58" s="90">
        <f t="shared" si="0"/>
        <v>0</v>
      </c>
      <c r="O58" s="79"/>
      <c r="P58" s="79"/>
      <c r="Q58" s="10">
        <f t="shared" si="1"/>
        <v>0</v>
      </c>
    </row>
    <row r="59" spans="2:17" x14ac:dyDescent="0.2">
      <c r="B59" s="288"/>
      <c r="C59" s="15" t="s">
        <v>234</v>
      </c>
      <c r="D59" s="15"/>
      <c r="E59" s="16"/>
      <c r="F59" s="17"/>
      <c r="G59" s="11">
        <f t="shared" ref="G59:L59" si="3">SUM(G15:G58)</f>
        <v>0</v>
      </c>
      <c r="H59" s="11">
        <f t="shared" si="3"/>
        <v>2590188699.4899969</v>
      </c>
      <c r="I59" s="11">
        <f t="shared" si="3"/>
        <v>5714733.330000001</v>
      </c>
      <c r="J59" s="11">
        <f t="shared" si="3"/>
        <v>0</v>
      </c>
      <c r="K59" s="11">
        <f t="shared" si="3"/>
        <v>0</v>
      </c>
      <c r="L59" s="11">
        <f t="shared" si="3"/>
        <v>2595903432.8199973</v>
      </c>
      <c r="M59" s="142"/>
      <c r="N59" s="142">
        <f>SUM(N15:N58)</f>
        <v>2595903432.8199973</v>
      </c>
      <c r="O59" s="11">
        <f>SUM(O15:O58)</f>
        <v>-1191328012.3499992</v>
      </c>
      <c r="P59" s="11">
        <f>SUM(P15:P58)</f>
        <v>-132557414.50000006</v>
      </c>
      <c r="Q59" s="11">
        <f>SUM(Q15:Q58)</f>
        <v>1272018005.9699979</v>
      </c>
    </row>
    <row r="62" spans="2:17" ht="15.75" x14ac:dyDescent="0.25">
      <c r="B62" s="197" t="s">
        <v>336</v>
      </c>
    </row>
    <row r="64" spans="2:17" ht="46.5" customHeight="1" x14ac:dyDescent="0.2">
      <c r="B64" s="50" t="s">
        <v>113</v>
      </c>
      <c r="C64" s="51" t="s">
        <v>114</v>
      </c>
      <c r="D64" s="51" t="s">
        <v>311</v>
      </c>
      <c r="E64" s="51" t="s">
        <v>337</v>
      </c>
      <c r="F64" s="51" t="s">
        <v>324</v>
      </c>
      <c r="G64" s="52" t="s">
        <v>204</v>
      </c>
      <c r="H64" s="52" t="s">
        <v>326</v>
      </c>
      <c r="I64" s="52" t="s">
        <v>327</v>
      </c>
      <c r="J64" s="52" t="s">
        <v>328</v>
      </c>
      <c r="K64" s="52" t="s">
        <v>329</v>
      </c>
      <c r="L64" s="51" t="s">
        <v>330</v>
      </c>
      <c r="M64" s="51" t="s">
        <v>331</v>
      </c>
      <c r="N64" s="52" t="s">
        <v>332</v>
      </c>
      <c r="O64" s="52" t="s">
        <v>338</v>
      </c>
      <c r="P64" s="30" t="s">
        <v>334</v>
      </c>
    </row>
    <row r="65" spans="2:16" x14ac:dyDescent="0.2">
      <c r="B65" s="61"/>
      <c r="C65" s="53"/>
      <c r="D65" s="53"/>
      <c r="E65" s="53"/>
      <c r="F65" s="53" t="s">
        <v>335</v>
      </c>
      <c r="G65" s="53" t="s">
        <v>116</v>
      </c>
      <c r="H65" s="53" t="s">
        <v>116</v>
      </c>
      <c r="I65" s="53" t="s">
        <v>116</v>
      </c>
      <c r="J65" s="53" t="s">
        <v>116</v>
      </c>
      <c r="K65" s="53" t="s">
        <v>116</v>
      </c>
      <c r="L65" s="53"/>
      <c r="M65" s="53" t="s">
        <v>116</v>
      </c>
      <c r="N65" s="53" t="s">
        <v>116</v>
      </c>
      <c r="O65" s="53" t="s">
        <v>116</v>
      </c>
      <c r="P65" s="53" t="s">
        <v>116</v>
      </c>
    </row>
    <row r="66" spans="2:16" x14ac:dyDescent="0.2">
      <c r="B66" s="337" t="s">
        <v>522</v>
      </c>
      <c r="C66" s="76" t="s">
        <v>502</v>
      </c>
      <c r="D66" s="76" t="s">
        <v>236</v>
      </c>
      <c r="E66" s="77" t="str">
        <f>'3.3 Asset useful life'!D28</f>
        <v>3/6/2015 to 30/6/2025</v>
      </c>
      <c r="F66" s="78">
        <f>'3.3 Asset useful life'!E28</f>
        <v>3.4323791017076388</v>
      </c>
      <c r="G66" s="79">
        <v>5086702.7025202289</v>
      </c>
      <c r="H66" s="79">
        <v>503710.53839600005</v>
      </c>
      <c r="I66" s="79"/>
      <c r="J66" s="79">
        <v>-5534.0720759999995</v>
      </c>
      <c r="K66" s="14">
        <f>SUM(G66:J66)</f>
        <v>5584879.1688402286</v>
      </c>
      <c r="L66" s="72">
        <v>1</v>
      </c>
      <c r="M66" s="90">
        <f>K66*L66</f>
        <v>5584879.1688402286</v>
      </c>
      <c r="N66" s="79">
        <v>-3500880.558722429</v>
      </c>
      <c r="O66" s="79">
        <v>-287445.76120000001</v>
      </c>
      <c r="P66" s="10">
        <f>SUM(M66:O66)</f>
        <v>1796552.8489177995</v>
      </c>
    </row>
    <row r="67" spans="2:16" x14ac:dyDescent="0.2">
      <c r="B67" s="338" t="s">
        <v>522</v>
      </c>
      <c r="C67" s="76" t="s">
        <v>238</v>
      </c>
      <c r="D67" s="76" t="s">
        <v>238</v>
      </c>
      <c r="E67" s="77" t="str">
        <f>'3.3 Asset useful life'!D34</f>
        <v>1/7/2019 to 30/6/2025</v>
      </c>
      <c r="F67" s="78" t="str">
        <f>'3.3 Asset useful life'!E34</f>
        <v>Various</v>
      </c>
      <c r="G67" s="79">
        <v>730534.52508817916</v>
      </c>
      <c r="H67" s="79">
        <v>68178.010469110945</v>
      </c>
      <c r="I67" s="79">
        <v>0</v>
      </c>
      <c r="J67" s="79">
        <v>-1540.4678916379748</v>
      </c>
      <c r="K67" s="14">
        <f t="shared" ref="K67:K83" si="4">SUM(G67:J67)</f>
        <v>797172.06766565214</v>
      </c>
      <c r="L67" s="72">
        <v>1</v>
      </c>
      <c r="M67" s="90">
        <f t="shared" ref="M67:M83" si="5">K67*L67</f>
        <v>797172.06766565214</v>
      </c>
      <c r="N67" s="79">
        <v>-327820.77326950309</v>
      </c>
      <c r="O67" s="79">
        <v>-65017.123167866099</v>
      </c>
      <c r="P67" s="10">
        <f t="shared" ref="P67:P82" si="6">SUM(M67:O67)</f>
        <v>404334.17122828297</v>
      </c>
    </row>
    <row r="68" spans="2:16" x14ac:dyDescent="0.2">
      <c r="B68" s="161"/>
      <c r="C68" s="76"/>
      <c r="D68" s="76"/>
      <c r="E68" s="77"/>
      <c r="F68" s="78"/>
      <c r="G68" s="79"/>
      <c r="H68" s="79"/>
      <c r="I68" s="79"/>
      <c r="J68" s="79"/>
      <c r="K68" s="14">
        <f t="shared" si="4"/>
        <v>0</v>
      </c>
      <c r="L68" s="72">
        <v>1</v>
      </c>
      <c r="M68" s="90">
        <f t="shared" si="5"/>
        <v>0</v>
      </c>
      <c r="N68" s="79"/>
      <c r="O68" s="79"/>
      <c r="P68" s="10">
        <f t="shared" si="6"/>
        <v>0</v>
      </c>
    </row>
    <row r="69" spans="2:16" x14ac:dyDescent="0.2">
      <c r="B69" s="161"/>
      <c r="C69" s="76"/>
      <c r="D69" s="76"/>
      <c r="E69" s="77"/>
      <c r="F69" s="78"/>
      <c r="G69" s="79"/>
      <c r="H69" s="79"/>
      <c r="I69" s="79"/>
      <c r="J69" s="79"/>
      <c r="K69" s="14">
        <f t="shared" si="4"/>
        <v>0</v>
      </c>
      <c r="L69" s="72">
        <v>1</v>
      </c>
      <c r="M69" s="90">
        <f t="shared" si="5"/>
        <v>0</v>
      </c>
      <c r="N69" s="79"/>
      <c r="O69" s="79"/>
      <c r="P69" s="10">
        <f t="shared" si="6"/>
        <v>0</v>
      </c>
    </row>
    <row r="70" spans="2:16" x14ac:dyDescent="0.2">
      <c r="B70" s="161"/>
      <c r="C70" s="76"/>
      <c r="D70" s="76"/>
      <c r="E70" s="77"/>
      <c r="F70" s="78"/>
      <c r="G70" s="79"/>
      <c r="H70" s="79"/>
      <c r="I70" s="79"/>
      <c r="J70" s="79"/>
      <c r="K70" s="14">
        <f t="shared" si="4"/>
        <v>0</v>
      </c>
      <c r="L70" s="72">
        <v>1</v>
      </c>
      <c r="M70" s="90">
        <f t="shared" si="5"/>
        <v>0</v>
      </c>
      <c r="N70" s="79"/>
      <c r="O70" s="79"/>
      <c r="P70" s="10">
        <f t="shared" si="6"/>
        <v>0</v>
      </c>
    </row>
    <row r="71" spans="2:16" x14ac:dyDescent="0.2">
      <c r="B71" s="161"/>
      <c r="C71" s="76"/>
      <c r="D71" s="76"/>
      <c r="E71" s="77"/>
      <c r="F71" s="78"/>
      <c r="G71" s="79"/>
      <c r="H71" s="79"/>
      <c r="I71" s="79"/>
      <c r="J71" s="79"/>
      <c r="K71" s="14">
        <f t="shared" si="4"/>
        <v>0</v>
      </c>
      <c r="L71" s="72">
        <v>1</v>
      </c>
      <c r="M71" s="90">
        <f t="shared" si="5"/>
        <v>0</v>
      </c>
      <c r="N71" s="79"/>
      <c r="O71" s="79"/>
      <c r="P71" s="10">
        <f t="shared" si="6"/>
        <v>0</v>
      </c>
    </row>
    <row r="72" spans="2:16" x14ac:dyDescent="0.2">
      <c r="B72" s="161"/>
      <c r="C72" s="76"/>
      <c r="D72" s="76"/>
      <c r="E72" s="77"/>
      <c r="F72" s="78"/>
      <c r="G72" s="79"/>
      <c r="H72" s="79"/>
      <c r="I72" s="79"/>
      <c r="J72" s="79"/>
      <c r="K72" s="14">
        <f t="shared" si="4"/>
        <v>0</v>
      </c>
      <c r="L72" s="72">
        <v>1</v>
      </c>
      <c r="M72" s="90">
        <f t="shared" si="5"/>
        <v>0</v>
      </c>
      <c r="N72" s="79"/>
      <c r="O72" s="79"/>
      <c r="P72" s="10">
        <f t="shared" si="6"/>
        <v>0</v>
      </c>
    </row>
    <row r="73" spans="2:16" x14ac:dyDescent="0.2">
      <c r="B73" s="161"/>
      <c r="C73" s="76"/>
      <c r="D73" s="76"/>
      <c r="E73" s="77"/>
      <c r="F73" s="78"/>
      <c r="G73" s="79"/>
      <c r="H73" s="79"/>
      <c r="I73" s="79"/>
      <c r="J73" s="79"/>
      <c r="K73" s="14">
        <f t="shared" si="4"/>
        <v>0</v>
      </c>
      <c r="L73" s="72">
        <v>1</v>
      </c>
      <c r="M73" s="90">
        <f t="shared" si="5"/>
        <v>0</v>
      </c>
      <c r="N73" s="79"/>
      <c r="O73" s="79"/>
      <c r="P73" s="10">
        <f t="shared" si="6"/>
        <v>0</v>
      </c>
    </row>
    <row r="74" spans="2:16" x14ac:dyDescent="0.2">
      <c r="B74" s="161"/>
      <c r="C74" s="76"/>
      <c r="D74" s="76"/>
      <c r="E74" s="77"/>
      <c r="F74" s="78"/>
      <c r="G74" s="79"/>
      <c r="H74" s="79"/>
      <c r="I74" s="79"/>
      <c r="J74" s="79"/>
      <c r="K74" s="14">
        <f t="shared" si="4"/>
        <v>0</v>
      </c>
      <c r="L74" s="72">
        <v>1</v>
      </c>
      <c r="M74" s="90">
        <f t="shared" si="5"/>
        <v>0</v>
      </c>
      <c r="N74" s="79"/>
      <c r="O74" s="79"/>
      <c r="P74" s="10">
        <f t="shared" si="6"/>
        <v>0</v>
      </c>
    </row>
    <row r="75" spans="2:16" x14ac:dyDescent="0.2">
      <c r="B75" s="161"/>
      <c r="C75" s="76"/>
      <c r="D75" s="76"/>
      <c r="E75" s="77"/>
      <c r="F75" s="78"/>
      <c r="G75" s="79"/>
      <c r="H75" s="79"/>
      <c r="I75" s="79"/>
      <c r="J75" s="79"/>
      <c r="K75" s="14">
        <f t="shared" si="4"/>
        <v>0</v>
      </c>
      <c r="L75" s="72">
        <v>1</v>
      </c>
      <c r="M75" s="90">
        <f t="shared" si="5"/>
        <v>0</v>
      </c>
      <c r="N75" s="79"/>
      <c r="O75" s="79"/>
      <c r="P75" s="10">
        <f t="shared" si="6"/>
        <v>0</v>
      </c>
    </row>
    <row r="76" spans="2:16" x14ac:dyDescent="0.2">
      <c r="B76" s="161"/>
      <c r="C76" s="76"/>
      <c r="D76" s="76"/>
      <c r="E76" s="77"/>
      <c r="F76" s="78"/>
      <c r="G76" s="79"/>
      <c r="H76" s="79"/>
      <c r="I76" s="79"/>
      <c r="J76" s="79"/>
      <c r="K76" s="14">
        <f t="shared" si="4"/>
        <v>0</v>
      </c>
      <c r="L76" s="72">
        <v>1</v>
      </c>
      <c r="M76" s="90">
        <f t="shared" si="5"/>
        <v>0</v>
      </c>
      <c r="N76" s="79"/>
      <c r="O76" s="79"/>
      <c r="P76" s="10">
        <f t="shared" si="6"/>
        <v>0</v>
      </c>
    </row>
    <row r="77" spans="2:16" x14ac:dyDescent="0.2">
      <c r="B77" s="161"/>
      <c r="C77" s="76"/>
      <c r="D77" s="76"/>
      <c r="E77" s="77"/>
      <c r="F77" s="78"/>
      <c r="G77" s="79"/>
      <c r="H77" s="79"/>
      <c r="I77" s="79"/>
      <c r="J77" s="79"/>
      <c r="K77" s="14">
        <f t="shared" si="4"/>
        <v>0</v>
      </c>
      <c r="L77" s="72">
        <v>1</v>
      </c>
      <c r="M77" s="90">
        <f t="shared" si="5"/>
        <v>0</v>
      </c>
      <c r="N77" s="79"/>
      <c r="O77" s="79"/>
      <c r="P77" s="10">
        <f t="shared" si="6"/>
        <v>0</v>
      </c>
    </row>
    <row r="78" spans="2:16" x14ac:dyDescent="0.2">
      <c r="B78" s="161"/>
      <c r="C78" s="76"/>
      <c r="D78" s="76"/>
      <c r="E78" s="77"/>
      <c r="F78" s="78"/>
      <c r="G78" s="79"/>
      <c r="H78" s="79"/>
      <c r="I78" s="79"/>
      <c r="J78" s="79"/>
      <c r="K78" s="14">
        <f t="shared" si="4"/>
        <v>0</v>
      </c>
      <c r="L78" s="72">
        <v>1</v>
      </c>
      <c r="M78" s="90">
        <f t="shared" si="5"/>
        <v>0</v>
      </c>
      <c r="N78" s="79"/>
      <c r="O78" s="79"/>
      <c r="P78" s="10">
        <f t="shared" si="6"/>
        <v>0</v>
      </c>
    </row>
    <row r="79" spans="2:16" x14ac:dyDescent="0.2">
      <c r="B79" s="161"/>
      <c r="C79" s="76"/>
      <c r="D79" s="76"/>
      <c r="E79" s="77"/>
      <c r="F79" s="78"/>
      <c r="G79" s="79"/>
      <c r="H79" s="79"/>
      <c r="I79" s="79"/>
      <c r="J79" s="79"/>
      <c r="K79" s="14">
        <f t="shared" si="4"/>
        <v>0</v>
      </c>
      <c r="L79" s="72">
        <v>1</v>
      </c>
      <c r="M79" s="90">
        <f t="shared" si="5"/>
        <v>0</v>
      </c>
      <c r="N79" s="79"/>
      <c r="O79" s="79"/>
      <c r="P79" s="10">
        <f t="shared" si="6"/>
        <v>0</v>
      </c>
    </row>
    <row r="80" spans="2:16" x14ac:dyDescent="0.2">
      <c r="B80" s="161"/>
      <c r="C80" s="76"/>
      <c r="D80" s="76"/>
      <c r="E80" s="77"/>
      <c r="F80" s="78"/>
      <c r="G80" s="79"/>
      <c r="H80" s="79"/>
      <c r="I80" s="79"/>
      <c r="J80" s="79"/>
      <c r="K80" s="14">
        <f t="shared" si="4"/>
        <v>0</v>
      </c>
      <c r="L80" s="72">
        <v>1</v>
      </c>
      <c r="M80" s="90">
        <f t="shared" si="5"/>
        <v>0</v>
      </c>
      <c r="N80" s="79"/>
      <c r="O80" s="79"/>
      <c r="P80" s="10">
        <f t="shared" si="6"/>
        <v>0</v>
      </c>
    </row>
    <row r="81" spans="2:16" x14ac:dyDescent="0.2">
      <c r="B81" s="161"/>
      <c r="C81" s="76"/>
      <c r="D81" s="76"/>
      <c r="E81" s="77"/>
      <c r="F81" s="78"/>
      <c r="G81" s="79"/>
      <c r="H81" s="79"/>
      <c r="I81" s="79"/>
      <c r="J81" s="79"/>
      <c r="K81" s="14">
        <f t="shared" si="4"/>
        <v>0</v>
      </c>
      <c r="L81" s="72">
        <v>1</v>
      </c>
      <c r="M81" s="90">
        <f t="shared" si="5"/>
        <v>0</v>
      </c>
      <c r="N81" s="79"/>
      <c r="O81" s="79"/>
      <c r="P81" s="10">
        <f t="shared" si="6"/>
        <v>0</v>
      </c>
    </row>
    <row r="82" spans="2:16" x14ac:dyDescent="0.2">
      <c r="B82" s="161"/>
      <c r="C82" s="76"/>
      <c r="D82" s="76"/>
      <c r="E82" s="77"/>
      <c r="F82" s="78"/>
      <c r="G82" s="79"/>
      <c r="H82" s="79"/>
      <c r="I82" s="79"/>
      <c r="J82" s="79"/>
      <c r="K82" s="14">
        <f t="shared" si="4"/>
        <v>0</v>
      </c>
      <c r="L82" s="72">
        <v>1</v>
      </c>
      <c r="M82" s="90">
        <f t="shared" si="5"/>
        <v>0</v>
      </c>
      <c r="N82" s="79"/>
      <c r="O82" s="79"/>
      <c r="P82" s="10">
        <f t="shared" si="6"/>
        <v>0</v>
      </c>
    </row>
    <row r="83" spans="2:16" x14ac:dyDescent="0.2">
      <c r="B83" s="161"/>
      <c r="C83" s="76"/>
      <c r="D83" s="76"/>
      <c r="E83" s="77"/>
      <c r="F83" s="78"/>
      <c r="G83" s="79"/>
      <c r="H83" s="79"/>
      <c r="I83" s="79"/>
      <c r="J83" s="79"/>
      <c r="K83" s="14">
        <f t="shared" si="4"/>
        <v>0</v>
      </c>
      <c r="L83" s="72">
        <v>1</v>
      </c>
      <c r="M83" s="90">
        <f t="shared" si="5"/>
        <v>0</v>
      </c>
      <c r="N83" s="79"/>
      <c r="O83" s="79"/>
      <c r="P83" s="10">
        <f>SUM(M83:O83)</f>
        <v>0</v>
      </c>
    </row>
    <row r="84" spans="2:16" x14ac:dyDescent="0.2">
      <c r="B84" s="268"/>
      <c r="C84" s="15" t="s">
        <v>339</v>
      </c>
      <c r="D84" s="15"/>
      <c r="E84" s="18"/>
      <c r="F84" s="18"/>
      <c r="G84" s="11">
        <f>SUM(G66:G83)</f>
        <v>5817237.2276084078</v>
      </c>
      <c r="H84" s="11">
        <f>SUM(H66:H83)</f>
        <v>571888.54886511096</v>
      </c>
      <c r="I84" s="11">
        <f>SUM(I66:I83)</f>
        <v>0</v>
      </c>
      <c r="J84" s="11">
        <f>SUM(J66:J83)</f>
        <v>-7074.5399676379748</v>
      </c>
      <c r="K84" s="11">
        <f>SUM(K66:K83)</f>
        <v>6382051.236505881</v>
      </c>
      <c r="L84" s="142"/>
      <c r="M84" s="142">
        <f>SUM(M66:M83)</f>
        <v>6382051.236505881</v>
      </c>
      <c r="N84" s="11">
        <f>SUM(N66:N83)</f>
        <v>-3828701.3319919319</v>
      </c>
      <c r="O84" s="11">
        <f>SUM(O66:O83)</f>
        <v>-352462.88436786609</v>
      </c>
      <c r="P84" s="11">
        <f>SUM(P66:P83)</f>
        <v>2200887.0201460826</v>
      </c>
    </row>
  </sheetData>
  <sheetProtection sheet="1" insertRows="0" deleteRows="0"/>
  <mergeCells count="1">
    <mergeCell ref="B6:E8"/>
  </mergeCells>
  <phoneticPr fontId="33" type="noConversion"/>
  <dataValidations disablePrompts="1" count="3">
    <dataValidation type="list" allowBlank="1" showInputMessage="1" showErrorMessage="1" sqref="G8:G9 D25:D58" xr:uid="{36F1E2C7-E059-4A1F-8CE8-21D257E8C1E2}">
      <formula1>rPipelineAssets</formula1>
    </dataValidation>
    <dataValidation type="list" allowBlank="1" showInputMessage="1" showErrorMessage="1" sqref="D68:D83" xr:uid="{628F3744-0044-4580-A1F6-1302F9BD7106}">
      <formula1>rSharedAssets</formula1>
    </dataValidation>
    <dataValidation type="list" allowBlank="1" showInputMessage="1" showErrorMessage="1" sqref="D15:D24 D66:D67" xr:uid="{73D7DC00-95BF-455B-B48E-3D2A375D2D46}"/>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05" customWidth="1"/>
    <col min="2" max="2" width="22.42578125" style="205" customWidth="1"/>
    <col min="3" max="3" width="42.28515625" style="205" customWidth="1"/>
    <col min="4" max="4" width="28.7109375" style="205" customWidth="1"/>
    <col min="5" max="5" width="22.5703125" style="205" customWidth="1"/>
    <col min="6" max="6" width="20.5703125" style="205" customWidth="1"/>
    <col min="7" max="7" width="22.5703125" style="205" customWidth="1"/>
    <col min="8" max="8" width="37.42578125" style="205" customWidth="1"/>
    <col min="9" max="9" width="25.28515625" style="205" customWidth="1"/>
    <col min="10" max="16384" width="9.28515625" style="205"/>
  </cols>
  <sheetData>
    <row r="1" spans="2:9" ht="20.25" customHeight="1" x14ac:dyDescent="0.3">
      <c r="B1" s="135" t="s">
        <v>53</v>
      </c>
      <c r="C1" s="135"/>
      <c r="D1" s="204"/>
      <c r="E1" s="204"/>
      <c r="F1" s="204"/>
      <c r="G1" s="204"/>
    </row>
    <row r="2" spans="2:9" ht="20.25" customHeight="1" x14ac:dyDescent="0.3">
      <c r="B2" s="135" t="str">
        <f>IF(Tradingname=0," ",Tradingname)</f>
        <v>APA WGP PTY LTD</v>
      </c>
      <c r="C2" s="135"/>
      <c r="D2" s="206"/>
    </row>
    <row r="3" spans="2:9" ht="20.25" customHeight="1" x14ac:dyDescent="0.3">
      <c r="B3" s="135" t="s">
        <v>30</v>
      </c>
      <c r="C3" s="99">
        <f>IF(Yearending=0, "01/01/2000", Yearending)</f>
        <v>45838</v>
      </c>
    </row>
    <row r="4" spans="2:9" ht="20.25" x14ac:dyDescent="0.2">
      <c r="B4" s="91" t="s">
        <v>340</v>
      </c>
      <c r="C4" s="91"/>
    </row>
    <row r="6" spans="2:9" x14ac:dyDescent="0.2">
      <c r="B6" s="414" t="s">
        <v>341</v>
      </c>
      <c r="C6" s="414"/>
      <c r="D6" s="414"/>
    </row>
    <row r="7" spans="2:9" ht="15.75" customHeight="1" x14ac:dyDescent="0.2">
      <c r="B7" s="414"/>
      <c r="C7" s="414"/>
      <c r="D7" s="414"/>
    </row>
    <row r="8" spans="2:9" ht="15.75" customHeight="1" x14ac:dyDescent="0.2">
      <c r="B8" s="414"/>
      <c r="C8" s="414"/>
      <c r="D8" s="414"/>
    </row>
    <row r="11" spans="2:9" ht="15.75" x14ac:dyDescent="0.25">
      <c r="B11" s="207" t="s">
        <v>342</v>
      </c>
      <c r="C11" s="208"/>
      <c r="D11" s="208"/>
      <c r="E11" s="208"/>
      <c r="F11" s="211"/>
      <c r="G11" s="208"/>
    </row>
    <row r="12" spans="2:9" ht="15.75" x14ac:dyDescent="0.25">
      <c r="B12" s="207"/>
      <c r="C12" s="208"/>
      <c r="D12" s="208"/>
      <c r="E12" s="208"/>
      <c r="F12" s="211"/>
      <c r="G12" s="208"/>
    </row>
    <row r="13" spans="2:9" ht="25.5" x14ac:dyDescent="0.2">
      <c r="B13" s="37" t="s">
        <v>113</v>
      </c>
      <c r="C13" s="37" t="s">
        <v>343</v>
      </c>
      <c r="D13" s="37" t="s">
        <v>344</v>
      </c>
      <c r="E13" s="49" t="s">
        <v>345</v>
      </c>
      <c r="F13" s="49" t="s">
        <v>188</v>
      </c>
      <c r="G13" s="49" t="s">
        <v>346</v>
      </c>
    </row>
    <row r="14" spans="2:9" x14ac:dyDescent="0.2">
      <c r="B14" s="39"/>
      <c r="C14" s="39"/>
      <c r="D14" s="42"/>
      <c r="E14" s="53" t="s">
        <v>116</v>
      </c>
      <c r="F14" s="53"/>
      <c r="G14" s="53" t="s">
        <v>116</v>
      </c>
    </row>
    <row r="15" spans="2:9" x14ac:dyDescent="0.2">
      <c r="B15" s="328" t="s">
        <v>513</v>
      </c>
      <c r="C15" s="70" t="s">
        <v>502</v>
      </c>
      <c r="D15" s="70" t="s">
        <v>236</v>
      </c>
      <c r="E15" s="71">
        <v>501746970.59000003</v>
      </c>
      <c r="F15" s="72">
        <v>1.1130867740512746E-2</v>
      </c>
      <c r="G15" s="10">
        <f>E15*F15</f>
        <v>5584879.1688402286</v>
      </c>
      <c r="H15" s="267"/>
    </row>
    <row r="16" spans="2:9" x14ac:dyDescent="0.2">
      <c r="B16" s="335" t="s">
        <v>513</v>
      </c>
      <c r="C16" s="70" t="s">
        <v>238</v>
      </c>
      <c r="D16" s="70" t="s">
        <v>238</v>
      </c>
      <c r="E16" s="71">
        <v>86146034.939643428</v>
      </c>
      <c r="F16" s="72">
        <v>9.2537290686004938E-3</v>
      </c>
      <c r="G16" s="10">
        <f t="shared" ref="G16:G45" si="0">E16*F16</f>
        <v>797172.06766565214</v>
      </c>
      <c r="H16" s="270"/>
      <c r="I16" s="270"/>
    </row>
    <row r="17" spans="2:9" x14ac:dyDescent="0.2">
      <c r="B17" s="282"/>
      <c r="C17" s="70"/>
      <c r="D17" s="70"/>
      <c r="E17" s="71"/>
      <c r="F17" s="72"/>
      <c r="G17" s="10">
        <f t="shared" si="0"/>
        <v>0</v>
      </c>
      <c r="H17" s="271"/>
      <c r="I17" s="271"/>
    </row>
    <row r="18" spans="2:9" x14ac:dyDescent="0.2">
      <c r="B18" s="282"/>
      <c r="C18" s="70"/>
      <c r="D18" s="70"/>
      <c r="E18" s="71"/>
      <c r="F18" s="72"/>
      <c r="G18" s="10">
        <f t="shared" si="0"/>
        <v>0</v>
      </c>
      <c r="H18" s="271"/>
      <c r="I18" s="271"/>
    </row>
    <row r="19" spans="2:9" x14ac:dyDescent="0.2">
      <c r="B19" s="282"/>
      <c r="C19" s="70"/>
      <c r="D19" s="70"/>
      <c r="E19" s="71"/>
      <c r="F19" s="72"/>
      <c r="G19" s="10">
        <f t="shared" si="0"/>
        <v>0</v>
      </c>
      <c r="H19" s="270"/>
      <c r="I19" s="270"/>
    </row>
    <row r="20" spans="2:9" x14ac:dyDescent="0.2">
      <c r="B20" s="282"/>
      <c r="C20" s="70"/>
      <c r="D20" s="70"/>
      <c r="E20" s="71"/>
      <c r="F20" s="72"/>
      <c r="G20" s="10">
        <f t="shared" si="0"/>
        <v>0</v>
      </c>
      <c r="H20" s="271"/>
      <c r="I20" s="271"/>
    </row>
    <row r="21" spans="2:9" x14ac:dyDescent="0.2">
      <c r="B21" s="282"/>
      <c r="C21" s="70"/>
      <c r="D21" s="70"/>
      <c r="E21" s="71"/>
      <c r="F21" s="72"/>
      <c r="G21" s="10">
        <f t="shared" si="0"/>
        <v>0</v>
      </c>
    </row>
    <row r="22" spans="2:9" x14ac:dyDescent="0.2">
      <c r="B22" s="282"/>
      <c r="C22" s="70"/>
      <c r="D22" s="70"/>
      <c r="E22" s="71"/>
      <c r="F22" s="72"/>
      <c r="G22" s="10">
        <f t="shared" si="0"/>
        <v>0</v>
      </c>
    </row>
    <row r="23" spans="2:9" x14ac:dyDescent="0.2">
      <c r="B23" s="282"/>
      <c r="C23" s="70"/>
      <c r="D23" s="70"/>
      <c r="E23" s="71"/>
      <c r="F23" s="72"/>
      <c r="G23" s="10">
        <f t="shared" si="0"/>
        <v>0</v>
      </c>
    </row>
    <row r="24" spans="2:9" x14ac:dyDescent="0.2">
      <c r="B24" s="282"/>
      <c r="C24" s="70"/>
      <c r="D24" s="70"/>
      <c r="E24" s="71"/>
      <c r="F24" s="72"/>
      <c r="G24" s="10">
        <f t="shared" si="0"/>
        <v>0</v>
      </c>
    </row>
    <row r="25" spans="2:9" x14ac:dyDescent="0.2">
      <c r="B25" s="282"/>
      <c r="C25" s="70"/>
      <c r="D25" s="70"/>
      <c r="E25" s="71"/>
      <c r="F25" s="72"/>
      <c r="G25" s="10">
        <f t="shared" si="0"/>
        <v>0</v>
      </c>
    </row>
    <row r="26" spans="2:9" x14ac:dyDescent="0.2">
      <c r="B26" s="282"/>
      <c r="C26" s="70"/>
      <c r="D26" s="70"/>
      <c r="E26" s="71"/>
      <c r="F26" s="72"/>
      <c r="G26" s="10">
        <f t="shared" si="0"/>
        <v>0</v>
      </c>
    </row>
    <row r="27" spans="2:9" x14ac:dyDescent="0.2">
      <c r="B27" s="282"/>
      <c r="C27" s="70"/>
      <c r="D27" s="70"/>
      <c r="E27" s="71"/>
      <c r="F27" s="72"/>
      <c r="G27" s="10">
        <f t="shared" si="0"/>
        <v>0</v>
      </c>
    </row>
    <row r="28" spans="2:9" x14ac:dyDescent="0.2">
      <c r="B28" s="282"/>
      <c r="C28" s="70"/>
      <c r="D28" s="70"/>
      <c r="E28" s="71"/>
      <c r="F28" s="72"/>
      <c r="G28" s="10">
        <f t="shared" si="0"/>
        <v>0</v>
      </c>
    </row>
    <row r="29" spans="2:9" x14ac:dyDescent="0.2">
      <c r="B29" s="282"/>
      <c r="C29" s="70"/>
      <c r="D29" s="70"/>
      <c r="E29" s="71"/>
      <c r="F29" s="72"/>
      <c r="G29" s="10">
        <f t="shared" si="0"/>
        <v>0</v>
      </c>
    </row>
    <row r="30" spans="2:9" x14ac:dyDescent="0.2">
      <c r="B30" s="282"/>
      <c r="C30" s="70"/>
      <c r="D30" s="70"/>
      <c r="E30" s="71"/>
      <c r="F30" s="72"/>
      <c r="G30" s="10">
        <f t="shared" si="0"/>
        <v>0</v>
      </c>
    </row>
    <row r="31" spans="2:9" x14ac:dyDescent="0.2">
      <c r="B31" s="282"/>
      <c r="C31" s="70"/>
      <c r="D31" s="70"/>
      <c r="E31" s="71"/>
      <c r="F31" s="72"/>
      <c r="G31" s="10">
        <f t="shared" si="0"/>
        <v>0</v>
      </c>
    </row>
    <row r="32" spans="2:9" x14ac:dyDescent="0.2">
      <c r="B32" s="282"/>
      <c r="C32" s="70"/>
      <c r="D32" s="70"/>
      <c r="E32" s="71"/>
      <c r="F32" s="72"/>
      <c r="G32" s="10">
        <f t="shared" si="0"/>
        <v>0</v>
      </c>
    </row>
    <row r="33" spans="2:9" x14ac:dyDescent="0.2">
      <c r="B33" s="282"/>
      <c r="C33" s="70"/>
      <c r="D33" s="70"/>
      <c r="E33" s="71"/>
      <c r="F33" s="72"/>
      <c r="G33" s="10">
        <f t="shared" si="0"/>
        <v>0</v>
      </c>
    </row>
    <row r="34" spans="2:9" x14ac:dyDescent="0.2">
      <c r="B34" s="282"/>
      <c r="C34" s="70"/>
      <c r="D34" s="70"/>
      <c r="E34" s="71"/>
      <c r="F34" s="72"/>
      <c r="G34" s="10">
        <f t="shared" si="0"/>
        <v>0</v>
      </c>
    </row>
    <row r="35" spans="2:9" x14ac:dyDescent="0.2">
      <c r="B35" s="282"/>
      <c r="C35" s="70"/>
      <c r="D35" s="70"/>
      <c r="E35" s="71"/>
      <c r="F35" s="72"/>
      <c r="G35" s="10">
        <f t="shared" si="0"/>
        <v>0</v>
      </c>
      <c r="I35" s="272"/>
    </row>
    <row r="36" spans="2:9" x14ac:dyDescent="0.2">
      <c r="B36" s="282"/>
      <c r="C36" s="70"/>
      <c r="D36" s="70"/>
      <c r="E36" s="71"/>
      <c r="F36" s="72"/>
      <c r="G36" s="10">
        <f t="shared" si="0"/>
        <v>0</v>
      </c>
      <c r="I36" s="272"/>
    </row>
    <row r="37" spans="2:9" x14ac:dyDescent="0.2">
      <c r="B37" s="282"/>
      <c r="C37" s="70"/>
      <c r="D37" s="70"/>
      <c r="E37" s="71"/>
      <c r="F37" s="72"/>
      <c r="G37" s="10">
        <f t="shared" si="0"/>
        <v>0</v>
      </c>
      <c r="H37" s="272"/>
      <c r="I37" s="272"/>
    </row>
    <row r="38" spans="2:9" x14ac:dyDescent="0.2">
      <c r="B38" s="282"/>
      <c r="C38" s="70"/>
      <c r="D38" s="70"/>
      <c r="E38" s="71"/>
      <c r="F38" s="72"/>
      <c r="G38" s="10">
        <f t="shared" si="0"/>
        <v>0</v>
      </c>
      <c r="H38" s="272"/>
      <c r="I38" s="272"/>
    </row>
    <row r="39" spans="2:9" x14ac:dyDescent="0.2">
      <c r="B39" s="282"/>
      <c r="C39" s="70"/>
      <c r="D39" s="70"/>
      <c r="E39" s="71"/>
      <c r="F39" s="72"/>
      <c r="G39" s="10">
        <f t="shared" si="0"/>
        <v>0</v>
      </c>
      <c r="H39" s="272"/>
      <c r="I39" s="272"/>
    </row>
    <row r="40" spans="2:9" x14ac:dyDescent="0.2">
      <c r="B40" s="282"/>
      <c r="C40" s="70"/>
      <c r="D40" s="70"/>
      <c r="E40" s="71"/>
      <c r="F40" s="72"/>
      <c r="G40" s="10">
        <f t="shared" si="0"/>
        <v>0</v>
      </c>
      <c r="H40" s="272"/>
      <c r="I40" s="272"/>
    </row>
    <row r="41" spans="2:9" x14ac:dyDescent="0.2">
      <c r="B41" s="282"/>
      <c r="C41" s="70"/>
      <c r="D41" s="70"/>
      <c r="E41" s="71"/>
      <c r="F41" s="72"/>
      <c r="G41" s="10">
        <f t="shared" si="0"/>
        <v>0</v>
      </c>
      <c r="H41" s="272"/>
    </row>
    <row r="42" spans="2:9" x14ac:dyDescent="0.2">
      <c r="B42" s="282"/>
      <c r="C42" s="70"/>
      <c r="D42" s="70"/>
      <c r="E42" s="71"/>
      <c r="F42" s="72"/>
      <c r="G42" s="10">
        <f t="shared" si="0"/>
        <v>0</v>
      </c>
      <c r="H42" s="272"/>
    </row>
    <row r="43" spans="2:9" x14ac:dyDescent="0.2">
      <c r="B43" s="282"/>
      <c r="C43" s="70"/>
      <c r="D43" s="70"/>
      <c r="E43" s="71"/>
      <c r="F43" s="72"/>
      <c r="G43" s="10">
        <f t="shared" si="0"/>
        <v>0</v>
      </c>
    </row>
    <row r="44" spans="2:9" x14ac:dyDescent="0.2">
      <c r="B44" s="282"/>
      <c r="C44" s="70"/>
      <c r="D44" s="70"/>
      <c r="E44" s="71"/>
      <c r="F44" s="72"/>
      <c r="G44" s="10">
        <f t="shared" si="0"/>
        <v>0</v>
      </c>
    </row>
    <row r="45" spans="2:9" x14ac:dyDescent="0.2">
      <c r="B45" s="282"/>
      <c r="C45" s="70"/>
      <c r="D45" s="70"/>
      <c r="E45" s="71"/>
      <c r="F45" s="72"/>
      <c r="G45" s="10">
        <f t="shared" si="0"/>
        <v>0</v>
      </c>
    </row>
    <row r="46" spans="2:9" x14ac:dyDescent="0.2">
      <c r="B46" s="282"/>
      <c r="C46" s="70"/>
      <c r="D46" s="70"/>
      <c r="E46" s="71"/>
      <c r="F46" s="72"/>
      <c r="G46" s="10">
        <f>E46*F46</f>
        <v>0</v>
      </c>
    </row>
    <row r="47" spans="2:9" x14ac:dyDescent="0.2">
      <c r="B47" s="273" t="s">
        <v>56</v>
      </c>
      <c r="C47" s="421"/>
      <c r="D47" s="422"/>
      <c r="E47" s="10">
        <f>SUM(E15:E46)</f>
        <v>587893005.52964342</v>
      </c>
      <c r="F47" s="12"/>
      <c r="G47" s="10">
        <f>SUM(G15:G46)</f>
        <v>6382051.236505881</v>
      </c>
    </row>
  </sheetData>
  <sheetProtection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5947F-77F0-49DC-B147-02FAA303FB62}">
  <sheetPr>
    <tabColor theme="5" tint="0.79998168889431442"/>
  </sheetPr>
  <dimension ref="A1"/>
  <sheetViews>
    <sheetView workbookViewId="0"/>
  </sheetViews>
  <sheetFormatPr defaultColWidth="9.28515625" defaultRowHeight="12.75" x14ac:dyDescent="0.2"/>
  <cols>
    <col min="1" max="16384" width="9.28515625" style="316"/>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60" width="14.7109375" customWidth="1"/>
    <col min="61" max="61" width="13.5703125" customWidth="1"/>
  </cols>
  <sheetData>
    <row r="1" spans="2:61" ht="20.25" customHeight="1" x14ac:dyDescent="0.2">
      <c r="B1" s="135" t="s">
        <v>53</v>
      </c>
      <c r="C1" s="135"/>
    </row>
    <row r="2" spans="2:61" ht="20.25" x14ac:dyDescent="0.2">
      <c r="B2" s="135" t="str">
        <f>IF(Tradingname=0," ",Tradingname)</f>
        <v>APA WGP PTY LTD</v>
      </c>
      <c r="C2" s="135"/>
    </row>
    <row r="3" spans="2:61" ht="19.5" customHeight="1" x14ac:dyDescent="0.3">
      <c r="B3" s="135" t="s">
        <v>30</v>
      </c>
      <c r="C3" s="99">
        <f>IF(Yearending=0, "01/01/2000", Yearending)</f>
        <v>45838</v>
      </c>
    </row>
    <row r="4" spans="2:61" ht="20.25" x14ac:dyDescent="0.2">
      <c r="B4" s="91" t="s">
        <v>347</v>
      </c>
      <c r="C4" s="91"/>
    </row>
    <row r="6" spans="2:61" ht="15.75" customHeight="1" x14ac:dyDescent="0.2">
      <c r="B6" s="414" t="s">
        <v>348</v>
      </c>
      <c r="C6" s="414"/>
      <c r="D6" s="414"/>
    </row>
    <row r="7" spans="2:61" ht="15.75" customHeight="1" x14ac:dyDescent="0.2">
      <c r="B7" s="414"/>
      <c r="C7" s="414"/>
      <c r="D7" s="414"/>
    </row>
    <row r="9" spans="2:61" ht="15.75" x14ac:dyDescent="0.25">
      <c r="B9" s="197" t="s">
        <v>349</v>
      </c>
    </row>
    <row r="11" spans="2:61" ht="45" customHeight="1" x14ac:dyDescent="0.2">
      <c r="B11" s="50" t="s">
        <v>113</v>
      </c>
      <c r="C11" s="425" t="s">
        <v>310</v>
      </c>
      <c r="D11" s="426"/>
      <c r="E11" s="302" t="s">
        <v>56</v>
      </c>
      <c r="F11" s="423" t="s">
        <v>250</v>
      </c>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303" t="s">
        <v>350</v>
      </c>
    </row>
    <row r="12" spans="2:61" x14ac:dyDescent="0.2">
      <c r="B12" s="289"/>
      <c r="C12" s="53"/>
      <c r="D12" s="53"/>
      <c r="E12" s="53"/>
      <c r="F12" s="55" t="str">
        <f>RIGHT(TEXT(C43,"dd/mm/yyyy"),4)</f>
        <v>2014</v>
      </c>
      <c r="G12" s="56">
        <f>F12+1</f>
        <v>2015</v>
      </c>
      <c r="H12" s="56">
        <f t="shared" ref="H12:BG12" si="0">G12+1</f>
        <v>2016</v>
      </c>
      <c r="I12" s="56">
        <f t="shared" si="0"/>
        <v>2017</v>
      </c>
      <c r="J12" s="56">
        <f t="shared" si="0"/>
        <v>2018</v>
      </c>
      <c r="K12" s="56">
        <f t="shared" si="0"/>
        <v>2019</v>
      </c>
      <c r="L12" s="56">
        <f t="shared" si="0"/>
        <v>2020</v>
      </c>
      <c r="M12" s="56">
        <f t="shared" si="0"/>
        <v>2021</v>
      </c>
      <c r="N12" s="56">
        <f t="shared" si="0"/>
        <v>2022</v>
      </c>
      <c r="O12" s="56">
        <f t="shared" si="0"/>
        <v>2023</v>
      </c>
      <c r="P12" s="56">
        <f t="shared" si="0"/>
        <v>2024</v>
      </c>
      <c r="Q12" s="56">
        <f t="shared" si="0"/>
        <v>2025</v>
      </c>
      <c r="R12" s="56">
        <f t="shared" si="0"/>
        <v>2026</v>
      </c>
      <c r="S12" s="56">
        <f t="shared" si="0"/>
        <v>2027</v>
      </c>
      <c r="T12" s="56">
        <f t="shared" si="0"/>
        <v>2028</v>
      </c>
      <c r="U12" s="56">
        <f t="shared" si="0"/>
        <v>2029</v>
      </c>
      <c r="V12" s="56">
        <f t="shared" si="0"/>
        <v>2030</v>
      </c>
      <c r="W12" s="56">
        <f t="shared" si="0"/>
        <v>2031</v>
      </c>
      <c r="X12" s="56">
        <f t="shared" si="0"/>
        <v>2032</v>
      </c>
      <c r="Y12" s="56">
        <f t="shared" si="0"/>
        <v>2033</v>
      </c>
      <c r="Z12" s="56">
        <f t="shared" si="0"/>
        <v>2034</v>
      </c>
      <c r="AA12" s="56">
        <f t="shared" si="0"/>
        <v>2035</v>
      </c>
      <c r="AB12" s="56">
        <f t="shared" si="0"/>
        <v>2036</v>
      </c>
      <c r="AC12" s="56">
        <f t="shared" si="0"/>
        <v>2037</v>
      </c>
      <c r="AD12" s="56">
        <f t="shared" si="0"/>
        <v>2038</v>
      </c>
      <c r="AE12" s="56">
        <f t="shared" si="0"/>
        <v>2039</v>
      </c>
      <c r="AF12" s="56">
        <f t="shared" si="0"/>
        <v>2040</v>
      </c>
      <c r="AG12" s="56">
        <f t="shared" si="0"/>
        <v>2041</v>
      </c>
      <c r="AH12" s="56">
        <f t="shared" si="0"/>
        <v>2042</v>
      </c>
      <c r="AI12" s="56">
        <f t="shared" si="0"/>
        <v>2043</v>
      </c>
      <c r="AJ12" s="56">
        <f t="shared" si="0"/>
        <v>2044</v>
      </c>
      <c r="AK12" s="56">
        <f t="shared" si="0"/>
        <v>2045</v>
      </c>
      <c r="AL12" s="56">
        <f t="shared" si="0"/>
        <v>2046</v>
      </c>
      <c r="AM12" s="56">
        <f t="shared" si="0"/>
        <v>2047</v>
      </c>
      <c r="AN12" s="56">
        <f t="shared" si="0"/>
        <v>2048</v>
      </c>
      <c r="AO12" s="56">
        <f t="shared" si="0"/>
        <v>2049</v>
      </c>
      <c r="AP12" s="56">
        <f t="shared" si="0"/>
        <v>2050</v>
      </c>
      <c r="AQ12" s="56">
        <f t="shared" si="0"/>
        <v>2051</v>
      </c>
      <c r="AR12" s="56">
        <f t="shared" si="0"/>
        <v>2052</v>
      </c>
      <c r="AS12" s="56">
        <f t="shared" si="0"/>
        <v>2053</v>
      </c>
      <c r="AT12" s="56">
        <f t="shared" si="0"/>
        <v>2054</v>
      </c>
      <c r="AU12" s="56">
        <f t="shared" si="0"/>
        <v>2055</v>
      </c>
      <c r="AV12" s="56">
        <f t="shared" si="0"/>
        <v>2056</v>
      </c>
      <c r="AW12" s="56">
        <f t="shared" si="0"/>
        <v>2057</v>
      </c>
      <c r="AX12" s="56">
        <f t="shared" si="0"/>
        <v>2058</v>
      </c>
      <c r="AY12" s="56">
        <f t="shared" si="0"/>
        <v>2059</v>
      </c>
      <c r="AZ12" s="56">
        <f t="shared" si="0"/>
        <v>2060</v>
      </c>
      <c r="BA12" s="56">
        <f t="shared" si="0"/>
        <v>2061</v>
      </c>
      <c r="BB12" s="56">
        <f t="shared" si="0"/>
        <v>2062</v>
      </c>
      <c r="BC12" s="56">
        <f t="shared" si="0"/>
        <v>2063</v>
      </c>
      <c r="BD12" s="56">
        <f t="shared" si="0"/>
        <v>2064</v>
      </c>
      <c r="BE12" s="56">
        <f t="shared" si="0"/>
        <v>2065</v>
      </c>
      <c r="BF12" s="56">
        <f t="shared" si="0"/>
        <v>2066</v>
      </c>
      <c r="BG12" s="56">
        <f t="shared" si="0"/>
        <v>2067</v>
      </c>
      <c r="BH12" s="56">
        <f>BG12+1</f>
        <v>2068</v>
      </c>
    </row>
    <row r="13" spans="2:61" x14ac:dyDescent="0.2">
      <c r="B13" s="332" t="s">
        <v>514</v>
      </c>
      <c r="C13" s="57" t="s">
        <v>202</v>
      </c>
      <c r="D13" s="58"/>
      <c r="E13" s="10"/>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row>
    <row r="14" spans="2:61" x14ac:dyDescent="0.2">
      <c r="B14" s="290"/>
      <c r="C14" s="57"/>
      <c r="D14" s="58" t="s">
        <v>351</v>
      </c>
      <c r="E14" s="10">
        <f t="shared" ref="E14:E20" si="1">SUM(F14:BH14)</f>
        <v>0</v>
      </c>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row>
    <row r="15" spans="2:61" x14ac:dyDescent="0.2">
      <c r="B15" s="290"/>
      <c r="C15" s="57"/>
      <c r="D15" s="58" t="s">
        <v>352</v>
      </c>
      <c r="E15" s="10">
        <f t="shared" si="1"/>
        <v>0</v>
      </c>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row>
    <row r="16" spans="2:61" x14ac:dyDescent="0.2">
      <c r="B16" s="290"/>
      <c r="C16" s="57"/>
      <c r="D16" s="58" t="s">
        <v>205</v>
      </c>
      <c r="E16" s="10">
        <f t="shared" si="1"/>
        <v>0</v>
      </c>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row>
    <row r="17" spans="2:62" x14ac:dyDescent="0.2">
      <c r="B17" s="290"/>
      <c r="C17" s="57"/>
      <c r="D17" s="58" t="s">
        <v>353</v>
      </c>
      <c r="E17" s="10">
        <f t="shared" si="1"/>
        <v>0</v>
      </c>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row>
    <row r="18" spans="2:62" x14ac:dyDescent="0.2">
      <c r="B18" s="290"/>
      <c r="C18" s="57"/>
      <c r="D18" s="58" t="s">
        <v>354</v>
      </c>
      <c r="E18" s="10">
        <f t="shared" si="1"/>
        <v>0</v>
      </c>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row>
    <row r="19" spans="2:62" x14ac:dyDescent="0.2">
      <c r="B19" s="290"/>
      <c r="C19" s="57"/>
      <c r="D19" s="58" t="s">
        <v>355</v>
      </c>
      <c r="E19" s="10">
        <f t="shared" si="1"/>
        <v>0</v>
      </c>
      <c r="F19" s="66">
        <v>0</v>
      </c>
      <c r="G19" s="66">
        <v>0</v>
      </c>
      <c r="H19" s="66">
        <v>0</v>
      </c>
      <c r="I19" s="66">
        <v>0</v>
      </c>
      <c r="J19" s="66">
        <v>0</v>
      </c>
      <c r="K19" s="66">
        <v>0</v>
      </c>
      <c r="L19" s="66">
        <v>0</v>
      </c>
      <c r="M19" s="66">
        <v>0</v>
      </c>
      <c r="N19" s="66">
        <v>0</v>
      </c>
      <c r="O19" s="66">
        <v>0</v>
      </c>
      <c r="P19" s="66">
        <v>0</v>
      </c>
      <c r="Q19" s="66">
        <v>0</v>
      </c>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row>
    <row r="20" spans="2:62" x14ac:dyDescent="0.2">
      <c r="B20" s="290"/>
      <c r="C20" s="57"/>
      <c r="D20" s="212" t="s">
        <v>356</v>
      </c>
      <c r="E20" s="10">
        <f t="shared" si="1"/>
        <v>0</v>
      </c>
      <c r="F20" s="11">
        <f t="shared" ref="F20:AK20" si="2">SUM(F13:F19)</f>
        <v>0</v>
      </c>
      <c r="G20" s="11">
        <f t="shared" si="2"/>
        <v>0</v>
      </c>
      <c r="H20" s="11">
        <f t="shared" si="2"/>
        <v>0</v>
      </c>
      <c r="I20" s="11">
        <f t="shared" si="2"/>
        <v>0</v>
      </c>
      <c r="J20" s="11">
        <f t="shared" si="2"/>
        <v>0</v>
      </c>
      <c r="K20" s="11">
        <f t="shared" si="2"/>
        <v>0</v>
      </c>
      <c r="L20" s="11">
        <f t="shared" si="2"/>
        <v>0</v>
      </c>
      <c r="M20" s="11">
        <f t="shared" si="2"/>
        <v>0</v>
      </c>
      <c r="N20" s="11">
        <f t="shared" si="2"/>
        <v>0</v>
      </c>
      <c r="O20" s="11">
        <f t="shared" si="2"/>
        <v>0</v>
      </c>
      <c r="P20" s="11">
        <f t="shared" si="2"/>
        <v>0</v>
      </c>
      <c r="Q20" s="11">
        <f t="shared" si="2"/>
        <v>0</v>
      </c>
      <c r="R20" s="11">
        <f t="shared" si="2"/>
        <v>0</v>
      </c>
      <c r="S20" s="11">
        <f t="shared" si="2"/>
        <v>0</v>
      </c>
      <c r="T20" s="11">
        <f t="shared" si="2"/>
        <v>0</v>
      </c>
      <c r="U20" s="11">
        <f t="shared" si="2"/>
        <v>0</v>
      </c>
      <c r="V20" s="11">
        <f t="shared" si="2"/>
        <v>0</v>
      </c>
      <c r="W20" s="11">
        <f t="shared" si="2"/>
        <v>0</v>
      </c>
      <c r="X20" s="11">
        <f t="shared" si="2"/>
        <v>0</v>
      </c>
      <c r="Y20" s="11">
        <f t="shared" si="2"/>
        <v>0</v>
      </c>
      <c r="Z20" s="11">
        <f t="shared" si="2"/>
        <v>0</v>
      </c>
      <c r="AA20" s="11">
        <f t="shared" si="2"/>
        <v>0</v>
      </c>
      <c r="AB20" s="11">
        <f t="shared" si="2"/>
        <v>0</v>
      </c>
      <c r="AC20" s="11">
        <f t="shared" si="2"/>
        <v>0</v>
      </c>
      <c r="AD20" s="11">
        <f t="shared" si="2"/>
        <v>0</v>
      </c>
      <c r="AE20" s="11">
        <f t="shared" si="2"/>
        <v>0</v>
      </c>
      <c r="AF20" s="11">
        <f t="shared" si="2"/>
        <v>0</v>
      </c>
      <c r="AG20" s="11">
        <f t="shared" si="2"/>
        <v>0</v>
      </c>
      <c r="AH20" s="11">
        <f t="shared" si="2"/>
        <v>0</v>
      </c>
      <c r="AI20" s="11">
        <f t="shared" si="2"/>
        <v>0</v>
      </c>
      <c r="AJ20" s="11">
        <f t="shared" si="2"/>
        <v>0</v>
      </c>
      <c r="AK20" s="11">
        <f t="shared" si="2"/>
        <v>0</v>
      </c>
      <c r="AL20" s="11">
        <f t="shared" ref="AL20:BH20" si="3">SUM(AL13:AL19)</f>
        <v>0</v>
      </c>
      <c r="AM20" s="11">
        <f t="shared" si="3"/>
        <v>0</v>
      </c>
      <c r="AN20" s="11">
        <f t="shared" si="3"/>
        <v>0</v>
      </c>
      <c r="AO20" s="11">
        <f t="shared" si="3"/>
        <v>0</v>
      </c>
      <c r="AP20" s="11">
        <f t="shared" si="3"/>
        <v>0</v>
      </c>
      <c r="AQ20" s="11">
        <f t="shared" si="3"/>
        <v>0</v>
      </c>
      <c r="AR20" s="11">
        <f t="shared" si="3"/>
        <v>0</v>
      </c>
      <c r="AS20" s="11">
        <f t="shared" si="3"/>
        <v>0</v>
      </c>
      <c r="AT20" s="11">
        <f t="shared" si="3"/>
        <v>0</v>
      </c>
      <c r="AU20" s="11">
        <f t="shared" si="3"/>
        <v>0</v>
      </c>
      <c r="AV20" s="11">
        <f t="shared" si="3"/>
        <v>0</v>
      </c>
      <c r="AW20" s="11">
        <f t="shared" si="3"/>
        <v>0</v>
      </c>
      <c r="AX20" s="11">
        <f t="shared" si="3"/>
        <v>0</v>
      </c>
      <c r="AY20" s="11">
        <f t="shared" si="3"/>
        <v>0</v>
      </c>
      <c r="AZ20" s="11">
        <f t="shared" si="3"/>
        <v>0</v>
      </c>
      <c r="BA20" s="11">
        <f t="shared" si="3"/>
        <v>0</v>
      </c>
      <c r="BB20" s="11">
        <f t="shared" si="3"/>
        <v>0</v>
      </c>
      <c r="BC20" s="11">
        <f t="shared" si="3"/>
        <v>0</v>
      </c>
      <c r="BD20" s="11">
        <f t="shared" si="3"/>
        <v>0</v>
      </c>
      <c r="BE20" s="11">
        <f t="shared" si="3"/>
        <v>0</v>
      </c>
      <c r="BF20" s="11">
        <f t="shared" si="3"/>
        <v>0</v>
      </c>
      <c r="BG20" s="11">
        <f t="shared" si="3"/>
        <v>0</v>
      </c>
      <c r="BH20" s="11">
        <f t="shared" si="3"/>
        <v>0</v>
      </c>
    </row>
    <row r="21" spans="2:62" x14ac:dyDescent="0.2">
      <c r="B21" s="290"/>
      <c r="C21" s="57" t="s">
        <v>357</v>
      </c>
      <c r="D21" s="57"/>
      <c r="E21" s="10"/>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row>
    <row r="22" spans="2:62" ht="25.5" x14ac:dyDescent="0.2">
      <c r="B22" s="290"/>
      <c r="C22" s="57"/>
      <c r="D22" s="58" t="s">
        <v>358</v>
      </c>
      <c r="E22" s="10">
        <f t="shared" ref="E22:E27" si="4">SUM(F22:BH22)</f>
        <v>0</v>
      </c>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row>
    <row r="23" spans="2:62" x14ac:dyDescent="0.2">
      <c r="B23" s="290"/>
      <c r="C23" s="57"/>
      <c r="D23" s="58" t="s">
        <v>352</v>
      </c>
      <c r="E23" s="10">
        <f t="shared" si="4"/>
        <v>0</v>
      </c>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row>
    <row r="24" spans="2:62" x14ac:dyDescent="0.2">
      <c r="B24" s="290"/>
      <c r="C24" s="57"/>
      <c r="D24" s="58" t="s">
        <v>205</v>
      </c>
      <c r="E24" s="10">
        <f t="shared" si="4"/>
        <v>0</v>
      </c>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row>
    <row r="25" spans="2:62" x14ac:dyDescent="0.2">
      <c r="B25" s="290"/>
      <c r="C25" s="57"/>
      <c r="D25" s="58" t="s">
        <v>353</v>
      </c>
      <c r="E25" s="10">
        <f t="shared" si="4"/>
        <v>0</v>
      </c>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row>
    <row r="26" spans="2:62" x14ac:dyDescent="0.2">
      <c r="B26" s="290"/>
      <c r="C26" s="57"/>
      <c r="D26" s="58" t="s">
        <v>354</v>
      </c>
      <c r="E26" s="10">
        <f t="shared" si="4"/>
        <v>0</v>
      </c>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row>
    <row r="27" spans="2:62" x14ac:dyDescent="0.2">
      <c r="B27" s="290"/>
      <c r="C27" s="57"/>
      <c r="D27" s="58" t="s">
        <v>355</v>
      </c>
      <c r="E27" s="10">
        <f t="shared" si="4"/>
        <v>0</v>
      </c>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row>
    <row r="28" spans="2:62" x14ac:dyDescent="0.2">
      <c r="B28" s="290"/>
      <c r="C28" s="57"/>
      <c r="D28" s="212" t="s">
        <v>359</v>
      </c>
      <c r="E28" s="10">
        <f>SUM(F28:BH28)</f>
        <v>0</v>
      </c>
      <c r="F28" s="11">
        <f>SUM(F22:F27)</f>
        <v>0</v>
      </c>
      <c r="G28" s="11">
        <f t="shared" ref="G28:BH28" si="5">SUM(G22:G27)</f>
        <v>0</v>
      </c>
      <c r="H28" s="11">
        <f t="shared" si="5"/>
        <v>0</v>
      </c>
      <c r="I28" s="11">
        <f t="shared" si="5"/>
        <v>0</v>
      </c>
      <c r="J28" s="11">
        <f t="shared" si="5"/>
        <v>0</v>
      </c>
      <c r="K28" s="11">
        <f t="shared" si="5"/>
        <v>0</v>
      </c>
      <c r="L28" s="11">
        <f t="shared" si="5"/>
        <v>0</v>
      </c>
      <c r="M28" s="11">
        <f t="shared" si="5"/>
        <v>0</v>
      </c>
      <c r="N28" s="11">
        <f t="shared" si="5"/>
        <v>0</v>
      </c>
      <c r="O28" s="11">
        <f t="shared" si="5"/>
        <v>0</v>
      </c>
      <c r="P28" s="11">
        <f t="shared" si="5"/>
        <v>0</v>
      </c>
      <c r="Q28" s="11">
        <f t="shared" si="5"/>
        <v>0</v>
      </c>
      <c r="R28" s="11">
        <f t="shared" si="5"/>
        <v>0</v>
      </c>
      <c r="S28" s="11">
        <f t="shared" si="5"/>
        <v>0</v>
      </c>
      <c r="T28" s="11">
        <f t="shared" si="5"/>
        <v>0</v>
      </c>
      <c r="U28" s="11">
        <f t="shared" si="5"/>
        <v>0</v>
      </c>
      <c r="V28" s="11">
        <f t="shared" si="5"/>
        <v>0</v>
      </c>
      <c r="W28" s="11">
        <f t="shared" si="5"/>
        <v>0</v>
      </c>
      <c r="X28" s="11">
        <f t="shared" si="5"/>
        <v>0</v>
      </c>
      <c r="Y28" s="11">
        <f t="shared" si="5"/>
        <v>0</v>
      </c>
      <c r="Z28" s="11">
        <f t="shared" si="5"/>
        <v>0</v>
      </c>
      <c r="AA28" s="11">
        <f t="shared" si="5"/>
        <v>0</v>
      </c>
      <c r="AB28" s="11">
        <f t="shared" si="5"/>
        <v>0</v>
      </c>
      <c r="AC28" s="11">
        <f t="shared" si="5"/>
        <v>0</v>
      </c>
      <c r="AD28" s="11">
        <f t="shared" si="5"/>
        <v>0</v>
      </c>
      <c r="AE28" s="11">
        <f t="shared" si="5"/>
        <v>0</v>
      </c>
      <c r="AF28" s="11">
        <f t="shared" si="5"/>
        <v>0</v>
      </c>
      <c r="AG28" s="11">
        <f t="shared" si="5"/>
        <v>0</v>
      </c>
      <c r="AH28" s="11">
        <f t="shared" si="5"/>
        <v>0</v>
      </c>
      <c r="AI28" s="11">
        <f t="shared" si="5"/>
        <v>0</v>
      </c>
      <c r="AJ28" s="11">
        <f t="shared" si="5"/>
        <v>0</v>
      </c>
      <c r="AK28" s="11">
        <f t="shared" si="5"/>
        <v>0</v>
      </c>
      <c r="AL28" s="11">
        <f t="shared" si="5"/>
        <v>0</v>
      </c>
      <c r="AM28" s="11">
        <f t="shared" si="5"/>
        <v>0</v>
      </c>
      <c r="AN28" s="11">
        <f t="shared" si="5"/>
        <v>0</v>
      </c>
      <c r="AO28" s="11">
        <f t="shared" si="5"/>
        <v>0</v>
      </c>
      <c r="AP28" s="11">
        <f t="shared" si="5"/>
        <v>0</v>
      </c>
      <c r="AQ28" s="11">
        <f t="shared" si="5"/>
        <v>0</v>
      </c>
      <c r="AR28" s="11">
        <f t="shared" si="5"/>
        <v>0</v>
      </c>
      <c r="AS28" s="11">
        <f t="shared" si="5"/>
        <v>0</v>
      </c>
      <c r="AT28" s="11">
        <f t="shared" si="5"/>
        <v>0</v>
      </c>
      <c r="AU28" s="11">
        <f t="shared" si="5"/>
        <v>0</v>
      </c>
      <c r="AV28" s="11">
        <f t="shared" si="5"/>
        <v>0</v>
      </c>
      <c r="AW28" s="11">
        <f t="shared" si="5"/>
        <v>0</v>
      </c>
      <c r="AX28" s="11">
        <f t="shared" si="5"/>
        <v>0</v>
      </c>
      <c r="AY28" s="11">
        <f t="shared" si="5"/>
        <v>0</v>
      </c>
      <c r="AZ28" s="11">
        <f t="shared" si="5"/>
        <v>0</v>
      </c>
      <c r="BA28" s="11">
        <f t="shared" si="5"/>
        <v>0</v>
      </c>
      <c r="BB28" s="11">
        <f t="shared" si="5"/>
        <v>0</v>
      </c>
      <c r="BC28" s="11">
        <f t="shared" si="5"/>
        <v>0</v>
      </c>
      <c r="BD28" s="11">
        <f t="shared" si="5"/>
        <v>0</v>
      </c>
      <c r="BE28" s="11">
        <f t="shared" si="5"/>
        <v>0</v>
      </c>
      <c r="BF28" s="11">
        <f t="shared" si="5"/>
        <v>0</v>
      </c>
      <c r="BG28" s="11">
        <f t="shared" si="5"/>
        <v>0</v>
      </c>
      <c r="BH28" s="11">
        <f t="shared" si="5"/>
        <v>0</v>
      </c>
    </row>
    <row r="29" spans="2:62" x14ac:dyDescent="0.2">
      <c r="B29" s="290"/>
      <c r="C29" s="57"/>
      <c r="D29" s="57" t="s">
        <v>70</v>
      </c>
      <c r="E29" s="10">
        <f>E20+E28</f>
        <v>0</v>
      </c>
      <c r="F29" s="10">
        <f>F20+F28</f>
        <v>0</v>
      </c>
      <c r="G29" s="10">
        <f t="shared" ref="G29:AJ29" si="6">G20+G28</f>
        <v>0</v>
      </c>
      <c r="H29" s="10">
        <f t="shared" si="6"/>
        <v>0</v>
      </c>
      <c r="I29" s="10">
        <f t="shared" si="6"/>
        <v>0</v>
      </c>
      <c r="J29" s="10">
        <f t="shared" si="6"/>
        <v>0</v>
      </c>
      <c r="K29" s="10">
        <f t="shared" si="6"/>
        <v>0</v>
      </c>
      <c r="L29" s="10">
        <f t="shared" si="6"/>
        <v>0</v>
      </c>
      <c r="M29" s="10">
        <f t="shared" si="6"/>
        <v>0</v>
      </c>
      <c r="N29" s="10">
        <f t="shared" si="6"/>
        <v>0</v>
      </c>
      <c r="O29" s="10">
        <f t="shared" si="6"/>
        <v>0</v>
      </c>
      <c r="P29" s="10">
        <f t="shared" si="6"/>
        <v>0</v>
      </c>
      <c r="Q29" s="10">
        <f t="shared" si="6"/>
        <v>0</v>
      </c>
      <c r="R29" s="10">
        <f t="shared" si="6"/>
        <v>0</v>
      </c>
      <c r="S29" s="10">
        <f t="shared" si="6"/>
        <v>0</v>
      </c>
      <c r="T29" s="10">
        <f t="shared" si="6"/>
        <v>0</v>
      </c>
      <c r="U29" s="10">
        <f t="shared" si="6"/>
        <v>0</v>
      </c>
      <c r="V29" s="10">
        <f t="shared" si="6"/>
        <v>0</v>
      </c>
      <c r="W29" s="10">
        <f t="shared" si="6"/>
        <v>0</v>
      </c>
      <c r="X29" s="10">
        <f t="shared" si="6"/>
        <v>0</v>
      </c>
      <c r="Y29" s="10">
        <f t="shared" si="6"/>
        <v>0</v>
      </c>
      <c r="Z29" s="10">
        <f t="shared" si="6"/>
        <v>0</v>
      </c>
      <c r="AA29" s="10">
        <f t="shared" si="6"/>
        <v>0</v>
      </c>
      <c r="AB29" s="10">
        <f t="shared" si="6"/>
        <v>0</v>
      </c>
      <c r="AC29" s="10">
        <f t="shared" si="6"/>
        <v>0</v>
      </c>
      <c r="AD29" s="10">
        <f t="shared" si="6"/>
        <v>0</v>
      </c>
      <c r="AE29" s="10">
        <f t="shared" si="6"/>
        <v>0</v>
      </c>
      <c r="AF29" s="10">
        <f t="shared" si="6"/>
        <v>0</v>
      </c>
      <c r="AG29" s="10">
        <f t="shared" si="6"/>
        <v>0</v>
      </c>
      <c r="AH29" s="10">
        <f t="shared" si="6"/>
        <v>0</v>
      </c>
      <c r="AI29" s="10">
        <f t="shared" si="6"/>
        <v>0</v>
      </c>
      <c r="AJ29" s="10">
        <f t="shared" si="6"/>
        <v>0</v>
      </c>
      <c r="AK29" s="10">
        <f t="shared" ref="AK29:BH29" si="7">AK20+AK28</f>
        <v>0</v>
      </c>
      <c r="AL29" s="10">
        <f t="shared" si="7"/>
        <v>0</v>
      </c>
      <c r="AM29" s="10">
        <f t="shared" si="7"/>
        <v>0</v>
      </c>
      <c r="AN29" s="10">
        <f t="shared" si="7"/>
        <v>0</v>
      </c>
      <c r="AO29" s="10">
        <f t="shared" si="7"/>
        <v>0</v>
      </c>
      <c r="AP29" s="10">
        <f t="shared" si="7"/>
        <v>0</v>
      </c>
      <c r="AQ29" s="10">
        <f t="shared" si="7"/>
        <v>0</v>
      </c>
      <c r="AR29" s="10">
        <f t="shared" si="7"/>
        <v>0</v>
      </c>
      <c r="AS29" s="10">
        <f t="shared" si="7"/>
        <v>0</v>
      </c>
      <c r="AT29" s="10">
        <f t="shared" si="7"/>
        <v>0</v>
      </c>
      <c r="AU29" s="10">
        <f t="shared" si="7"/>
        <v>0</v>
      </c>
      <c r="AV29" s="10">
        <f t="shared" si="7"/>
        <v>0</v>
      </c>
      <c r="AW29" s="10">
        <f t="shared" si="7"/>
        <v>0</v>
      </c>
      <c r="AX29" s="10">
        <f t="shared" si="7"/>
        <v>0</v>
      </c>
      <c r="AY29" s="10">
        <f t="shared" si="7"/>
        <v>0</v>
      </c>
      <c r="AZ29" s="10">
        <f t="shared" si="7"/>
        <v>0</v>
      </c>
      <c r="BA29" s="10">
        <f t="shared" si="7"/>
        <v>0</v>
      </c>
      <c r="BB29" s="10">
        <f t="shared" si="7"/>
        <v>0</v>
      </c>
      <c r="BC29" s="10">
        <f t="shared" si="7"/>
        <v>0</v>
      </c>
      <c r="BD29" s="10">
        <f t="shared" si="7"/>
        <v>0</v>
      </c>
      <c r="BE29" s="10">
        <f t="shared" si="7"/>
        <v>0</v>
      </c>
      <c r="BF29" s="10">
        <f t="shared" si="7"/>
        <v>0</v>
      </c>
      <c r="BG29" s="10">
        <f t="shared" si="7"/>
        <v>0</v>
      </c>
      <c r="BH29" s="10">
        <f t="shared" si="7"/>
        <v>0</v>
      </c>
    </row>
    <row r="30" spans="2:62" x14ac:dyDescent="0.2">
      <c r="B30" s="290"/>
      <c r="C30" s="57" t="s">
        <v>360</v>
      </c>
      <c r="D30" s="57"/>
      <c r="E30" s="10"/>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row>
    <row r="31" spans="2:62" x14ac:dyDescent="0.2">
      <c r="B31" s="290"/>
      <c r="C31" s="57"/>
      <c r="D31" s="59" t="s">
        <v>117</v>
      </c>
      <c r="E31" s="10">
        <f t="shared" ref="E31:E37" si="8">SUM(F31:BH31)</f>
        <v>0</v>
      </c>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row>
    <row r="32" spans="2:62" x14ac:dyDescent="0.2">
      <c r="B32" s="290"/>
      <c r="C32" s="57"/>
      <c r="D32" s="59" t="s">
        <v>361</v>
      </c>
      <c r="E32" s="10">
        <f t="shared" si="8"/>
        <v>0</v>
      </c>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J32" s="6"/>
    </row>
    <row r="33" spans="2:60" x14ac:dyDescent="0.2">
      <c r="B33" s="290"/>
      <c r="C33" s="57"/>
      <c r="D33" s="59" t="s">
        <v>362</v>
      </c>
      <c r="E33" s="10">
        <f t="shared" si="8"/>
        <v>0</v>
      </c>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row>
    <row r="34" spans="2:60" x14ac:dyDescent="0.2">
      <c r="B34" s="290"/>
      <c r="C34" s="57"/>
      <c r="D34" s="58" t="s">
        <v>363</v>
      </c>
      <c r="E34" s="10">
        <f t="shared" si="8"/>
        <v>0</v>
      </c>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2:60" x14ac:dyDescent="0.2">
      <c r="B35" s="290"/>
      <c r="C35" s="57"/>
      <c r="D35" s="59" t="s">
        <v>364</v>
      </c>
      <c r="E35" s="10">
        <f t="shared" si="8"/>
        <v>0</v>
      </c>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row>
    <row r="36" spans="2:60" x14ac:dyDescent="0.2">
      <c r="B36" s="290"/>
      <c r="C36" s="57"/>
      <c r="D36" s="57" t="s">
        <v>365</v>
      </c>
      <c r="E36" s="10">
        <f t="shared" si="8"/>
        <v>0</v>
      </c>
      <c r="F36" s="11">
        <f>SUM(F31:F35)</f>
        <v>0</v>
      </c>
      <c r="G36" s="11">
        <f t="shared" ref="G36:AK36" si="9">SUM(G31:G35)</f>
        <v>0</v>
      </c>
      <c r="H36" s="11">
        <f t="shared" si="9"/>
        <v>0</v>
      </c>
      <c r="I36" s="11">
        <f t="shared" si="9"/>
        <v>0</v>
      </c>
      <c r="J36" s="11">
        <f t="shared" si="9"/>
        <v>0</v>
      </c>
      <c r="K36" s="11">
        <f t="shared" si="9"/>
        <v>0</v>
      </c>
      <c r="L36" s="11">
        <f t="shared" si="9"/>
        <v>0</v>
      </c>
      <c r="M36" s="11">
        <f t="shared" si="9"/>
        <v>0</v>
      </c>
      <c r="N36" s="11">
        <f t="shared" si="9"/>
        <v>0</v>
      </c>
      <c r="O36" s="11">
        <f t="shared" si="9"/>
        <v>0</v>
      </c>
      <c r="P36" s="11">
        <f t="shared" si="9"/>
        <v>0</v>
      </c>
      <c r="Q36" s="11">
        <f t="shared" si="9"/>
        <v>0</v>
      </c>
      <c r="R36" s="11">
        <f t="shared" si="9"/>
        <v>0</v>
      </c>
      <c r="S36" s="11">
        <f t="shared" si="9"/>
        <v>0</v>
      </c>
      <c r="T36" s="11">
        <f t="shared" si="9"/>
        <v>0</v>
      </c>
      <c r="U36" s="11">
        <f t="shared" si="9"/>
        <v>0</v>
      </c>
      <c r="V36" s="11">
        <f t="shared" si="9"/>
        <v>0</v>
      </c>
      <c r="W36" s="11">
        <f t="shared" si="9"/>
        <v>0</v>
      </c>
      <c r="X36" s="11">
        <f t="shared" si="9"/>
        <v>0</v>
      </c>
      <c r="Y36" s="11">
        <f t="shared" si="9"/>
        <v>0</v>
      </c>
      <c r="Z36" s="11">
        <f t="shared" si="9"/>
        <v>0</v>
      </c>
      <c r="AA36" s="11">
        <f t="shared" si="9"/>
        <v>0</v>
      </c>
      <c r="AB36" s="11">
        <f t="shared" si="9"/>
        <v>0</v>
      </c>
      <c r="AC36" s="11">
        <f t="shared" si="9"/>
        <v>0</v>
      </c>
      <c r="AD36" s="11">
        <f t="shared" si="9"/>
        <v>0</v>
      </c>
      <c r="AE36" s="11">
        <f t="shared" si="9"/>
        <v>0</v>
      </c>
      <c r="AF36" s="11">
        <f t="shared" si="9"/>
        <v>0</v>
      </c>
      <c r="AG36" s="11">
        <f t="shared" si="9"/>
        <v>0</v>
      </c>
      <c r="AH36" s="11">
        <f t="shared" si="9"/>
        <v>0</v>
      </c>
      <c r="AI36" s="11">
        <f t="shared" si="9"/>
        <v>0</v>
      </c>
      <c r="AJ36" s="11">
        <f t="shared" si="9"/>
        <v>0</v>
      </c>
      <c r="AK36" s="11">
        <f t="shared" si="9"/>
        <v>0</v>
      </c>
      <c r="AL36" s="11">
        <f t="shared" ref="AL36:BH36" si="10">SUM(AL31:AL35)</f>
        <v>0</v>
      </c>
      <c r="AM36" s="11">
        <f t="shared" si="10"/>
        <v>0</v>
      </c>
      <c r="AN36" s="11">
        <f t="shared" si="10"/>
        <v>0</v>
      </c>
      <c r="AO36" s="11">
        <f t="shared" si="10"/>
        <v>0</v>
      </c>
      <c r="AP36" s="11">
        <f t="shared" si="10"/>
        <v>0</v>
      </c>
      <c r="AQ36" s="11">
        <f t="shared" si="10"/>
        <v>0</v>
      </c>
      <c r="AR36" s="11">
        <f t="shared" si="10"/>
        <v>0</v>
      </c>
      <c r="AS36" s="11">
        <f t="shared" si="10"/>
        <v>0</v>
      </c>
      <c r="AT36" s="11">
        <f t="shared" si="10"/>
        <v>0</v>
      </c>
      <c r="AU36" s="11">
        <f t="shared" si="10"/>
        <v>0</v>
      </c>
      <c r="AV36" s="11">
        <f t="shared" si="10"/>
        <v>0</v>
      </c>
      <c r="AW36" s="11">
        <f t="shared" si="10"/>
        <v>0</v>
      </c>
      <c r="AX36" s="11">
        <f t="shared" si="10"/>
        <v>0</v>
      </c>
      <c r="AY36" s="11">
        <f t="shared" si="10"/>
        <v>0</v>
      </c>
      <c r="AZ36" s="11">
        <f t="shared" si="10"/>
        <v>0</v>
      </c>
      <c r="BA36" s="11">
        <f t="shared" si="10"/>
        <v>0</v>
      </c>
      <c r="BB36" s="11">
        <f t="shared" si="10"/>
        <v>0</v>
      </c>
      <c r="BC36" s="11">
        <f t="shared" si="10"/>
        <v>0</v>
      </c>
      <c r="BD36" s="11">
        <f t="shared" si="10"/>
        <v>0</v>
      </c>
      <c r="BE36" s="11">
        <f t="shared" si="10"/>
        <v>0</v>
      </c>
      <c r="BF36" s="11">
        <f t="shared" si="10"/>
        <v>0</v>
      </c>
      <c r="BG36" s="11">
        <f t="shared" si="10"/>
        <v>0</v>
      </c>
      <c r="BH36" s="11">
        <f t="shared" si="10"/>
        <v>0</v>
      </c>
    </row>
    <row r="37" spans="2:60" ht="23.25" customHeight="1" x14ac:dyDescent="0.2">
      <c r="B37" s="290"/>
      <c r="C37" s="88"/>
      <c r="D37" s="82" t="s">
        <v>366</v>
      </c>
      <c r="E37" s="90">
        <f t="shared" si="8"/>
        <v>0</v>
      </c>
      <c r="F37" s="11">
        <f>F20+F28-F36</f>
        <v>0</v>
      </c>
      <c r="G37" s="11">
        <f t="shared" ref="G37:AK37" si="11">G20+G28-G36</f>
        <v>0</v>
      </c>
      <c r="H37" s="11">
        <f t="shared" si="11"/>
        <v>0</v>
      </c>
      <c r="I37" s="11">
        <f t="shared" si="11"/>
        <v>0</v>
      </c>
      <c r="J37" s="11">
        <f t="shared" si="11"/>
        <v>0</v>
      </c>
      <c r="K37" s="11">
        <f t="shared" si="11"/>
        <v>0</v>
      </c>
      <c r="L37" s="11">
        <f t="shared" si="11"/>
        <v>0</v>
      </c>
      <c r="M37" s="11">
        <f t="shared" si="11"/>
        <v>0</v>
      </c>
      <c r="N37" s="11">
        <f t="shared" si="11"/>
        <v>0</v>
      </c>
      <c r="O37" s="11">
        <f t="shared" si="11"/>
        <v>0</v>
      </c>
      <c r="P37" s="11">
        <f t="shared" si="11"/>
        <v>0</v>
      </c>
      <c r="Q37" s="11">
        <f t="shared" si="11"/>
        <v>0</v>
      </c>
      <c r="R37" s="11">
        <f t="shared" si="11"/>
        <v>0</v>
      </c>
      <c r="S37" s="11">
        <f t="shared" si="11"/>
        <v>0</v>
      </c>
      <c r="T37" s="11">
        <f t="shared" si="11"/>
        <v>0</v>
      </c>
      <c r="U37" s="11">
        <f t="shared" si="11"/>
        <v>0</v>
      </c>
      <c r="V37" s="11">
        <f t="shared" si="11"/>
        <v>0</v>
      </c>
      <c r="W37" s="11">
        <f t="shared" si="11"/>
        <v>0</v>
      </c>
      <c r="X37" s="11">
        <f t="shared" si="11"/>
        <v>0</v>
      </c>
      <c r="Y37" s="11">
        <f t="shared" si="11"/>
        <v>0</v>
      </c>
      <c r="Z37" s="11">
        <f t="shared" si="11"/>
        <v>0</v>
      </c>
      <c r="AA37" s="11">
        <f t="shared" si="11"/>
        <v>0</v>
      </c>
      <c r="AB37" s="11">
        <f t="shared" si="11"/>
        <v>0</v>
      </c>
      <c r="AC37" s="11">
        <f t="shared" si="11"/>
        <v>0</v>
      </c>
      <c r="AD37" s="11">
        <f t="shared" si="11"/>
        <v>0</v>
      </c>
      <c r="AE37" s="11">
        <f t="shared" si="11"/>
        <v>0</v>
      </c>
      <c r="AF37" s="11">
        <f t="shared" si="11"/>
        <v>0</v>
      </c>
      <c r="AG37" s="11">
        <f t="shared" si="11"/>
        <v>0</v>
      </c>
      <c r="AH37" s="11">
        <f t="shared" si="11"/>
        <v>0</v>
      </c>
      <c r="AI37" s="11">
        <f t="shared" si="11"/>
        <v>0</v>
      </c>
      <c r="AJ37" s="11">
        <f t="shared" si="11"/>
        <v>0</v>
      </c>
      <c r="AK37" s="11">
        <f t="shared" si="11"/>
        <v>0</v>
      </c>
      <c r="AL37" s="11">
        <f t="shared" ref="AL37:BH37" si="12">AL20+AL28-AL36</f>
        <v>0</v>
      </c>
      <c r="AM37" s="11">
        <f t="shared" si="12"/>
        <v>0</v>
      </c>
      <c r="AN37" s="11">
        <f t="shared" si="12"/>
        <v>0</v>
      </c>
      <c r="AO37" s="11">
        <f t="shared" si="12"/>
        <v>0</v>
      </c>
      <c r="AP37" s="11">
        <f t="shared" si="12"/>
        <v>0</v>
      </c>
      <c r="AQ37" s="11">
        <f t="shared" si="12"/>
        <v>0</v>
      </c>
      <c r="AR37" s="11">
        <f t="shared" si="12"/>
        <v>0</v>
      </c>
      <c r="AS37" s="11">
        <f t="shared" si="12"/>
        <v>0</v>
      </c>
      <c r="AT37" s="11">
        <f t="shared" si="12"/>
        <v>0</v>
      </c>
      <c r="AU37" s="11">
        <f t="shared" si="12"/>
        <v>0</v>
      </c>
      <c r="AV37" s="11">
        <f t="shared" si="12"/>
        <v>0</v>
      </c>
      <c r="AW37" s="11">
        <f t="shared" si="12"/>
        <v>0</v>
      </c>
      <c r="AX37" s="11">
        <f t="shared" si="12"/>
        <v>0</v>
      </c>
      <c r="AY37" s="11">
        <f t="shared" si="12"/>
        <v>0</v>
      </c>
      <c r="AZ37" s="11">
        <f t="shared" si="12"/>
        <v>0</v>
      </c>
      <c r="BA37" s="11">
        <f t="shared" si="12"/>
        <v>0</v>
      </c>
      <c r="BB37" s="11">
        <f t="shared" si="12"/>
        <v>0</v>
      </c>
      <c r="BC37" s="11">
        <f t="shared" si="12"/>
        <v>0</v>
      </c>
      <c r="BD37" s="11">
        <f t="shared" si="12"/>
        <v>0</v>
      </c>
      <c r="BE37" s="11">
        <f t="shared" si="12"/>
        <v>0</v>
      </c>
      <c r="BF37" s="11">
        <f t="shared" si="12"/>
        <v>0</v>
      </c>
      <c r="BG37" s="11">
        <f t="shared" si="12"/>
        <v>0</v>
      </c>
      <c r="BH37" s="11">
        <f t="shared" si="12"/>
        <v>0</v>
      </c>
    </row>
    <row r="38" spans="2:60" x14ac:dyDescent="0.2">
      <c r="B38" s="290"/>
      <c r="C38" s="88" t="s">
        <v>367</v>
      </c>
      <c r="D38" s="60" t="s">
        <v>368</v>
      </c>
      <c r="E38" s="10"/>
      <c r="F38" s="10"/>
      <c r="G38" s="10">
        <f>F29+F38-F36</f>
        <v>0</v>
      </c>
      <c r="H38" s="10">
        <f t="shared" ref="H38:AL38" si="13">G29+G38-G36</f>
        <v>0</v>
      </c>
      <c r="I38" s="10">
        <f t="shared" si="13"/>
        <v>0</v>
      </c>
      <c r="J38" s="10">
        <f t="shared" si="13"/>
        <v>0</v>
      </c>
      <c r="K38" s="10">
        <f t="shared" si="13"/>
        <v>0</v>
      </c>
      <c r="L38" s="10">
        <f t="shared" si="13"/>
        <v>0</v>
      </c>
      <c r="M38" s="10">
        <f t="shared" si="13"/>
        <v>0</v>
      </c>
      <c r="N38" s="10">
        <f t="shared" si="13"/>
        <v>0</v>
      </c>
      <c r="O38" s="10">
        <f t="shared" si="13"/>
        <v>0</v>
      </c>
      <c r="P38" s="10">
        <f t="shared" si="13"/>
        <v>0</v>
      </c>
      <c r="Q38" s="10">
        <f t="shared" si="13"/>
        <v>0</v>
      </c>
      <c r="R38" s="10">
        <f t="shared" si="13"/>
        <v>0</v>
      </c>
      <c r="S38" s="10">
        <f t="shared" si="13"/>
        <v>0</v>
      </c>
      <c r="T38" s="10">
        <f t="shared" si="13"/>
        <v>0</v>
      </c>
      <c r="U38" s="10">
        <f t="shared" si="13"/>
        <v>0</v>
      </c>
      <c r="V38" s="10">
        <f t="shared" si="13"/>
        <v>0</v>
      </c>
      <c r="W38" s="10">
        <f t="shared" si="13"/>
        <v>0</v>
      </c>
      <c r="X38" s="10">
        <f t="shared" si="13"/>
        <v>0</v>
      </c>
      <c r="Y38" s="10">
        <f t="shared" si="13"/>
        <v>0</v>
      </c>
      <c r="Z38" s="10">
        <f t="shared" si="13"/>
        <v>0</v>
      </c>
      <c r="AA38" s="10">
        <f t="shared" si="13"/>
        <v>0</v>
      </c>
      <c r="AB38" s="10">
        <f t="shared" si="13"/>
        <v>0</v>
      </c>
      <c r="AC38" s="10">
        <f t="shared" si="13"/>
        <v>0</v>
      </c>
      <c r="AD38" s="10">
        <f t="shared" si="13"/>
        <v>0</v>
      </c>
      <c r="AE38" s="10">
        <f t="shared" si="13"/>
        <v>0</v>
      </c>
      <c r="AF38" s="10">
        <f t="shared" si="13"/>
        <v>0</v>
      </c>
      <c r="AG38" s="10">
        <f t="shared" si="13"/>
        <v>0</v>
      </c>
      <c r="AH38" s="10">
        <f t="shared" si="13"/>
        <v>0</v>
      </c>
      <c r="AI38" s="10">
        <f t="shared" si="13"/>
        <v>0</v>
      </c>
      <c r="AJ38" s="10">
        <f t="shared" si="13"/>
        <v>0</v>
      </c>
      <c r="AK38" s="10">
        <f t="shared" si="13"/>
        <v>0</v>
      </c>
      <c r="AL38" s="10">
        <f t="shared" si="13"/>
        <v>0</v>
      </c>
      <c r="AM38" s="10">
        <f t="shared" ref="AM38:BG38" si="14">AL29+AL38-AL36</f>
        <v>0</v>
      </c>
      <c r="AN38" s="10">
        <f t="shared" si="14"/>
        <v>0</v>
      </c>
      <c r="AO38" s="10">
        <f t="shared" si="14"/>
        <v>0</v>
      </c>
      <c r="AP38" s="10">
        <f t="shared" si="14"/>
        <v>0</v>
      </c>
      <c r="AQ38" s="10">
        <f t="shared" si="14"/>
        <v>0</v>
      </c>
      <c r="AR38" s="10">
        <f t="shared" si="14"/>
        <v>0</v>
      </c>
      <c r="AS38" s="10">
        <f t="shared" si="14"/>
        <v>0</v>
      </c>
      <c r="AT38" s="10">
        <f t="shared" si="14"/>
        <v>0</v>
      </c>
      <c r="AU38" s="10">
        <f t="shared" si="14"/>
        <v>0</v>
      </c>
      <c r="AV38" s="10">
        <f t="shared" si="14"/>
        <v>0</v>
      </c>
      <c r="AW38" s="10">
        <f t="shared" si="14"/>
        <v>0</v>
      </c>
      <c r="AX38" s="10">
        <f t="shared" si="14"/>
        <v>0</v>
      </c>
      <c r="AY38" s="10">
        <f t="shared" si="14"/>
        <v>0</v>
      </c>
      <c r="AZ38" s="10">
        <f t="shared" si="14"/>
        <v>0</v>
      </c>
      <c r="BA38" s="10">
        <f t="shared" si="14"/>
        <v>0</v>
      </c>
      <c r="BB38" s="10">
        <f t="shared" si="14"/>
        <v>0</v>
      </c>
      <c r="BC38" s="10">
        <f t="shared" si="14"/>
        <v>0</v>
      </c>
      <c r="BD38" s="10">
        <f t="shared" si="14"/>
        <v>0</v>
      </c>
      <c r="BE38" s="10">
        <f t="shared" si="14"/>
        <v>0</v>
      </c>
      <c r="BF38" s="10">
        <f t="shared" si="14"/>
        <v>0</v>
      </c>
      <c r="BG38" s="10">
        <f t="shared" si="14"/>
        <v>0</v>
      </c>
      <c r="BH38" s="10">
        <f>BG29+BG38-BG36</f>
        <v>0</v>
      </c>
    </row>
    <row r="39" spans="2:60" x14ac:dyDescent="0.2">
      <c r="B39" s="290"/>
      <c r="C39" s="88" t="s">
        <v>367</v>
      </c>
      <c r="D39" s="60" t="s">
        <v>369</v>
      </c>
      <c r="E39" s="10"/>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row>
    <row r="40" spans="2:60" ht="29.25" customHeight="1" x14ac:dyDescent="0.2">
      <c r="D40" s="213"/>
    </row>
    <row r="41" spans="2:60" ht="15.75" x14ac:dyDescent="0.25">
      <c r="B41" s="214" t="s">
        <v>370</v>
      </c>
      <c r="C41" s="4"/>
    </row>
    <row r="42" spans="2:60" x14ac:dyDescent="0.2">
      <c r="B42" s="215"/>
      <c r="C42" s="216"/>
    </row>
    <row r="43" spans="2:60" x14ac:dyDescent="0.2">
      <c r="B43" s="22" t="s">
        <v>98</v>
      </c>
      <c r="C43" s="217">
        <f>IF( '1. Pipeline information'!C14=0, "0/01/1960", '1. Pipeline information'!C14)</f>
        <v>41911</v>
      </c>
    </row>
    <row r="48" spans="2:60" x14ac:dyDescent="0.2">
      <c r="C48" s="218"/>
    </row>
    <row r="49" spans="3:3" x14ac:dyDescent="0.2">
      <c r="C49" s="218"/>
    </row>
    <row r="50" spans="3:3" x14ac:dyDescent="0.2">
      <c r="C50" s="6"/>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disablePrompts="1"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05" customWidth="1"/>
    <col min="2" max="2" width="21" style="205" customWidth="1"/>
    <col min="3" max="3" width="64.7109375" style="205" customWidth="1"/>
    <col min="4" max="5" width="42.28515625" style="205" customWidth="1"/>
    <col min="6" max="6" width="34.7109375" style="205" customWidth="1"/>
    <col min="7" max="7" width="44" style="205" customWidth="1"/>
    <col min="8" max="16384" width="9.28515625" style="205"/>
  </cols>
  <sheetData>
    <row r="1" spans="2:5" ht="20.25" customHeight="1" x14ac:dyDescent="0.3">
      <c r="B1" s="135" t="s">
        <v>53</v>
      </c>
      <c r="C1" s="135"/>
      <c r="D1" s="204"/>
      <c r="E1" s="204"/>
    </row>
    <row r="2" spans="2:5" ht="20.25" x14ac:dyDescent="0.3">
      <c r="B2" s="135" t="str">
        <f>IF(Tradingname=0," ",Tradingname)</f>
        <v>APA WGP PTY LTD</v>
      </c>
      <c r="C2" s="135"/>
      <c r="D2" s="206"/>
    </row>
    <row r="3" spans="2:5" ht="22.9" customHeight="1" x14ac:dyDescent="0.3">
      <c r="B3" s="135" t="s">
        <v>30</v>
      </c>
      <c r="C3" s="99">
        <f>IF(Yearending=0, "01/01/2000", Yearending)</f>
        <v>45838</v>
      </c>
    </row>
    <row r="4" spans="2:5" ht="20.25" x14ac:dyDescent="0.2">
      <c r="B4" s="91" t="s">
        <v>371</v>
      </c>
      <c r="C4" s="91"/>
    </row>
    <row r="6" spans="2:5" x14ac:dyDescent="0.2">
      <c r="B6" s="414" t="s">
        <v>372</v>
      </c>
      <c r="C6" s="414"/>
      <c r="D6" s="414"/>
      <c r="E6" s="414"/>
    </row>
    <row r="7" spans="2:5" ht="12.75" customHeight="1" x14ac:dyDescent="0.2">
      <c r="B7" s="414"/>
      <c r="C7" s="414"/>
      <c r="D7" s="414"/>
      <c r="E7" s="414"/>
    </row>
    <row r="8" spans="2:5" ht="12.75" customHeight="1" x14ac:dyDescent="0.2">
      <c r="B8" s="414"/>
      <c r="C8" s="414"/>
      <c r="D8" s="414"/>
      <c r="E8" s="414"/>
    </row>
    <row r="9" spans="2:5" ht="12.75" customHeight="1" x14ac:dyDescent="0.2">
      <c r="B9" s="414"/>
      <c r="C9" s="414"/>
      <c r="D9" s="414"/>
      <c r="E9" s="414"/>
    </row>
    <row r="12" spans="2:5" ht="15.75" x14ac:dyDescent="0.25">
      <c r="B12" s="207" t="s">
        <v>373</v>
      </c>
      <c r="C12" s="208"/>
      <c r="D12" s="208"/>
      <c r="E12" s="208"/>
    </row>
    <row r="13" spans="2:5" ht="15.75" x14ac:dyDescent="0.25">
      <c r="B13" s="207"/>
      <c r="C13" s="208"/>
      <c r="D13" s="208"/>
      <c r="E13" s="208"/>
    </row>
    <row r="14" spans="2:5" ht="25.5" x14ac:dyDescent="0.2">
      <c r="B14" s="37" t="s">
        <v>113</v>
      </c>
      <c r="C14" s="37" t="s">
        <v>374</v>
      </c>
      <c r="D14" s="37" t="s">
        <v>375</v>
      </c>
      <c r="E14" s="37" t="s">
        <v>376</v>
      </c>
    </row>
    <row r="15" spans="2:5" x14ac:dyDescent="0.2">
      <c r="B15" s="328" t="s">
        <v>515</v>
      </c>
      <c r="C15" s="278"/>
      <c r="D15" s="80"/>
      <c r="E15" s="71"/>
    </row>
    <row r="16" spans="2:5" x14ac:dyDescent="0.2">
      <c r="B16" s="282"/>
      <c r="C16" s="278"/>
      <c r="D16" s="80"/>
      <c r="E16" s="71"/>
    </row>
    <row r="17" spans="2:5" x14ac:dyDescent="0.2">
      <c r="B17" s="282"/>
      <c r="C17" s="278"/>
      <c r="D17" s="80"/>
      <c r="E17" s="71"/>
    </row>
    <row r="18" spans="2:5" x14ac:dyDescent="0.2">
      <c r="B18" s="282"/>
      <c r="C18" s="278"/>
      <c r="D18" s="80"/>
      <c r="E18" s="71"/>
    </row>
    <row r="19" spans="2:5" x14ac:dyDescent="0.2">
      <c r="B19" s="282"/>
      <c r="C19" s="278"/>
      <c r="D19" s="80"/>
      <c r="E19" s="71"/>
    </row>
    <row r="20" spans="2:5" x14ac:dyDescent="0.2">
      <c r="B20" s="282"/>
      <c r="C20" s="278"/>
      <c r="D20" s="80"/>
      <c r="E20" s="71"/>
    </row>
    <row r="21" spans="2:5" x14ac:dyDescent="0.2">
      <c r="B21" s="282"/>
      <c r="C21" s="278"/>
      <c r="D21" s="80"/>
      <c r="E21" s="71"/>
    </row>
    <row r="22" spans="2:5" x14ac:dyDescent="0.2">
      <c r="B22" s="282"/>
      <c r="C22" s="278"/>
      <c r="D22" s="80"/>
      <c r="E22" s="71"/>
    </row>
    <row r="23" spans="2:5" x14ac:dyDescent="0.2">
      <c r="B23" s="282"/>
      <c r="C23" s="278"/>
      <c r="D23" s="80"/>
      <c r="E23" s="71"/>
    </row>
    <row r="24" spans="2:5" x14ac:dyDescent="0.2">
      <c r="B24" s="282"/>
      <c r="C24" s="278"/>
      <c r="D24" s="80"/>
      <c r="E24" s="71"/>
    </row>
    <row r="25" spans="2:5" x14ac:dyDescent="0.2">
      <c r="B25" s="282"/>
      <c r="C25" s="278"/>
      <c r="D25" s="80"/>
      <c r="E25" s="71"/>
    </row>
    <row r="26" spans="2:5" x14ac:dyDescent="0.2">
      <c r="B26" s="282"/>
      <c r="C26" s="278"/>
      <c r="D26" s="80"/>
      <c r="E26" s="71"/>
    </row>
    <row r="27" spans="2:5" x14ac:dyDescent="0.2">
      <c r="B27" s="282"/>
      <c r="C27" s="278"/>
      <c r="D27" s="80"/>
      <c r="E27" s="71"/>
    </row>
    <row r="28" spans="2:5" x14ac:dyDescent="0.2">
      <c r="B28" s="282"/>
      <c r="C28" s="278"/>
      <c r="D28" s="80"/>
      <c r="E28" s="71"/>
    </row>
    <row r="29" spans="2:5" x14ac:dyDescent="0.2">
      <c r="B29" s="282"/>
      <c r="C29" s="278"/>
      <c r="D29" s="80"/>
      <c r="E29" s="71"/>
    </row>
    <row r="30" spans="2:5" x14ac:dyDescent="0.2">
      <c r="B30" s="282"/>
      <c r="C30" s="278"/>
      <c r="D30" s="80"/>
      <c r="E30" s="71"/>
    </row>
    <row r="31" spans="2:5" x14ac:dyDescent="0.2">
      <c r="B31" s="282"/>
      <c r="C31" s="278"/>
      <c r="D31" s="80"/>
      <c r="E31" s="71"/>
    </row>
    <row r="32" spans="2:5" x14ac:dyDescent="0.2">
      <c r="B32" s="282"/>
      <c r="C32" s="278"/>
      <c r="D32" s="80"/>
      <c r="E32" s="71"/>
    </row>
    <row r="33" spans="2:5" x14ac:dyDescent="0.2">
      <c r="B33" s="282"/>
      <c r="C33" s="278"/>
      <c r="D33" s="80"/>
      <c r="E33" s="71"/>
    </row>
    <row r="34" spans="2:5" x14ac:dyDescent="0.2">
      <c r="B34" s="282"/>
      <c r="C34" s="278"/>
      <c r="D34" s="80"/>
      <c r="E34" s="71"/>
    </row>
    <row r="35" spans="2:5" x14ac:dyDescent="0.2">
      <c r="B35" s="282"/>
      <c r="C35" s="278"/>
      <c r="D35" s="80"/>
      <c r="E35" s="71"/>
    </row>
    <row r="36" spans="2:5" x14ac:dyDescent="0.2">
      <c r="B36" s="282"/>
      <c r="C36" s="278"/>
      <c r="D36" s="80"/>
      <c r="E36" s="71"/>
    </row>
    <row r="37" spans="2:5" x14ac:dyDescent="0.2">
      <c r="B37" s="282"/>
      <c r="C37" s="278"/>
      <c r="D37" s="80"/>
      <c r="E37" s="71"/>
    </row>
    <row r="38" spans="2:5" x14ac:dyDescent="0.2">
      <c r="B38" s="282"/>
      <c r="C38" s="278"/>
      <c r="D38" s="80"/>
      <c r="E38" s="71"/>
    </row>
    <row r="39" spans="2:5" x14ac:dyDescent="0.2">
      <c r="B39" s="282"/>
      <c r="C39" s="278"/>
      <c r="D39" s="80"/>
      <c r="E39" s="71"/>
    </row>
    <row r="40" spans="2:5" x14ac:dyDescent="0.2">
      <c r="B40" s="282"/>
      <c r="C40" s="278"/>
      <c r="D40" s="80"/>
      <c r="E40" s="71"/>
    </row>
    <row r="41" spans="2:5" x14ac:dyDescent="0.2">
      <c r="B41" s="429" t="s">
        <v>377</v>
      </c>
      <c r="C41" s="430"/>
      <c r="D41" s="431"/>
      <c r="E41" s="209">
        <f>SUM(E15:E40)</f>
        <v>0</v>
      </c>
    </row>
    <row r="44" spans="2:5" ht="15.75" x14ac:dyDescent="0.25">
      <c r="B44" s="207" t="s">
        <v>378</v>
      </c>
      <c r="C44" s="208"/>
      <c r="D44" s="208"/>
      <c r="E44" s="208"/>
    </row>
    <row r="45" spans="2:5" ht="15.75" x14ac:dyDescent="0.25">
      <c r="B45" s="207"/>
      <c r="C45" s="208"/>
      <c r="D45" s="208"/>
      <c r="E45" s="208"/>
    </row>
    <row r="46" spans="2:5" ht="25.5" x14ac:dyDescent="0.2">
      <c r="B46" s="37" t="s">
        <v>113</v>
      </c>
      <c r="C46" s="37" t="s">
        <v>374</v>
      </c>
      <c r="D46" s="37" t="s">
        <v>375</v>
      </c>
      <c r="E46" s="37" t="s">
        <v>376</v>
      </c>
    </row>
    <row r="47" spans="2:5" x14ac:dyDescent="0.2">
      <c r="B47" s="333" t="s">
        <v>515</v>
      </c>
      <c r="C47" s="278"/>
      <c r="D47" s="80"/>
      <c r="E47" s="71"/>
    </row>
    <row r="48" spans="2:5" x14ac:dyDescent="0.2">
      <c r="B48" s="73"/>
      <c r="C48" s="278"/>
      <c r="D48" s="80"/>
      <c r="E48" s="71"/>
    </row>
    <row r="49" spans="2:5" x14ac:dyDescent="0.2">
      <c r="B49" s="73"/>
      <c r="C49" s="278"/>
      <c r="D49" s="80"/>
      <c r="E49" s="71"/>
    </row>
    <row r="50" spans="2:5" x14ac:dyDescent="0.2">
      <c r="B50" s="73"/>
      <c r="C50" s="278"/>
      <c r="D50" s="80"/>
      <c r="E50" s="71"/>
    </row>
    <row r="51" spans="2:5" x14ac:dyDescent="0.2">
      <c r="B51" s="73"/>
      <c r="C51" s="278"/>
      <c r="D51" s="80"/>
      <c r="E51" s="71"/>
    </row>
    <row r="52" spans="2:5" x14ac:dyDescent="0.2">
      <c r="B52" s="73"/>
      <c r="C52" s="278"/>
      <c r="D52" s="80"/>
      <c r="E52" s="71"/>
    </row>
    <row r="53" spans="2:5" x14ac:dyDescent="0.2">
      <c r="B53" s="73"/>
      <c r="C53" s="278"/>
      <c r="D53" s="80"/>
      <c r="E53" s="71"/>
    </row>
    <row r="54" spans="2:5" x14ac:dyDescent="0.2">
      <c r="B54" s="73"/>
      <c r="C54" s="278"/>
      <c r="D54" s="80"/>
      <c r="E54" s="71"/>
    </row>
    <row r="55" spans="2:5" x14ac:dyDescent="0.2">
      <c r="B55" s="73"/>
      <c r="C55" s="278"/>
      <c r="D55" s="80"/>
      <c r="E55" s="71"/>
    </row>
    <row r="56" spans="2:5" x14ac:dyDescent="0.2">
      <c r="B56" s="73"/>
      <c r="C56" s="278"/>
      <c r="D56" s="80"/>
      <c r="E56" s="71"/>
    </row>
    <row r="57" spans="2:5" x14ac:dyDescent="0.2">
      <c r="B57" s="73"/>
      <c r="C57" s="278"/>
      <c r="D57" s="80"/>
      <c r="E57" s="71"/>
    </row>
    <row r="58" spans="2:5" x14ac:dyDescent="0.2">
      <c r="B58" s="73"/>
      <c r="C58" s="278"/>
      <c r="D58" s="80"/>
      <c r="E58" s="71"/>
    </row>
    <row r="59" spans="2:5" x14ac:dyDescent="0.2">
      <c r="B59" s="73"/>
      <c r="C59" s="278"/>
      <c r="D59" s="80"/>
      <c r="E59" s="71"/>
    </row>
    <row r="60" spans="2:5" x14ac:dyDescent="0.2">
      <c r="B60" s="73"/>
      <c r="C60" s="278"/>
      <c r="D60" s="80"/>
      <c r="E60" s="71"/>
    </row>
    <row r="61" spans="2:5" x14ac:dyDescent="0.2">
      <c r="B61" s="73"/>
      <c r="C61" s="278"/>
      <c r="D61" s="80"/>
      <c r="E61" s="71"/>
    </row>
    <row r="62" spans="2:5" x14ac:dyDescent="0.2">
      <c r="B62" s="73"/>
      <c r="C62" s="278"/>
      <c r="D62" s="80"/>
      <c r="E62" s="71"/>
    </row>
    <row r="63" spans="2:5" x14ac:dyDescent="0.2">
      <c r="B63" s="73"/>
      <c r="C63" s="278"/>
      <c r="D63" s="80"/>
      <c r="E63" s="71"/>
    </row>
    <row r="64" spans="2:5" x14ac:dyDescent="0.2">
      <c r="B64" s="73"/>
      <c r="C64" s="278"/>
      <c r="D64" s="80"/>
      <c r="E64" s="71"/>
    </row>
    <row r="65" spans="2:7" x14ac:dyDescent="0.2">
      <c r="B65" s="73"/>
      <c r="C65" s="278"/>
      <c r="D65" s="80"/>
      <c r="E65" s="71"/>
    </row>
    <row r="66" spans="2:7" x14ac:dyDescent="0.2">
      <c r="B66" s="73"/>
      <c r="C66" s="278"/>
      <c r="D66" s="80"/>
      <c r="E66" s="71"/>
    </row>
    <row r="67" spans="2:7" x14ac:dyDescent="0.2">
      <c r="B67" s="73"/>
      <c r="C67" s="278"/>
      <c r="D67" s="80"/>
      <c r="E67" s="71"/>
    </row>
    <row r="68" spans="2:7" x14ac:dyDescent="0.2">
      <c r="B68" s="73"/>
      <c r="C68" s="278"/>
      <c r="D68" s="80"/>
      <c r="E68" s="71"/>
    </row>
    <row r="69" spans="2:7" x14ac:dyDescent="0.2">
      <c r="B69" s="73"/>
      <c r="C69" s="278"/>
      <c r="D69" s="80"/>
      <c r="E69" s="71"/>
    </row>
    <row r="70" spans="2:7" x14ac:dyDescent="0.2">
      <c r="B70" s="73"/>
      <c r="C70" s="278"/>
      <c r="D70" s="80"/>
      <c r="E70" s="71"/>
    </row>
    <row r="71" spans="2:7" x14ac:dyDescent="0.2">
      <c r="B71" s="73"/>
      <c r="C71" s="278"/>
      <c r="D71" s="80"/>
      <c r="E71" s="71"/>
    </row>
    <row r="72" spans="2:7" x14ac:dyDescent="0.2">
      <c r="B72" s="73"/>
      <c r="C72" s="278"/>
      <c r="D72" s="80"/>
      <c r="E72" s="71"/>
    </row>
    <row r="73" spans="2:7" x14ac:dyDescent="0.2">
      <c r="B73" s="429" t="s">
        <v>377</v>
      </c>
      <c r="C73" s="430"/>
      <c r="D73" s="431"/>
      <c r="E73" s="209">
        <f>SUM(E47:E72)</f>
        <v>0</v>
      </c>
    </row>
    <row r="76" spans="2:7" ht="15.75" x14ac:dyDescent="0.25">
      <c r="B76" s="210" t="s">
        <v>379</v>
      </c>
      <c r="C76" s="208"/>
      <c r="D76" s="208"/>
      <c r="E76" s="208"/>
      <c r="F76" s="211"/>
      <c r="G76" s="208"/>
    </row>
    <row r="77" spans="2:7" ht="15.75" x14ac:dyDescent="0.25">
      <c r="B77" s="207"/>
      <c r="C77" s="208"/>
      <c r="D77" s="208"/>
      <c r="E77" s="208"/>
      <c r="F77" s="211"/>
      <c r="G77" s="208"/>
    </row>
    <row r="78" spans="2:7" ht="42" customHeight="1" x14ac:dyDescent="0.2">
      <c r="B78" s="37" t="s">
        <v>113</v>
      </c>
      <c r="C78" s="37" t="s">
        <v>380</v>
      </c>
      <c r="D78" s="37" t="s">
        <v>381</v>
      </c>
      <c r="E78" s="49" t="s">
        <v>382</v>
      </c>
      <c r="F78" s="49" t="s">
        <v>383</v>
      </c>
      <c r="G78" s="49" t="s">
        <v>384</v>
      </c>
    </row>
    <row r="79" spans="2:7" x14ac:dyDescent="0.2">
      <c r="B79" s="89"/>
      <c r="C79" s="37"/>
      <c r="D79" s="53"/>
      <c r="E79" s="53"/>
      <c r="F79" s="53" t="s">
        <v>385</v>
      </c>
      <c r="G79" s="53" t="s">
        <v>116</v>
      </c>
    </row>
    <row r="80" spans="2:7" x14ac:dyDescent="0.2">
      <c r="B80" s="336" t="s">
        <v>515</v>
      </c>
      <c r="C80" s="279"/>
      <c r="D80" s="71"/>
      <c r="E80" s="71"/>
      <c r="F80" s="72"/>
      <c r="G80" s="66"/>
    </row>
    <row r="81" spans="2:7" x14ac:dyDescent="0.2">
      <c r="B81" s="70"/>
      <c r="C81" s="279"/>
      <c r="D81" s="71"/>
      <c r="E81" s="71"/>
      <c r="F81" s="72"/>
      <c r="G81" s="66"/>
    </row>
    <row r="82" spans="2:7" x14ac:dyDescent="0.2">
      <c r="B82" s="70"/>
      <c r="C82" s="279"/>
      <c r="D82" s="71"/>
      <c r="E82" s="71"/>
      <c r="F82" s="72"/>
      <c r="G82" s="66"/>
    </row>
    <row r="83" spans="2:7" x14ac:dyDescent="0.2">
      <c r="B83" s="70"/>
      <c r="C83" s="279"/>
      <c r="D83" s="71"/>
      <c r="E83" s="71"/>
      <c r="F83" s="72"/>
      <c r="G83" s="66"/>
    </row>
    <row r="84" spans="2:7" x14ac:dyDescent="0.2">
      <c r="B84" s="70"/>
      <c r="C84" s="279"/>
      <c r="D84" s="71"/>
      <c r="E84" s="71"/>
      <c r="F84" s="72"/>
      <c r="G84" s="66"/>
    </row>
    <row r="85" spans="2:7" x14ac:dyDescent="0.2">
      <c r="B85" s="70"/>
      <c r="C85" s="279"/>
      <c r="D85" s="71"/>
      <c r="E85" s="71"/>
      <c r="F85" s="72"/>
      <c r="G85" s="66"/>
    </row>
    <row r="86" spans="2:7" x14ac:dyDescent="0.2">
      <c r="B86" s="70"/>
      <c r="C86" s="279"/>
      <c r="D86" s="71"/>
      <c r="E86" s="71"/>
      <c r="F86" s="72"/>
      <c r="G86" s="66"/>
    </row>
    <row r="87" spans="2:7" x14ac:dyDescent="0.2">
      <c r="B87" s="70"/>
      <c r="C87" s="279"/>
      <c r="D87" s="71"/>
      <c r="E87" s="71"/>
      <c r="F87" s="72"/>
      <c r="G87" s="66"/>
    </row>
    <row r="88" spans="2:7" x14ac:dyDescent="0.2">
      <c r="B88" s="70"/>
      <c r="C88" s="279"/>
      <c r="D88" s="71"/>
      <c r="E88" s="71"/>
      <c r="F88" s="72"/>
      <c r="G88" s="66"/>
    </row>
    <row r="89" spans="2:7" x14ac:dyDescent="0.2">
      <c r="B89" s="70"/>
      <c r="C89" s="279"/>
      <c r="D89" s="71"/>
      <c r="E89" s="71"/>
      <c r="F89" s="72"/>
      <c r="G89" s="66"/>
    </row>
    <row r="90" spans="2:7" x14ac:dyDescent="0.2">
      <c r="B90" s="70"/>
      <c r="C90" s="279"/>
      <c r="D90" s="71"/>
      <c r="E90" s="71"/>
      <c r="F90" s="72"/>
      <c r="G90" s="66"/>
    </row>
    <row r="91" spans="2:7" x14ac:dyDescent="0.2">
      <c r="B91" s="70"/>
      <c r="C91" s="279"/>
      <c r="D91" s="71"/>
      <c r="E91" s="71"/>
      <c r="F91" s="72"/>
      <c r="G91" s="66"/>
    </row>
    <row r="92" spans="2:7" x14ac:dyDescent="0.2">
      <c r="B92" s="70"/>
      <c r="C92" s="279"/>
      <c r="D92" s="71"/>
      <c r="E92" s="71"/>
      <c r="F92" s="72"/>
      <c r="G92" s="66"/>
    </row>
    <row r="93" spans="2:7" x14ac:dyDescent="0.2">
      <c r="B93" s="70"/>
      <c r="C93" s="279"/>
      <c r="D93" s="71"/>
      <c r="E93" s="71"/>
      <c r="F93" s="72"/>
      <c r="G93" s="66"/>
    </row>
    <row r="94" spans="2:7" x14ac:dyDescent="0.2">
      <c r="B94" s="70"/>
      <c r="C94" s="279"/>
      <c r="D94" s="71"/>
      <c r="E94" s="71"/>
      <c r="F94" s="72"/>
      <c r="G94" s="66"/>
    </row>
    <row r="95" spans="2:7" x14ac:dyDescent="0.2">
      <c r="B95" s="70"/>
      <c r="C95" s="279"/>
      <c r="D95" s="71"/>
      <c r="E95" s="71"/>
      <c r="F95" s="72"/>
      <c r="G95" s="66"/>
    </row>
    <row r="96" spans="2:7" x14ac:dyDescent="0.2">
      <c r="B96" s="70"/>
      <c r="C96" s="279"/>
      <c r="D96" s="71"/>
      <c r="E96" s="71"/>
      <c r="F96" s="72"/>
      <c r="G96" s="66"/>
    </row>
    <row r="97" spans="2:7" x14ac:dyDescent="0.2">
      <c r="B97" s="70"/>
      <c r="C97" s="279"/>
      <c r="D97" s="71"/>
      <c r="E97" s="71"/>
      <c r="F97" s="72"/>
      <c r="G97" s="66"/>
    </row>
    <row r="98" spans="2:7" x14ac:dyDescent="0.2">
      <c r="B98" s="427" t="s">
        <v>386</v>
      </c>
      <c r="C98" s="428"/>
      <c r="D98" s="428"/>
      <c r="E98" s="428"/>
      <c r="F98" s="428"/>
      <c r="G98" s="90">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20A7-FEB1-4740-9676-2E9B032E289C}">
  <sheetPr>
    <tabColor theme="5" tint="0.79998168889431442"/>
  </sheetPr>
  <dimension ref="A1"/>
  <sheetViews>
    <sheetView workbookViewId="0"/>
  </sheetViews>
  <sheetFormatPr defaultColWidth="9.28515625" defaultRowHeight="12.75" x14ac:dyDescent="0.2"/>
  <cols>
    <col min="1" max="16384" width="9.28515625" style="316"/>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47.42578125" customWidth="1"/>
    <col min="3" max="3" width="30.7109375" customWidth="1"/>
    <col min="4" max="4" width="73.5703125" customWidth="1"/>
    <col min="5" max="9" width="30.7109375" customWidth="1"/>
    <col min="10" max="60" width="10.7109375" customWidth="1"/>
    <col min="62" max="62" width="13.5703125" customWidth="1"/>
  </cols>
  <sheetData>
    <row r="1" spans="2:4" ht="20.25" x14ac:dyDescent="0.2">
      <c r="B1" s="135" t="s">
        <v>53</v>
      </c>
      <c r="C1" s="135"/>
    </row>
    <row r="2" spans="2:4" ht="25.5" customHeight="1" x14ac:dyDescent="0.2">
      <c r="B2" s="135" t="str">
        <f>IF(Tradingname=0," ",Tradingname)</f>
        <v>APA WGP PTY LTD</v>
      </c>
      <c r="C2" s="135"/>
    </row>
    <row r="3" spans="2:4" ht="19.5" customHeight="1" x14ac:dyDescent="0.3">
      <c r="B3" s="135" t="s">
        <v>30</v>
      </c>
      <c r="C3" s="99">
        <f>IF(Yearending=0, "01/01/2000", Yearending)</f>
        <v>45838</v>
      </c>
    </row>
    <row r="4" spans="2:4" ht="20.25" x14ac:dyDescent="0.2">
      <c r="B4" s="91" t="s">
        <v>72</v>
      </c>
      <c r="C4" s="91"/>
    </row>
    <row r="5" spans="2:4" ht="12" customHeight="1" x14ac:dyDescent="0.2"/>
    <row r="6" spans="2:4" ht="12" customHeight="1" x14ac:dyDescent="0.2">
      <c r="B6" s="414" t="s">
        <v>387</v>
      </c>
      <c r="C6" s="414"/>
      <c r="D6" s="414"/>
    </row>
    <row r="7" spans="2:4" ht="12" customHeight="1" x14ac:dyDescent="0.2">
      <c r="B7" s="414"/>
      <c r="C7" s="414"/>
      <c r="D7" s="414"/>
    </row>
    <row r="8" spans="2:4" ht="12" customHeight="1" x14ac:dyDescent="0.2">
      <c r="B8" s="414"/>
      <c r="C8" s="414"/>
      <c r="D8" s="414"/>
    </row>
    <row r="9" spans="2:4" ht="12" customHeight="1" x14ac:dyDescent="0.2">
      <c r="B9" s="414"/>
      <c r="C9" s="414"/>
      <c r="D9" s="414"/>
    </row>
    <row r="10" spans="2:4" ht="12" customHeight="1" x14ac:dyDescent="0.2"/>
    <row r="11" spans="2:4" ht="12" customHeight="1" x14ac:dyDescent="0.2"/>
    <row r="12" spans="2:4" ht="15.75" x14ac:dyDescent="0.25">
      <c r="B12" s="197" t="s">
        <v>388</v>
      </c>
    </row>
    <row r="14" spans="2:4" x14ac:dyDescent="0.2">
      <c r="B14" s="51" t="s">
        <v>113</v>
      </c>
      <c r="C14" s="50" t="s">
        <v>389</v>
      </c>
      <c r="D14" s="50" t="s">
        <v>390</v>
      </c>
    </row>
    <row r="15" spans="2:4" x14ac:dyDescent="0.2">
      <c r="B15" s="334" t="s">
        <v>516</v>
      </c>
      <c r="C15" s="307" t="s">
        <v>397</v>
      </c>
      <c r="D15" s="62" t="s">
        <v>494</v>
      </c>
    </row>
    <row r="16" spans="2:4" x14ac:dyDescent="0.2">
      <c r="B16" s="334" t="s">
        <v>516</v>
      </c>
      <c r="C16" s="62" t="s">
        <v>504</v>
      </c>
      <c r="D16" s="62" t="s">
        <v>494</v>
      </c>
    </row>
    <row r="17" spans="2:6" x14ac:dyDescent="0.2">
      <c r="B17" s="291"/>
      <c r="C17" s="62"/>
      <c r="D17" s="62"/>
    </row>
    <row r="18" spans="2:6" x14ac:dyDescent="0.2">
      <c r="B18" s="291"/>
      <c r="C18" s="104"/>
      <c r="D18" s="104"/>
    </row>
    <row r="19" spans="2:6" x14ac:dyDescent="0.2">
      <c r="B19" s="291"/>
      <c r="C19" s="104"/>
      <c r="D19" s="104"/>
    </row>
    <row r="22" spans="2:6" ht="15.75" x14ac:dyDescent="0.25">
      <c r="B22" s="197" t="s">
        <v>391</v>
      </c>
    </row>
    <row r="24" spans="2:6" s="5" customFormat="1" x14ac:dyDescent="0.2">
      <c r="B24" s="101"/>
      <c r="C24" s="102" t="s">
        <v>392</v>
      </c>
    </row>
    <row r="25" spans="2:6" s="5" customFormat="1" x14ac:dyDescent="0.2">
      <c r="B25" s="101"/>
      <c r="C25" s="101" t="s">
        <v>393</v>
      </c>
      <c r="D25" s="196"/>
    </row>
    <row r="26" spans="2:6" ht="14.25" x14ac:dyDescent="0.2">
      <c r="B26" s="112" t="s">
        <v>78</v>
      </c>
      <c r="C26" s="71">
        <f>C42/365</f>
        <v>1510</v>
      </c>
      <c r="D26" s="195"/>
      <c r="E26" s="6"/>
      <c r="F26" s="6"/>
    </row>
    <row r="27" spans="2:6" ht="14.25" x14ac:dyDescent="0.2">
      <c r="B27" s="112" t="s">
        <v>80</v>
      </c>
      <c r="C27" s="306">
        <v>0</v>
      </c>
      <c r="D27" s="195"/>
      <c r="E27" s="6"/>
      <c r="F27" s="6"/>
    </row>
    <row r="28" spans="2:6" ht="14.25" x14ac:dyDescent="0.2">
      <c r="B28" s="112" t="s">
        <v>81</v>
      </c>
      <c r="C28" s="71"/>
      <c r="D28" s="195"/>
      <c r="E28" s="6"/>
      <c r="F28" s="6"/>
    </row>
    <row r="29" spans="2:6" ht="14.25" x14ac:dyDescent="0.2">
      <c r="B29" s="112" t="s">
        <v>82</v>
      </c>
      <c r="C29" s="71"/>
      <c r="D29" s="195"/>
      <c r="E29" s="6"/>
      <c r="F29" s="6"/>
    </row>
    <row r="30" spans="2:6" ht="25.5" x14ac:dyDescent="0.2">
      <c r="B30" s="194" t="s">
        <v>83</v>
      </c>
      <c r="C30" s="71"/>
      <c r="D30" s="195"/>
      <c r="E30" s="6"/>
      <c r="F30" s="6"/>
    </row>
    <row r="31" spans="2:6" ht="14.25" x14ac:dyDescent="0.2">
      <c r="B31" s="112" t="s">
        <v>84</v>
      </c>
      <c r="C31" s="71"/>
      <c r="D31" s="195"/>
      <c r="E31" s="6"/>
      <c r="F31" s="6"/>
    </row>
    <row r="32" spans="2:6" ht="14.25" x14ac:dyDescent="0.2">
      <c r="B32" s="112" t="s">
        <v>85</v>
      </c>
      <c r="C32" s="71"/>
      <c r="D32" s="195"/>
      <c r="E32" s="6"/>
      <c r="F32" s="6"/>
    </row>
    <row r="33" spans="2:9" x14ac:dyDescent="0.2">
      <c r="B33" s="112" t="s">
        <v>86</v>
      </c>
      <c r="C33" s="71"/>
      <c r="D33" s="6"/>
      <c r="E33" s="6"/>
      <c r="F33" s="6"/>
    </row>
    <row r="34" spans="2:9" x14ac:dyDescent="0.2">
      <c r="B34" s="112" t="s">
        <v>88</v>
      </c>
      <c r="C34" s="71"/>
      <c r="D34" s="6"/>
      <c r="E34" s="6"/>
      <c r="F34" s="6"/>
    </row>
    <row r="35" spans="2:9" x14ac:dyDescent="0.2">
      <c r="B35" s="112" t="s">
        <v>90</v>
      </c>
      <c r="C35" s="71"/>
    </row>
    <row r="38" spans="2:9" ht="15.75" x14ac:dyDescent="0.25">
      <c r="B38" s="197" t="s">
        <v>394</v>
      </c>
    </row>
    <row r="40" spans="2:9" s="5" customFormat="1" ht="25.5" x14ac:dyDescent="0.2">
      <c r="B40" s="101"/>
      <c r="C40" s="102" t="s">
        <v>395</v>
      </c>
      <c r="D40" s="102" t="s">
        <v>396</v>
      </c>
      <c r="E40" s="102" t="s">
        <v>397</v>
      </c>
      <c r="F40" s="102" t="s">
        <v>97</v>
      </c>
      <c r="G40" s="102" t="s">
        <v>398</v>
      </c>
      <c r="H40" s="102" t="s">
        <v>399</v>
      </c>
      <c r="I40" s="102" t="s">
        <v>400</v>
      </c>
    </row>
    <row r="41" spans="2:9" s="5" customFormat="1" x14ac:dyDescent="0.2">
      <c r="B41" s="101"/>
      <c r="C41" s="103" t="s">
        <v>393</v>
      </c>
      <c r="D41" s="103" t="s">
        <v>393</v>
      </c>
      <c r="E41" s="103" t="s">
        <v>393</v>
      </c>
      <c r="F41" s="103" t="s">
        <v>393</v>
      </c>
      <c r="G41" s="102"/>
      <c r="H41" s="102"/>
      <c r="I41" s="102"/>
    </row>
    <row r="42" spans="2:9" x14ac:dyDescent="0.2">
      <c r="B42" s="193" t="s">
        <v>56</v>
      </c>
      <c r="C42" s="11">
        <f>SUM(C43:C408)</f>
        <v>551150</v>
      </c>
      <c r="D42" s="11">
        <f>SUM(D43:D408)</f>
        <v>0</v>
      </c>
      <c r="E42" s="11">
        <f>SUM(E43:E408)</f>
        <v>487844.12800000003</v>
      </c>
      <c r="F42" s="11" t="s">
        <v>401</v>
      </c>
      <c r="G42" s="11">
        <f>SUM(G43:G408)</f>
        <v>95425.871999999988</v>
      </c>
      <c r="H42" s="11">
        <f>SUM(H43:H408)</f>
        <v>32120</v>
      </c>
      <c r="I42" s="11">
        <f>SUM(I43:I408)</f>
        <v>63305.871999999988</v>
      </c>
    </row>
    <row r="43" spans="2:9" x14ac:dyDescent="0.2">
      <c r="B43" s="192">
        <f>IF(Yearstart=0, "1/01/1999", Yearstart)</f>
        <v>45474</v>
      </c>
      <c r="C43" s="81">
        <v>1510</v>
      </c>
      <c r="D43" s="81"/>
      <c r="E43" s="81">
        <v>1311.347</v>
      </c>
      <c r="F43" s="81">
        <v>1598</v>
      </c>
      <c r="G43" s="11">
        <f>F43-E43</f>
        <v>286.65300000000002</v>
      </c>
      <c r="H43" s="11">
        <f>'5. Historical demand'!F43-'5. Historical demand'!C43-'5. Historical demand'!D43</f>
        <v>88</v>
      </c>
      <c r="I43" s="11">
        <f>C43+D43-E43</f>
        <v>198.65300000000002</v>
      </c>
    </row>
    <row r="44" spans="2:9" x14ac:dyDescent="0.2">
      <c r="B44" s="192">
        <f t="shared" ref="B44:B107" si="0">IFERROR(IF(Yearending&gt;B43, B43+1, ""),"")</f>
        <v>45475</v>
      </c>
      <c r="C44" s="81">
        <v>1510</v>
      </c>
      <c r="D44" s="81"/>
      <c r="E44" s="81">
        <v>1269.008</v>
      </c>
      <c r="F44" s="81">
        <v>1598</v>
      </c>
      <c r="G44" s="11">
        <f t="shared" ref="G44:G107" si="1">IFERROR(IF(Yearending&gt;B43,F44-E44,""),"")</f>
        <v>328.99199999999996</v>
      </c>
      <c r="H44" s="11">
        <f>IFERROR(IF(Yearending&gt;B43,'5. Historical demand'!F44-'5. Historical demand'!C44-'5. Historical demand'!D44,""),"")</f>
        <v>88</v>
      </c>
      <c r="I44" s="11">
        <f t="shared" ref="I44:I107" si="2">IFERROR(IF(Yearending&gt;B43,C44+D44-E44,""),"")</f>
        <v>240.99199999999996</v>
      </c>
    </row>
    <row r="45" spans="2:9" x14ac:dyDescent="0.2">
      <c r="B45" s="192">
        <f t="shared" si="0"/>
        <v>45476</v>
      </c>
      <c r="C45" s="81">
        <v>1510</v>
      </c>
      <c r="D45" s="81"/>
      <c r="E45" s="81">
        <v>1225.327</v>
      </c>
      <c r="F45" s="81">
        <v>1598</v>
      </c>
      <c r="G45" s="11">
        <f t="shared" si="1"/>
        <v>372.673</v>
      </c>
      <c r="H45" s="11">
        <f>IFERROR(IF(Yearending&gt;B44,'5. Historical demand'!F45-'5. Historical demand'!C45-'5. Historical demand'!D45,""),"")</f>
        <v>88</v>
      </c>
      <c r="I45" s="11">
        <f t="shared" si="2"/>
        <v>284.673</v>
      </c>
    </row>
    <row r="46" spans="2:9" x14ac:dyDescent="0.2">
      <c r="B46" s="192">
        <f t="shared" si="0"/>
        <v>45477</v>
      </c>
      <c r="C46" s="81">
        <v>1510</v>
      </c>
      <c r="D46" s="81"/>
      <c r="E46" s="81">
        <v>1229.867</v>
      </c>
      <c r="F46" s="81">
        <v>1598</v>
      </c>
      <c r="G46" s="11">
        <f t="shared" si="1"/>
        <v>368.13300000000004</v>
      </c>
      <c r="H46" s="11">
        <f>IFERROR(IF(Yearending&gt;B45,'5. Historical demand'!F46-'5. Historical demand'!C46-'5. Historical demand'!D46,""),"")</f>
        <v>88</v>
      </c>
      <c r="I46" s="11">
        <f t="shared" si="2"/>
        <v>280.13300000000004</v>
      </c>
    </row>
    <row r="47" spans="2:9" x14ac:dyDescent="0.2">
      <c r="B47" s="192">
        <f t="shared" si="0"/>
        <v>45478</v>
      </c>
      <c r="C47" s="81">
        <v>1510</v>
      </c>
      <c r="D47" s="81"/>
      <c r="E47" s="81">
        <v>1306.0840000000001</v>
      </c>
      <c r="F47" s="81">
        <v>1598</v>
      </c>
      <c r="G47" s="11">
        <f t="shared" si="1"/>
        <v>291.91599999999994</v>
      </c>
      <c r="H47" s="11">
        <f>IFERROR(IF(Yearending&gt;B46,'5. Historical demand'!F47-'5. Historical demand'!C47-'5. Historical demand'!D47,""),"")</f>
        <v>88</v>
      </c>
      <c r="I47" s="11">
        <f t="shared" si="2"/>
        <v>203.91599999999994</v>
      </c>
    </row>
    <row r="48" spans="2:9" x14ac:dyDescent="0.2">
      <c r="B48" s="192">
        <f t="shared" si="0"/>
        <v>45479</v>
      </c>
      <c r="C48" s="81">
        <v>1510</v>
      </c>
      <c r="D48" s="81"/>
      <c r="E48" s="81">
        <v>1292.758</v>
      </c>
      <c r="F48" s="81">
        <v>1598</v>
      </c>
      <c r="G48" s="11">
        <f t="shared" si="1"/>
        <v>305.24199999999996</v>
      </c>
      <c r="H48" s="11">
        <f>IFERROR(IF(Yearending&gt;B47,'5. Historical demand'!F48-'5. Historical demand'!C48-'5. Historical demand'!D48,""),"")</f>
        <v>88</v>
      </c>
      <c r="I48" s="11">
        <f t="shared" si="2"/>
        <v>217.24199999999996</v>
      </c>
    </row>
    <row r="49" spans="2:9" x14ac:dyDescent="0.2">
      <c r="B49" s="192">
        <f t="shared" si="0"/>
        <v>45480</v>
      </c>
      <c r="C49" s="81">
        <v>1510</v>
      </c>
      <c r="D49" s="81"/>
      <c r="E49" s="81">
        <v>1317.1289999999999</v>
      </c>
      <c r="F49" s="81">
        <v>1598</v>
      </c>
      <c r="G49" s="11">
        <f t="shared" si="1"/>
        <v>280.87100000000009</v>
      </c>
      <c r="H49" s="11">
        <f>IFERROR(IF(Yearending&gt;B48,'5. Historical demand'!F49-'5. Historical demand'!C49-'5. Historical demand'!D49,""),"")</f>
        <v>88</v>
      </c>
      <c r="I49" s="11">
        <f t="shared" si="2"/>
        <v>192.87100000000009</v>
      </c>
    </row>
    <row r="50" spans="2:9" x14ac:dyDescent="0.2">
      <c r="B50" s="192">
        <f t="shared" si="0"/>
        <v>45481</v>
      </c>
      <c r="C50" s="81">
        <v>1510</v>
      </c>
      <c r="D50" s="81"/>
      <c r="E50" s="81">
        <v>1309.277</v>
      </c>
      <c r="F50" s="81">
        <v>1598</v>
      </c>
      <c r="G50" s="11">
        <f t="shared" si="1"/>
        <v>288.72299999999996</v>
      </c>
      <c r="H50" s="11">
        <f>IFERROR(IF(Yearending&gt;B49,'5. Historical demand'!F50-'5. Historical demand'!C50-'5. Historical demand'!D50,""),"")</f>
        <v>88</v>
      </c>
      <c r="I50" s="11">
        <f t="shared" si="2"/>
        <v>200.72299999999996</v>
      </c>
    </row>
    <row r="51" spans="2:9" x14ac:dyDescent="0.2">
      <c r="B51" s="192">
        <f t="shared" si="0"/>
        <v>45482</v>
      </c>
      <c r="C51" s="81">
        <v>1510</v>
      </c>
      <c r="D51" s="81"/>
      <c r="E51" s="81">
        <v>1293.2</v>
      </c>
      <c r="F51" s="81">
        <v>1598</v>
      </c>
      <c r="G51" s="11">
        <f t="shared" si="1"/>
        <v>304.79999999999995</v>
      </c>
      <c r="H51" s="11">
        <f>IFERROR(IF(Yearending&gt;B50,'5. Historical demand'!F51-'5. Historical demand'!C51-'5. Historical demand'!D51,""),"")</f>
        <v>88</v>
      </c>
      <c r="I51" s="11">
        <f t="shared" si="2"/>
        <v>216.79999999999995</v>
      </c>
    </row>
    <row r="52" spans="2:9" x14ac:dyDescent="0.2">
      <c r="B52" s="192">
        <f t="shared" si="0"/>
        <v>45483</v>
      </c>
      <c r="C52" s="81">
        <v>1510</v>
      </c>
      <c r="D52" s="81"/>
      <c r="E52" s="81">
        <v>1292.164</v>
      </c>
      <c r="F52" s="81">
        <v>1598</v>
      </c>
      <c r="G52" s="11">
        <f t="shared" si="1"/>
        <v>305.83600000000001</v>
      </c>
      <c r="H52" s="11">
        <f>IFERROR(IF(Yearending&gt;B51,'5. Historical demand'!F52-'5. Historical demand'!C52-'5. Historical demand'!D52,""),"")</f>
        <v>88</v>
      </c>
      <c r="I52" s="11">
        <f t="shared" si="2"/>
        <v>217.83600000000001</v>
      </c>
    </row>
    <row r="53" spans="2:9" x14ac:dyDescent="0.2">
      <c r="B53" s="192">
        <f t="shared" si="0"/>
        <v>45484</v>
      </c>
      <c r="C53" s="81">
        <v>1510</v>
      </c>
      <c r="D53" s="81"/>
      <c r="E53" s="81">
        <v>1459.537</v>
      </c>
      <c r="F53" s="81">
        <v>1598</v>
      </c>
      <c r="G53" s="11">
        <f t="shared" si="1"/>
        <v>138.46299999999997</v>
      </c>
      <c r="H53" s="11">
        <f>IFERROR(IF(Yearending&gt;B52,'5. Historical demand'!F53-'5. Historical demand'!C53-'5. Historical demand'!D53,""),"")</f>
        <v>88</v>
      </c>
      <c r="I53" s="11">
        <f t="shared" si="2"/>
        <v>50.462999999999965</v>
      </c>
    </row>
    <row r="54" spans="2:9" x14ac:dyDescent="0.2">
      <c r="B54" s="192">
        <f t="shared" si="0"/>
        <v>45485</v>
      </c>
      <c r="C54" s="81">
        <v>1510</v>
      </c>
      <c r="D54" s="81"/>
      <c r="E54" s="81">
        <v>1499.223</v>
      </c>
      <c r="F54" s="81">
        <v>1598</v>
      </c>
      <c r="G54" s="11">
        <f t="shared" si="1"/>
        <v>98.777000000000044</v>
      </c>
      <c r="H54" s="11">
        <f>IFERROR(IF(Yearending&gt;B53,'5. Historical demand'!F54-'5. Historical demand'!C54-'5. Historical demand'!D54,""),"")</f>
        <v>88</v>
      </c>
      <c r="I54" s="11">
        <f t="shared" si="2"/>
        <v>10.777000000000044</v>
      </c>
    </row>
    <row r="55" spans="2:9" x14ac:dyDescent="0.2">
      <c r="B55" s="192">
        <f t="shared" si="0"/>
        <v>45486</v>
      </c>
      <c r="C55" s="81">
        <v>1510</v>
      </c>
      <c r="D55" s="81"/>
      <c r="E55" s="81">
        <v>1488.6320000000001</v>
      </c>
      <c r="F55" s="81">
        <v>1598</v>
      </c>
      <c r="G55" s="11">
        <f t="shared" si="1"/>
        <v>109.36799999999994</v>
      </c>
      <c r="H55" s="11">
        <f>IFERROR(IF(Yearending&gt;B54,'5. Historical demand'!F55-'5. Historical demand'!C55-'5. Historical demand'!D55,""),"")</f>
        <v>88</v>
      </c>
      <c r="I55" s="11">
        <f t="shared" si="2"/>
        <v>21.367999999999938</v>
      </c>
    </row>
    <row r="56" spans="2:9" x14ac:dyDescent="0.2">
      <c r="B56" s="192">
        <f t="shared" si="0"/>
        <v>45487</v>
      </c>
      <c r="C56" s="81">
        <v>1510</v>
      </c>
      <c r="D56" s="81"/>
      <c r="E56" s="81">
        <v>1498.2660000000001</v>
      </c>
      <c r="F56" s="81">
        <v>1598</v>
      </c>
      <c r="G56" s="11">
        <f t="shared" si="1"/>
        <v>99.733999999999924</v>
      </c>
      <c r="H56" s="11">
        <f>IFERROR(IF(Yearending&gt;B55,'5. Historical demand'!F56-'5. Historical demand'!C56-'5. Historical demand'!D56,""),"")</f>
        <v>88</v>
      </c>
      <c r="I56" s="11">
        <f t="shared" si="2"/>
        <v>11.733999999999924</v>
      </c>
    </row>
    <row r="57" spans="2:9" x14ac:dyDescent="0.2">
      <c r="B57" s="192">
        <f t="shared" si="0"/>
        <v>45488</v>
      </c>
      <c r="C57" s="81">
        <v>1510</v>
      </c>
      <c r="D57" s="81"/>
      <c r="E57" s="81">
        <v>1512.08</v>
      </c>
      <c r="F57" s="81">
        <v>1598</v>
      </c>
      <c r="G57" s="11">
        <f t="shared" si="1"/>
        <v>85.920000000000073</v>
      </c>
      <c r="H57" s="11">
        <f>IFERROR(IF(Yearending&gt;B56,'5. Historical demand'!F57-'5. Historical demand'!C57-'5. Historical demand'!D57,""),"")</f>
        <v>88</v>
      </c>
      <c r="I57" s="11">
        <f t="shared" si="2"/>
        <v>-2.0799999999999272</v>
      </c>
    </row>
    <row r="58" spans="2:9" x14ac:dyDescent="0.2">
      <c r="B58" s="192">
        <f t="shared" si="0"/>
        <v>45489</v>
      </c>
      <c r="C58" s="81">
        <v>1510</v>
      </c>
      <c r="D58" s="81"/>
      <c r="E58" s="81">
        <v>1543.3489999999999</v>
      </c>
      <c r="F58" s="81">
        <v>1598</v>
      </c>
      <c r="G58" s="11">
        <f t="shared" si="1"/>
        <v>54.651000000000067</v>
      </c>
      <c r="H58" s="11">
        <f>IFERROR(IF(Yearending&gt;B57,'5. Historical demand'!F58-'5. Historical demand'!C58-'5. Historical demand'!D58,""),"")</f>
        <v>88</v>
      </c>
      <c r="I58" s="11">
        <f t="shared" si="2"/>
        <v>-33.348999999999933</v>
      </c>
    </row>
    <row r="59" spans="2:9" x14ac:dyDescent="0.2">
      <c r="B59" s="192">
        <f t="shared" si="0"/>
        <v>45490</v>
      </c>
      <c r="C59" s="81">
        <v>1510</v>
      </c>
      <c r="D59" s="81"/>
      <c r="E59" s="81">
        <v>1555.5219999999999</v>
      </c>
      <c r="F59" s="81">
        <v>1598</v>
      </c>
      <c r="G59" s="11">
        <f t="shared" si="1"/>
        <v>42.478000000000065</v>
      </c>
      <c r="H59" s="11">
        <f>IFERROR(IF(Yearending&gt;B58,'5. Historical demand'!F59-'5. Historical demand'!C59-'5. Historical demand'!D59,""),"")</f>
        <v>88</v>
      </c>
      <c r="I59" s="11">
        <f t="shared" si="2"/>
        <v>-45.521999999999935</v>
      </c>
    </row>
    <row r="60" spans="2:9" x14ac:dyDescent="0.2">
      <c r="B60" s="192">
        <f t="shared" si="0"/>
        <v>45491</v>
      </c>
      <c r="C60" s="81">
        <v>1510</v>
      </c>
      <c r="D60" s="81"/>
      <c r="E60" s="81">
        <v>1550.1210000000001</v>
      </c>
      <c r="F60" s="81">
        <v>1598</v>
      </c>
      <c r="G60" s="11">
        <f t="shared" si="1"/>
        <v>47.878999999999905</v>
      </c>
      <c r="H60" s="11">
        <f>IFERROR(IF(Yearending&gt;B59,'5. Historical demand'!F60-'5. Historical demand'!C60-'5. Historical demand'!D60,""),"")</f>
        <v>88</v>
      </c>
      <c r="I60" s="11">
        <f t="shared" si="2"/>
        <v>-40.121000000000095</v>
      </c>
    </row>
    <row r="61" spans="2:9" x14ac:dyDescent="0.2">
      <c r="B61" s="192">
        <f t="shared" si="0"/>
        <v>45492</v>
      </c>
      <c r="C61" s="81">
        <v>1510</v>
      </c>
      <c r="D61" s="81"/>
      <c r="E61" s="81">
        <v>1532.7809999999999</v>
      </c>
      <c r="F61" s="81">
        <v>1598</v>
      </c>
      <c r="G61" s="11">
        <f t="shared" si="1"/>
        <v>65.219000000000051</v>
      </c>
      <c r="H61" s="11">
        <f>IFERROR(IF(Yearending&gt;B60,'5. Historical demand'!F61-'5. Historical demand'!C61-'5. Historical demand'!D61,""),"")</f>
        <v>88</v>
      </c>
      <c r="I61" s="11">
        <f t="shared" si="2"/>
        <v>-22.780999999999949</v>
      </c>
    </row>
    <row r="62" spans="2:9" x14ac:dyDescent="0.2">
      <c r="B62" s="192">
        <f t="shared" si="0"/>
        <v>45493</v>
      </c>
      <c r="C62" s="81">
        <v>1510</v>
      </c>
      <c r="D62" s="81"/>
      <c r="E62" s="81">
        <v>1503.6489999999999</v>
      </c>
      <c r="F62" s="81">
        <v>1598</v>
      </c>
      <c r="G62" s="11">
        <f t="shared" si="1"/>
        <v>94.351000000000113</v>
      </c>
      <c r="H62" s="11">
        <f>IFERROR(IF(Yearending&gt;B61,'5. Historical demand'!F62-'5. Historical demand'!C62-'5. Historical demand'!D62,""),"")</f>
        <v>88</v>
      </c>
      <c r="I62" s="11">
        <f t="shared" si="2"/>
        <v>6.3510000000001128</v>
      </c>
    </row>
    <row r="63" spans="2:9" x14ac:dyDescent="0.2">
      <c r="B63" s="192">
        <f t="shared" si="0"/>
        <v>45494</v>
      </c>
      <c r="C63" s="81">
        <v>1510</v>
      </c>
      <c r="D63" s="81"/>
      <c r="E63" s="81">
        <v>1495.1469999999999</v>
      </c>
      <c r="F63" s="81">
        <v>1598</v>
      </c>
      <c r="G63" s="11">
        <f t="shared" si="1"/>
        <v>102.85300000000007</v>
      </c>
      <c r="H63" s="11">
        <f>IFERROR(IF(Yearending&gt;B62,'5. Historical demand'!F63-'5. Historical demand'!C63-'5. Historical demand'!D63,""),"")</f>
        <v>88</v>
      </c>
      <c r="I63" s="11">
        <f t="shared" si="2"/>
        <v>14.853000000000065</v>
      </c>
    </row>
    <row r="64" spans="2:9" x14ac:dyDescent="0.2">
      <c r="B64" s="192">
        <f t="shared" si="0"/>
        <v>45495</v>
      </c>
      <c r="C64" s="81">
        <v>1510</v>
      </c>
      <c r="D64" s="81"/>
      <c r="E64" s="81">
        <v>1464.021</v>
      </c>
      <c r="F64" s="81">
        <v>1598</v>
      </c>
      <c r="G64" s="11">
        <f t="shared" si="1"/>
        <v>133.97900000000004</v>
      </c>
      <c r="H64" s="11">
        <f>IFERROR(IF(Yearending&gt;B63,'5. Historical demand'!F64-'5. Historical demand'!C64-'5. Historical demand'!D64,""),"")</f>
        <v>88</v>
      </c>
      <c r="I64" s="11">
        <f t="shared" si="2"/>
        <v>45.979000000000042</v>
      </c>
    </row>
    <row r="65" spans="2:9" x14ac:dyDescent="0.2">
      <c r="B65" s="192">
        <f t="shared" si="0"/>
        <v>45496</v>
      </c>
      <c r="C65" s="81">
        <v>1510</v>
      </c>
      <c r="D65" s="81"/>
      <c r="E65" s="81">
        <v>1410.4570000000001</v>
      </c>
      <c r="F65" s="81">
        <v>1598</v>
      </c>
      <c r="G65" s="11">
        <f t="shared" si="1"/>
        <v>187.54299999999989</v>
      </c>
      <c r="H65" s="11">
        <f>IFERROR(IF(Yearending&gt;B64,'5. Historical demand'!F65-'5. Historical demand'!C65-'5. Historical demand'!D65,""),"")</f>
        <v>88</v>
      </c>
      <c r="I65" s="11">
        <f t="shared" si="2"/>
        <v>99.542999999999893</v>
      </c>
    </row>
    <row r="66" spans="2:9" x14ac:dyDescent="0.2">
      <c r="B66" s="192">
        <f t="shared" si="0"/>
        <v>45497</v>
      </c>
      <c r="C66" s="81">
        <v>1510</v>
      </c>
      <c r="D66" s="81"/>
      <c r="E66" s="81">
        <v>1458.373</v>
      </c>
      <c r="F66" s="81">
        <v>1598</v>
      </c>
      <c r="G66" s="11">
        <f t="shared" si="1"/>
        <v>139.62699999999995</v>
      </c>
      <c r="H66" s="11">
        <f>IFERROR(IF(Yearending&gt;B65,'5. Historical demand'!F66-'5. Historical demand'!C66-'5. Historical demand'!D66,""),"")</f>
        <v>88</v>
      </c>
      <c r="I66" s="11">
        <f t="shared" si="2"/>
        <v>51.626999999999953</v>
      </c>
    </row>
    <row r="67" spans="2:9" x14ac:dyDescent="0.2">
      <c r="B67" s="192">
        <f t="shared" si="0"/>
        <v>45498</v>
      </c>
      <c r="C67" s="81">
        <v>1510</v>
      </c>
      <c r="D67" s="81"/>
      <c r="E67" s="81">
        <v>1523.95</v>
      </c>
      <c r="F67" s="81">
        <v>1598</v>
      </c>
      <c r="G67" s="11">
        <f t="shared" si="1"/>
        <v>74.049999999999955</v>
      </c>
      <c r="H67" s="11">
        <f>IFERROR(IF(Yearending&gt;B66,'5. Historical demand'!F67-'5. Historical demand'!C67-'5. Historical demand'!D67,""),"")</f>
        <v>88</v>
      </c>
      <c r="I67" s="11">
        <f t="shared" si="2"/>
        <v>-13.950000000000045</v>
      </c>
    </row>
    <row r="68" spans="2:9" x14ac:dyDescent="0.2">
      <c r="B68" s="192">
        <f t="shared" si="0"/>
        <v>45499</v>
      </c>
      <c r="C68" s="81">
        <v>1510</v>
      </c>
      <c r="D68" s="81"/>
      <c r="E68" s="81">
        <v>1458.4290000000001</v>
      </c>
      <c r="F68" s="81">
        <v>1598</v>
      </c>
      <c r="G68" s="11">
        <f t="shared" si="1"/>
        <v>139.57099999999991</v>
      </c>
      <c r="H68" s="11">
        <f>IFERROR(IF(Yearending&gt;B67,'5. Historical demand'!F68-'5. Historical demand'!C68-'5. Historical demand'!D68,""),"")</f>
        <v>88</v>
      </c>
      <c r="I68" s="11">
        <f t="shared" si="2"/>
        <v>51.570999999999913</v>
      </c>
    </row>
    <row r="69" spans="2:9" x14ac:dyDescent="0.2">
      <c r="B69" s="192">
        <f t="shared" si="0"/>
        <v>45500</v>
      </c>
      <c r="C69" s="81">
        <v>1510</v>
      </c>
      <c r="D69" s="81"/>
      <c r="E69" s="81">
        <v>1373.9870000000001</v>
      </c>
      <c r="F69" s="81">
        <v>1598</v>
      </c>
      <c r="G69" s="11">
        <f t="shared" si="1"/>
        <v>224.01299999999992</v>
      </c>
      <c r="H69" s="11">
        <f>IFERROR(IF(Yearending&gt;B68,'5. Historical demand'!F69-'5. Historical demand'!C69-'5. Historical demand'!D69,""),"")</f>
        <v>88</v>
      </c>
      <c r="I69" s="11">
        <f t="shared" si="2"/>
        <v>136.01299999999992</v>
      </c>
    </row>
    <row r="70" spans="2:9" x14ac:dyDescent="0.2">
      <c r="B70" s="192">
        <f t="shared" si="0"/>
        <v>45501</v>
      </c>
      <c r="C70" s="81">
        <v>1510</v>
      </c>
      <c r="D70" s="81"/>
      <c r="E70" s="81">
        <v>1356.1030000000001</v>
      </c>
      <c r="F70" s="81">
        <v>1598</v>
      </c>
      <c r="G70" s="11">
        <f t="shared" si="1"/>
        <v>241.89699999999993</v>
      </c>
      <c r="H70" s="11">
        <f>IFERROR(IF(Yearending&gt;B69,'5. Historical demand'!F70-'5. Historical demand'!C70-'5. Historical demand'!D70,""),"")</f>
        <v>88</v>
      </c>
      <c r="I70" s="11">
        <f t="shared" si="2"/>
        <v>153.89699999999993</v>
      </c>
    </row>
    <row r="71" spans="2:9" x14ac:dyDescent="0.2">
      <c r="B71" s="192">
        <f t="shared" si="0"/>
        <v>45502</v>
      </c>
      <c r="C71" s="81">
        <v>1510</v>
      </c>
      <c r="D71" s="81"/>
      <c r="E71" s="81">
        <v>1328.7090000000001</v>
      </c>
      <c r="F71" s="81">
        <v>1598</v>
      </c>
      <c r="G71" s="11">
        <f t="shared" si="1"/>
        <v>269.29099999999994</v>
      </c>
      <c r="H71" s="11">
        <f>IFERROR(IF(Yearending&gt;B70,'5. Historical demand'!F71-'5. Historical demand'!C71-'5. Historical demand'!D71,""),"")</f>
        <v>88</v>
      </c>
      <c r="I71" s="11">
        <f t="shared" si="2"/>
        <v>181.29099999999994</v>
      </c>
    </row>
    <row r="72" spans="2:9" x14ac:dyDescent="0.2">
      <c r="B72" s="192">
        <f t="shared" si="0"/>
        <v>45503</v>
      </c>
      <c r="C72" s="81">
        <v>1510</v>
      </c>
      <c r="D72" s="81"/>
      <c r="E72" s="81">
        <v>1274.662</v>
      </c>
      <c r="F72" s="81">
        <v>1598</v>
      </c>
      <c r="G72" s="11">
        <f t="shared" si="1"/>
        <v>323.33799999999997</v>
      </c>
      <c r="H72" s="11">
        <f>IFERROR(IF(Yearending&gt;B71,'5. Historical demand'!F72-'5. Historical demand'!C72-'5. Historical demand'!D72,""),"")</f>
        <v>88</v>
      </c>
      <c r="I72" s="11">
        <f t="shared" si="2"/>
        <v>235.33799999999997</v>
      </c>
    </row>
    <row r="73" spans="2:9" x14ac:dyDescent="0.2">
      <c r="B73" s="192">
        <f t="shared" si="0"/>
        <v>45504</v>
      </c>
      <c r="C73" s="81">
        <v>1510</v>
      </c>
      <c r="D73" s="81"/>
      <c r="E73" s="81">
        <v>1286.605</v>
      </c>
      <c r="F73" s="81">
        <v>1598</v>
      </c>
      <c r="G73" s="11">
        <f t="shared" si="1"/>
        <v>311.39499999999998</v>
      </c>
      <c r="H73" s="11">
        <f>IFERROR(IF(Yearending&gt;B72,'5. Historical demand'!F73-'5. Historical demand'!C73-'5. Historical demand'!D73,""),"")</f>
        <v>88</v>
      </c>
      <c r="I73" s="11">
        <f t="shared" si="2"/>
        <v>223.39499999999998</v>
      </c>
    </row>
    <row r="74" spans="2:9" x14ac:dyDescent="0.2">
      <c r="B74" s="192">
        <f t="shared" si="0"/>
        <v>45505</v>
      </c>
      <c r="C74" s="81">
        <v>1510</v>
      </c>
      <c r="D74" s="81"/>
      <c r="E74" s="81">
        <v>1302.04</v>
      </c>
      <c r="F74" s="81">
        <v>1598</v>
      </c>
      <c r="G74" s="11">
        <f t="shared" si="1"/>
        <v>295.96000000000004</v>
      </c>
      <c r="H74" s="11">
        <f>IFERROR(IF(Yearending&gt;B73,'5. Historical demand'!F74-'5. Historical demand'!C74-'5. Historical demand'!D74,""),"")</f>
        <v>88</v>
      </c>
      <c r="I74" s="11">
        <f t="shared" si="2"/>
        <v>207.96000000000004</v>
      </c>
    </row>
    <row r="75" spans="2:9" x14ac:dyDescent="0.2">
      <c r="B75" s="192">
        <f t="shared" si="0"/>
        <v>45506</v>
      </c>
      <c r="C75" s="81">
        <v>1510</v>
      </c>
      <c r="D75" s="81"/>
      <c r="E75" s="81">
        <v>1305.287</v>
      </c>
      <c r="F75" s="81">
        <v>1598</v>
      </c>
      <c r="G75" s="11">
        <f t="shared" si="1"/>
        <v>292.71299999999997</v>
      </c>
      <c r="H75" s="11">
        <f>IFERROR(IF(Yearending&gt;B74,'5. Historical demand'!F75-'5. Historical demand'!C75-'5. Historical demand'!D75,""),"")</f>
        <v>88</v>
      </c>
      <c r="I75" s="11">
        <f t="shared" si="2"/>
        <v>204.71299999999997</v>
      </c>
    </row>
    <row r="76" spans="2:9" x14ac:dyDescent="0.2">
      <c r="B76" s="192">
        <f t="shared" si="0"/>
        <v>45507</v>
      </c>
      <c r="C76" s="81">
        <v>1510</v>
      </c>
      <c r="D76" s="81"/>
      <c r="E76" s="81">
        <v>1330.741</v>
      </c>
      <c r="F76" s="81">
        <v>1598</v>
      </c>
      <c r="G76" s="11">
        <f t="shared" si="1"/>
        <v>267.25900000000001</v>
      </c>
      <c r="H76" s="11">
        <f>IFERROR(IF(Yearending&gt;B75,'5. Historical demand'!F76-'5. Historical demand'!C76-'5. Historical demand'!D76,""),"")</f>
        <v>88</v>
      </c>
      <c r="I76" s="11">
        <f t="shared" si="2"/>
        <v>179.25900000000001</v>
      </c>
    </row>
    <row r="77" spans="2:9" x14ac:dyDescent="0.2">
      <c r="B77" s="192">
        <f t="shared" si="0"/>
        <v>45508</v>
      </c>
      <c r="C77" s="81">
        <v>1510</v>
      </c>
      <c r="D77" s="81"/>
      <c r="E77" s="81">
        <v>1347.7560000000001</v>
      </c>
      <c r="F77" s="81">
        <v>1598</v>
      </c>
      <c r="G77" s="11">
        <f t="shared" si="1"/>
        <v>250.24399999999991</v>
      </c>
      <c r="H77" s="11">
        <f>IFERROR(IF(Yearending&gt;B76,'5. Historical demand'!F77-'5. Historical demand'!C77-'5. Historical demand'!D77,""),"")</f>
        <v>88</v>
      </c>
      <c r="I77" s="11">
        <f t="shared" si="2"/>
        <v>162.24399999999991</v>
      </c>
    </row>
    <row r="78" spans="2:9" x14ac:dyDescent="0.2">
      <c r="B78" s="192">
        <f t="shared" si="0"/>
        <v>45509</v>
      </c>
      <c r="C78" s="81">
        <v>1510</v>
      </c>
      <c r="D78" s="81"/>
      <c r="E78" s="81">
        <v>1339.06</v>
      </c>
      <c r="F78" s="81">
        <v>1598</v>
      </c>
      <c r="G78" s="11">
        <f t="shared" si="1"/>
        <v>258.94000000000005</v>
      </c>
      <c r="H78" s="11">
        <f>IFERROR(IF(Yearending&gt;B77,'5. Historical demand'!F78-'5. Historical demand'!C78-'5. Historical demand'!D78,""),"")</f>
        <v>88</v>
      </c>
      <c r="I78" s="11">
        <f t="shared" si="2"/>
        <v>170.94000000000005</v>
      </c>
    </row>
    <row r="79" spans="2:9" x14ac:dyDescent="0.2">
      <c r="B79" s="192">
        <f t="shared" si="0"/>
        <v>45510</v>
      </c>
      <c r="C79" s="81">
        <v>1510</v>
      </c>
      <c r="D79" s="81"/>
      <c r="E79" s="81">
        <v>1180.9490000000001</v>
      </c>
      <c r="F79" s="81">
        <v>1598</v>
      </c>
      <c r="G79" s="11">
        <f t="shared" si="1"/>
        <v>417.05099999999993</v>
      </c>
      <c r="H79" s="11">
        <f>IFERROR(IF(Yearending&gt;B78,'5. Historical demand'!F79-'5. Historical demand'!C79-'5. Historical demand'!D79,""),"")</f>
        <v>88</v>
      </c>
      <c r="I79" s="11">
        <f t="shared" si="2"/>
        <v>329.05099999999993</v>
      </c>
    </row>
    <row r="80" spans="2:9" x14ac:dyDescent="0.2">
      <c r="B80" s="192">
        <f t="shared" si="0"/>
        <v>45511</v>
      </c>
      <c r="C80" s="81">
        <v>1510</v>
      </c>
      <c r="D80" s="81"/>
      <c r="E80" s="81">
        <v>1194.636</v>
      </c>
      <c r="F80" s="81">
        <v>1598</v>
      </c>
      <c r="G80" s="11">
        <f t="shared" si="1"/>
        <v>403.36400000000003</v>
      </c>
      <c r="H80" s="11">
        <f>IFERROR(IF(Yearending&gt;B79,'5. Historical demand'!F80-'5. Historical demand'!C80-'5. Historical demand'!D80,""),"")</f>
        <v>88</v>
      </c>
      <c r="I80" s="11">
        <f t="shared" si="2"/>
        <v>315.36400000000003</v>
      </c>
    </row>
    <row r="81" spans="2:9" x14ac:dyDescent="0.2">
      <c r="B81" s="192">
        <f t="shared" si="0"/>
        <v>45512</v>
      </c>
      <c r="C81" s="81">
        <v>1510</v>
      </c>
      <c r="D81" s="81"/>
      <c r="E81" s="81">
        <v>1226.7080000000001</v>
      </c>
      <c r="F81" s="81">
        <v>1598</v>
      </c>
      <c r="G81" s="11">
        <f t="shared" si="1"/>
        <v>371.29199999999992</v>
      </c>
      <c r="H81" s="11">
        <f>IFERROR(IF(Yearending&gt;B80,'5. Historical demand'!F81-'5. Historical demand'!C81-'5. Historical demand'!D81,""),"")</f>
        <v>88</v>
      </c>
      <c r="I81" s="11">
        <f t="shared" si="2"/>
        <v>283.29199999999992</v>
      </c>
    </row>
    <row r="82" spans="2:9" x14ac:dyDescent="0.2">
      <c r="B82" s="192">
        <f t="shared" si="0"/>
        <v>45513</v>
      </c>
      <c r="C82" s="81">
        <v>1510</v>
      </c>
      <c r="D82" s="81"/>
      <c r="E82" s="81">
        <v>1225.838</v>
      </c>
      <c r="F82" s="81">
        <v>1598</v>
      </c>
      <c r="G82" s="11">
        <f t="shared" si="1"/>
        <v>372.16200000000003</v>
      </c>
      <c r="H82" s="11">
        <f>IFERROR(IF(Yearending&gt;B81,'5. Historical demand'!F82-'5. Historical demand'!C82-'5. Historical demand'!D82,""),"")</f>
        <v>88</v>
      </c>
      <c r="I82" s="11">
        <f t="shared" si="2"/>
        <v>284.16200000000003</v>
      </c>
    </row>
    <row r="83" spans="2:9" x14ac:dyDescent="0.2">
      <c r="B83" s="192">
        <f t="shared" si="0"/>
        <v>45514</v>
      </c>
      <c r="C83" s="81">
        <v>1510</v>
      </c>
      <c r="D83" s="81"/>
      <c r="E83" s="81">
        <v>1235.4590000000001</v>
      </c>
      <c r="F83" s="81">
        <v>1598</v>
      </c>
      <c r="G83" s="11">
        <f t="shared" si="1"/>
        <v>362.54099999999994</v>
      </c>
      <c r="H83" s="11">
        <f>IFERROR(IF(Yearending&gt;B82,'5. Historical demand'!F83-'5. Historical demand'!C83-'5. Historical demand'!D83,""),"")</f>
        <v>88</v>
      </c>
      <c r="I83" s="11">
        <f t="shared" si="2"/>
        <v>274.54099999999994</v>
      </c>
    </row>
    <row r="84" spans="2:9" x14ac:dyDescent="0.2">
      <c r="B84" s="192">
        <f t="shared" si="0"/>
        <v>45515</v>
      </c>
      <c r="C84" s="81">
        <v>1510</v>
      </c>
      <c r="D84" s="81"/>
      <c r="E84" s="81">
        <v>1222.3440000000001</v>
      </c>
      <c r="F84" s="81">
        <v>1598</v>
      </c>
      <c r="G84" s="11">
        <f t="shared" si="1"/>
        <v>375.65599999999995</v>
      </c>
      <c r="H84" s="11">
        <f>IFERROR(IF(Yearending&gt;B83,'5. Historical demand'!F84-'5. Historical demand'!C84-'5. Historical demand'!D84,""),"")</f>
        <v>88</v>
      </c>
      <c r="I84" s="11">
        <f t="shared" si="2"/>
        <v>287.65599999999995</v>
      </c>
    </row>
    <row r="85" spans="2:9" x14ac:dyDescent="0.2">
      <c r="B85" s="192">
        <f t="shared" si="0"/>
        <v>45516</v>
      </c>
      <c r="C85" s="81">
        <v>1510</v>
      </c>
      <c r="D85" s="81"/>
      <c r="E85" s="81">
        <v>1223.3720000000001</v>
      </c>
      <c r="F85" s="81">
        <v>1598</v>
      </c>
      <c r="G85" s="11">
        <f t="shared" si="1"/>
        <v>374.62799999999993</v>
      </c>
      <c r="H85" s="11">
        <f>IFERROR(IF(Yearending&gt;B84,'5. Historical demand'!F85-'5. Historical demand'!C85-'5. Historical demand'!D85,""),"")</f>
        <v>88</v>
      </c>
      <c r="I85" s="11">
        <f t="shared" si="2"/>
        <v>286.62799999999993</v>
      </c>
    </row>
    <row r="86" spans="2:9" x14ac:dyDescent="0.2">
      <c r="B86" s="192">
        <f t="shared" si="0"/>
        <v>45517</v>
      </c>
      <c r="C86" s="81">
        <v>1510</v>
      </c>
      <c r="D86" s="81"/>
      <c r="E86" s="81">
        <v>1264.8520000000001</v>
      </c>
      <c r="F86" s="81">
        <v>1598</v>
      </c>
      <c r="G86" s="11">
        <f t="shared" si="1"/>
        <v>333.14799999999991</v>
      </c>
      <c r="H86" s="11">
        <f>IFERROR(IF(Yearending&gt;B85,'5. Historical demand'!F86-'5. Historical demand'!C86-'5. Historical demand'!D86,""),"")</f>
        <v>88</v>
      </c>
      <c r="I86" s="11">
        <f t="shared" si="2"/>
        <v>245.14799999999991</v>
      </c>
    </row>
    <row r="87" spans="2:9" x14ac:dyDescent="0.2">
      <c r="B87" s="192">
        <f t="shared" si="0"/>
        <v>45518</v>
      </c>
      <c r="C87" s="81">
        <v>1510</v>
      </c>
      <c r="D87" s="81"/>
      <c r="E87" s="81">
        <v>1350.3710000000001</v>
      </c>
      <c r="F87" s="81">
        <v>1598</v>
      </c>
      <c r="G87" s="11">
        <f t="shared" si="1"/>
        <v>247.62899999999991</v>
      </c>
      <c r="H87" s="11">
        <f>IFERROR(IF(Yearending&gt;B86,'5. Historical demand'!F87-'5. Historical demand'!C87-'5. Historical demand'!D87,""),"")</f>
        <v>88</v>
      </c>
      <c r="I87" s="11">
        <f t="shared" si="2"/>
        <v>159.62899999999991</v>
      </c>
    </row>
    <row r="88" spans="2:9" x14ac:dyDescent="0.2">
      <c r="B88" s="192">
        <f t="shared" si="0"/>
        <v>45519</v>
      </c>
      <c r="C88" s="81">
        <v>1510</v>
      </c>
      <c r="D88" s="81"/>
      <c r="E88" s="81">
        <v>1482.94</v>
      </c>
      <c r="F88" s="81">
        <v>1598</v>
      </c>
      <c r="G88" s="11">
        <f t="shared" si="1"/>
        <v>115.05999999999995</v>
      </c>
      <c r="H88" s="11">
        <f>IFERROR(IF(Yearending&gt;B87,'5. Historical demand'!F88-'5. Historical demand'!C88-'5. Historical demand'!D88,""),"")</f>
        <v>88</v>
      </c>
      <c r="I88" s="11">
        <f t="shared" si="2"/>
        <v>27.059999999999945</v>
      </c>
    </row>
    <row r="89" spans="2:9" x14ac:dyDescent="0.2">
      <c r="B89" s="192">
        <f t="shared" si="0"/>
        <v>45520</v>
      </c>
      <c r="C89" s="81">
        <v>1510</v>
      </c>
      <c r="D89" s="81"/>
      <c r="E89" s="81">
        <v>1414.4639999999999</v>
      </c>
      <c r="F89" s="81">
        <v>1598</v>
      </c>
      <c r="G89" s="11">
        <f t="shared" si="1"/>
        <v>183.53600000000006</v>
      </c>
      <c r="H89" s="11">
        <f>IFERROR(IF(Yearending&gt;B88,'5. Historical demand'!F89-'5. Historical demand'!C89-'5. Historical demand'!D89,""),"")</f>
        <v>88</v>
      </c>
      <c r="I89" s="11">
        <f t="shared" si="2"/>
        <v>95.536000000000058</v>
      </c>
    </row>
    <row r="90" spans="2:9" x14ac:dyDescent="0.2">
      <c r="B90" s="192">
        <f t="shared" si="0"/>
        <v>45521</v>
      </c>
      <c r="C90" s="81">
        <v>1510</v>
      </c>
      <c r="D90" s="81"/>
      <c r="E90" s="81">
        <v>1208.2049999999999</v>
      </c>
      <c r="F90" s="81">
        <v>1598</v>
      </c>
      <c r="G90" s="11">
        <f t="shared" si="1"/>
        <v>389.79500000000007</v>
      </c>
      <c r="H90" s="11">
        <f>IFERROR(IF(Yearending&gt;B89,'5. Historical demand'!F90-'5. Historical demand'!C90-'5. Historical demand'!D90,""),"")</f>
        <v>88</v>
      </c>
      <c r="I90" s="11">
        <f t="shared" si="2"/>
        <v>301.79500000000007</v>
      </c>
    </row>
    <row r="91" spans="2:9" x14ac:dyDescent="0.2">
      <c r="B91" s="192">
        <f t="shared" si="0"/>
        <v>45522</v>
      </c>
      <c r="C91" s="81">
        <v>1510</v>
      </c>
      <c r="D91" s="81"/>
      <c r="E91" s="81">
        <v>1236.2470000000001</v>
      </c>
      <c r="F91" s="81">
        <v>1598</v>
      </c>
      <c r="G91" s="11">
        <f t="shared" si="1"/>
        <v>361.75299999999993</v>
      </c>
      <c r="H91" s="11">
        <f>IFERROR(IF(Yearending&gt;B90,'5. Historical demand'!F91-'5. Historical demand'!C91-'5. Historical demand'!D91,""),"")</f>
        <v>88</v>
      </c>
      <c r="I91" s="11">
        <f t="shared" si="2"/>
        <v>273.75299999999993</v>
      </c>
    </row>
    <row r="92" spans="2:9" x14ac:dyDescent="0.2">
      <c r="B92" s="192">
        <f t="shared" si="0"/>
        <v>45523</v>
      </c>
      <c r="C92" s="81">
        <v>1510</v>
      </c>
      <c r="D92" s="81"/>
      <c r="E92" s="81">
        <v>1262.55</v>
      </c>
      <c r="F92" s="81">
        <v>1598</v>
      </c>
      <c r="G92" s="11">
        <f t="shared" si="1"/>
        <v>335.45000000000005</v>
      </c>
      <c r="H92" s="11">
        <f>IFERROR(IF(Yearending&gt;B91,'5. Historical demand'!F92-'5. Historical demand'!C92-'5. Historical demand'!D92,""),"")</f>
        <v>88</v>
      </c>
      <c r="I92" s="11">
        <f t="shared" si="2"/>
        <v>247.45000000000005</v>
      </c>
    </row>
    <row r="93" spans="2:9" x14ac:dyDescent="0.2">
      <c r="B93" s="192">
        <f t="shared" si="0"/>
        <v>45524</v>
      </c>
      <c r="C93" s="81">
        <v>1510</v>
      </c>
      <c r="D93" s="81"/>
      <c r="E93" s="81">
        <v>1304.078</v>
      </c>
      <c r="F93" s="81">
        <v>1598</v>
      </c>
      <c r="G93" s="11">
        <f t="shared" si="1"/>
        <v>293.92200000000003</v>
      </c>
      <c r="H93" s="11">
        <f>IFERROR(IF(Yearending&gt;B92,'5. Historical demand'!F93-'5. Historical demand'!C93-'5. Historical demand'!D93,""),"")</f>
        <v>88</v>
      </c>
      <c r="I93" s="11">
        <f t="shared" si="2"/>
        <v>205.92200000000003</v>
      </c>
    </row>
    <row r="94" spans="2:9" x14ac:dyDescent="0.2">
      <c r="B94" s="192">
        <f t="shared" si="0"/>
        <v>45525</v>
      </c>
      <c r="C94" s="81">
        <v>1510</v>
      </c>
      <c r="D94" s="81"/>
      <c r="E94" s="81">
        <v>1450.818</v>
      </c>
      <c r="F94" s="81">
        <v>1598</v>
      </c>
      <c r="G94" s="11">
        <f t="shared" si="1"/>
        <v>147.18200000000002</v>
      </c>
      <c r="H94" s="11">
        <f>IFERROR(IF(Yearending&gt;B93,'5. Historical demand'!F94-'5. Historical demand'!C94-'5. Historical demand'!D94,""),"")</f>
        <v>88</v>
      </c>
      <c r="I94" s="11">
        <f t="shared" si="2"/>
        <v>59.182000000000016</v>
      </c>
    </row>
    <row r="95" spans="2:9" x14ac:dyDescent="0.2">
      <c r="B95" s="192">
        <f t="shared" si="0"/>
        <v>45526</v>
      </c>
      <c r="C95" s="81">
        <v>1510</v>
      </c>
      <c r="D95" s="81"/>
      <c r="E95" s="81">
        <v>1391.979</v>
      </c>
      <c r="F95" s="81">
        <v>1598</v>
      </c>
      <c r="G95" s="11">
        <f t="shared" si="1"/>
        <v>206.02099999999996</v>
      </c>
      <c r="H95" s="11">
        <f>IFERROR(IF(Yearending&gt;B94,'5. Historical demand'!F95-'5. Historical demand'!C95-'5. Historical demand'!D95,""),"")</f>
        <v>88</v>
      </c>
      <c r="I95" s="11">
        <f t="shared" si="2"/>
        <v>118.02099999999996</v>
      </c>
    </row>
    <row r="96" spans="2:9" x14ac:dyDescent="0.2">
      <c r="B96" s="192">
        <f t="shared" si="0"/>
        <v>45527</v>
      </c>
      <c r="C96" s="81">
        <v>1510</v>
      </c>
      <c r="D96" s="81"/>
      <c r="E96" s="81">
        <v>1410.6769999999999</v>
      </c>
      <c r="F96" s="81">
        <v>1598</v>
      </c>
      <c r="G96" s="11">
        <f t="shared" si="1"/>
        <v>187.32300000000009</v>
      </c>
      <c r="H96" s="11">
        <f>IFERROR(IF(Yearending&gt;B95,'5. Historical demand'!F96-'5. Historical demand'!C96-'5. Historical demand'!D96,""),"")</f>
        <v>88</v>
      </c>
      <c r="I96" s="11">
        <f t="shared" si="2"/>
        <v>99.323000000000093</v>
      </c>
    </row>
    <row r="97" spans="2:9" x14ac:dyDescent="0.2">
      <c r="B97" s="192">
        <f t="shared" si="0"/>
        <v>45528</v>
      </c>
      <c r="C97" s="81">
        <v>1510</v>
      </c>
      <c r="D97" s="81"/>
      <c r="E97" s="81">
        <v>1454.183</v>
      </c>
      <c r="F97" s="81">
        <v>1598</v>
      </c>
      <c r="G97" s="11">
        <f t="shared" si="1"/>
        <v>143.81700000000001</v>
      </c>
      <c r="H97" s="11">
        <f>IFERROR(IF(Yearending&gt;B96,'5. Historical demand'!F97-'5. Historical demand'!C97-'5. Historical demand'!D97,""),"")</f>
        <v>88</v>
      </c>
      <c r="I97" s="11">
        <f t="shared" si="2"/>
        <v>55.817000000000007</v>
      </c>
    </row>
    <row r="98" spans="2:9" x14ac:dyDescent="0.2">
      <c r="B98" s="192">
        <f t="shared" si="0"/>
        <v>45529</v>
      </c>
      <c r="C98" s="81">
        <v>1510</v>
      </c>
      <c r="D98" s="81"/>
      <c r="E98" s="81">
        <v>1492.2090000000001</v>
      </c>
      <c r="F98" s="81">
        <v>1598</v>
      </c>
      <c r="G98" s="11">
        <f t="shared" si="1"/>
        <v>105.79099999999994</v>
      </c>
      <c r="H98" s="11">
        <f>IFERROR(IF(Yearending&gt;B97,'5. Historical demand'!F98-'5. Historical demand'!C98-'5. Historical demand'!D98,""),"")</f>
        <v>88</v>
      </c>
      <c r="I98" s="11">
        <f t="shared" si="2"/>
        <v>17.79099999999994</v>
      </c>
    </row>
    <row r="99" spans="2:9" x14ac:dyDescent="0.2">
      <c r="B99" s="192">
        <f t="shared" si="0"/>
        <v>45530</v>
      </c>
      <c r="C99" s="81">
        <v>1510</v>
      </c>
      <c r="D99" s="81"/>
      <c r="E99" s="81">
        <v>1493.7449999999999</v>
      </c>
      <c r="F99" s="81">
        <v>1598</v>
      </c>
      <c r="G99" s="11">
        <f t="shared" si="1"/>
        <v>104.25500000000011</v>
      </c>
      <c r="H99" s="11">
        <f>IFERROR(IF(Yearending&gt;B98,'5. Historical demand'!F99-'5. Historical demand'!C99-'5. Historical demand'!D99,""),"")</f>
        <v>88</v>
      </c>
      <c r="I99" s="11">
        <f t="shared" si="2"/>
        <v>16.255000000000109</v>
      </c>
    </row>
    <row r="100" spans="2:9" x14ac:dyDescent="0.2">
      <c r="B100" s="192">
        <f t="shared" si="0"/>
        <v>45531</v>
      </c>
      <c r="C100" s="81">
        <v>1510</v>
      </c>
      <c r="D100" s="81"/>
      <c r="E100" s="81">
        <v>1481.414</v>
      </c>
      <c r="F100" s="81">
        <v>1598</v>
      </c>
      <c r="G100" s="11">
        <f t="shared" si="1"/>
        <v>116.58600000000001</v>
      </c>
      <c r="H100" s="11">
        <f>IFERROR(IF(Yearending&gt;B99,'5. Historical demand'!F100-'5. Historical demand'!C100-'5. Historical demand'!D100,""),"")</f>
        <v>88</v>
      </c>
      <c r="I100" s="11">
        <f t="shared" si="2"/>
        <v>28.586000000000013</v>
      </c>
    </row>
    <row r="101" spans="2:9" x14ac:dyDescent="0.2">
      <c r="B101" s="192">
        <f t="shared" si="0"/>
        <v>45532</v>
      </c>
      <c r="C101" s="81">
        <v>1510</v>
      </c>
      <c r="D101" s="81"/>
      <c r="E101" s="81">
        <v>1469.3520000000001</v>
      </c>
      <c r="F101" s="81">
        <v>1598</v>
      </c>
      <c r="G101" s="11">
        <f t="shared" si="1"/>
        <v>128.64799999999991</v>
      </c>
      <c r="H101" s="11">
        <f>IFERROR(IF(Yearending&gt;B100,'5. Historical demand'!F101-'5. Historical demand'!C101-'5. Historical demand'!D101,""),"")</f>
        <v>88</v>
      </c>
      <c r="I101" s="11">
        <f t="shared" si="2"/>
        <v>40.647999999999911</v>
      </c>
    </row>
    <row r="102" spans="2:9" x14ac:dyDescent="0.2">
      <c r="B102" s="192">
        <f t="shared" si="0"/>
        <v>45533</v>
      </c>
      <c r="C102" s="81">
        <v>1510</v>
      </c>
      <c r="D102" s="81"/>
      <c r="E102" s="81">
        <v>1479.0930000000001</v>
      </c>
      <c r="F102" s="81">
        <v>1598</v>
      </c>
      <c r="G102" s="11">
        <f t="shared" si="1"/>
        <v>118.90699999999993</v>
      </c>
      <c r="H102" s="11">
        <f>IFERROR(IF(Yearending&gt;B101,'5. Historical demand'!F102-'5. Historical demand'!C102-'5. Historical demand'!D102,""),"")</f>
        <v>88</v>
      </c>
      <c r="I102" s="11">
        <f t="shared" si="2"/>
        <v>30.906999999999925</v>
      </c>
    </row>
    <row r="103" spans="2:9" x14ac:dyDescent="0.2">
      <c r="B103" s="192">
        <f t="shared" si="0"/>
        <v>45534</v>
      </c>
      <c r="C103" s="81">
        <v>1510</v>
      </c>
      <c r="D103" s="81"/>
      <c r="E103" s="81">
        <v>1280.9259999999999</v>
      </c>
      <c r="F103" s="81">
        <v>1598</v>
      </c>
      <c r="G103" s="11">
        <f t="shared" si="1"/>
        <v>317.07400000000007</v>
      </c>
      <c r="H103" s="11">
        <f>IFERROR(IF(Yearending&gt;B102,'5. Historical demand'!F103-'5. Historical demand'!C103-'5. Historical demand'!D103,""),"")</f>
        <v>88</v>
      </c>
      <c r="I103" s="11">
        <f t="shared" si="2"/>
        <v>229.07400000000007</v>
      </c>
    </row>
    <row r="104" spans="2:9" x14ac:dyDescent="0.2">
      <c r="B104" s="192">
        <f t="shared" si="0"/>
        <v>45535</v>
      </c>
      <c r="C104" s="81">
        <v>1510</v>
      </c>
      <c r="D104" s="81"/>
      <c r="E104" s="81">
        <v>1497.9490000000001</v>
      </c>
      <c r="F104" s="81">
        <v>1598</v>
      </c>
      <c r="G104" s="11">
        <f t="shared" si="1"/>
        <v>100.05099999999993</v>
      </c>
      <c r="H104" s="11">
        <f>IFERROR(IF(Yearending&gt;B103,'5. Historical demand'!F104-'5. Historical demand'!C104-'5. Historical demand'!D104,""),"")</f>
        <v>88</v>
      </c>
      <c r="I104" s="11">
        <f t="shared" si="2"/>
        <v>12.050999999999931</v>
      </c>
    </row>
    <row r="105" spans="2:9" x14ac:dyDescent="0.2">
      <c r="B105" s="192">
        <f t="shared" si="0"/>
        <v>45536</v>
      </c>
      <c r="C105" s="81">
        <v>1510</v>
      </c>
      <c r="D105" s="81"/>
      <c r="E105" s="81">
        <v>1500.5360000000001</v>
      </c>
      <c r="F105" s="81">
        <v>1598</v>
      </c>
      <c r="G105" s="11">
        <f t="shared" si="1"/>
        <v>97.463999999999942</v>
      </c>
      <c r="H105" s="11">
        <f>IFERROR(IF(Yearending&gt;B104,'5. Historical demand'!F105-'5. Historical demand'!C105-'5. Historical demand'!D105,""),"")</f>
        <v>88</v>
      </c>
      <c r="I105" s="11">
        <f t="shared" si="2"/>
        <v>9.4639999999999418</v>
      </c>
    </row>
    <row r="106" spans="2:9" x14ac:dyDescent="0.2">
      <c r="B106" s="192">
        <f t="shared" si="0"/>
        <v>45537</v>
      </c>
      <c r="C106" s="81">
        <v>1510</v>
      </c>
      <c r="D106" s="81"/>
      <c r="E106" s="81">
        <v>364.03899999999999</v>
      </c>
      <c r="F106" s="81">
        <v>1598</v>
      </c>
      <c r="G106" s="11">
        <f t="shared" si="1"/>
        <v>1233.961</v>
      </c>
      <c r="H106" s="11">
        <f>IFERROR(IF(Yearending&gt;B105,'5. Historical demand'!F106-'5. Historical demand'!C106-'5. Historical demand'!D106,""),"")</f>
        <v>88</v>
      </c>
      <c r="I106" s="11">
        <f t="shared" si="2"/>
        <v>1145.961</v>
      </c>
    </row>
    <row r="107" spans="2:9" x14ac:dyDescent="0.2">
      <c r="B107" s="192">
        <f t="shared" si="0"/>
        <v>45538</v>
      </c>
      <c r="C107" s="81">
        <v>1510</v>
      </c>
      <c r="D107" s="81"/>
      <c r="E107" s="81">
        <v>475.642</v>
      </c>
      <c r="F107" s="81">
        <v>1598</v>
      </c>
      <c r="G107" s="11">
        <f t="shared" si="1"/>
        <v>1122.3579999999999</v>
      </c>
      <c r="H107" s="11">
        <f>IFERROR(IF(Yearending&gt;B106,'5. Historical demand'!F107-'5. Historical demand'!C107-'5. Historical demand'!D107,""),"")</f>
        <v>88</v>
      </c>
      <c r="I107" s="11">
        <f t="shared" si="2"/>
        <v>1034.3579999999999</v>
      </c>
    </row>
    <row r="108" spans="2:9" x14ac:dyDescent="0.2">
      <c r="B108" s="192">
        <f t="shared" ref="B108:B171" si="3">IFERROR(IF(Yearending&gt;B107, B107+1, ""),"")</f>
        <v>45539</v>
      </c>
      <c r="C108" s="81">
        <v>1510</v>
      </c>
      <c r="D108" s="81"/>
      <c r="E108" s="81">
        <v>750.15599999999995</v>
      </c>
      <c r="F108" s="81">
        <v>1598</v>
      </c>
      <c r="G108" s="11">
        <f t="shared" ref="G108:G171" si="4">IFERROR(IF(Yearending&gt;B107,F108-E108,""),"")</f>
        <v>847.84400000000005</v>
      </c>
      <c r="H108" s="11">
        <f>IFERROR(IF(Yearending&gt;B107,'5. Historical demand'!F108-'5. Historical demand'!C108-'5. Historical demand'!D108,""),"")</f>
        <v>88</v>
      </c>
      <c r="I108" s="11">
        <f t="shared" ref="I108:I171" si="5">IFERROR(IF(Yearending&gt;B107,C108+D108-E108,""),"")</f>
        <v>759.84400000000005</v>
      </c>
    </row>
    <row r="109" spans="2:9" x14ac:dyDescent="0.2">
      <c r="B109" s="192">
        <f t="shared" si="3"/>
        <v>45540</v>
      </c>
      <c r="C109" s="81">
        <v>1510</v>
      </c>
      <c r="D109" s="81"/>
      <c r="E109" s="81">
        <v>777.59799999999996</v>
      </c>
      <c r="F109" s="81">
        <v>1598</v>
      </c>
      <c r="G109" s="11">
        <f t="shared" si="4"/>
        <v>820.40200000000004</v>
      </c>
      <c r="H109" s="11">
        <f>IFERROR(IF(Yearending&gt;B108,'5. Historical demand'!F109-'5. Historical demand'!C109-'5. Historical demand'!D109,""),"")</f>
        <v>88</v>
      </c>
      <c r="I109" s="11">
        <f t="shared" si="5"/>
        <v>732.40200000000004</v>
      </c>
    </row>
    <row r="110" spans="2:9" x14ac:dyDescent="0.2">
      <c r="B110" s="192">
        <f t="shared" si="3"/>
        <v>45541</v>
      </c>
      <c r="C110" s="81">
        <v>1510</v>
      </c>
      <c r="D110" s="81"/>
      <c r="E110" s="81">
        <v>976.66200000000003</v>
      </c>
      <c r="F110" s="81">
        <v>1598</v>
      </c>
      <c r="G110" s="11">
        <f t="shared" si="4"/>
        <v>621.33799999999997</v>
      </c>
      <c r="H110" s="11">
        <f>IFERROR(IF(Yearending&gt;B109,'5. Historical demand'!F110-'5. Historical demand'!C110-'5. Historical demand'!D110,""),"")</f>
        <v>88</v>
      </c>
      <c r="I110" s="11">
        <f t="shared" si="5"/>
        <v>533.33799999999997</v>
      </c>
    </row>
    <row r="111" spans="2:9" x14ac:dyDescent="0.2">
      <c r="B111" s="192">
        <f t="shared" si="3"/>
        <v>45542</v>
      </c>
      <c r="C111" s="81">
        <v>1510</v>
      </c>
      <c r="D111" s="81"/>
      <c r="E111" s="81">
        <v>1519.5229999999999</v>
      </c>
      <c r="F111" s="81">
        <v>1598</v>
      </c>
      <c r="G111" s="11">
        <f t="shared" si="4"/>
        <v>78.477000000000089</v>
      </c>
      <c r="H111" s="11">
        <f>IFERROR(IF(Yearending&gt;B110,'5. Historical demand'!F111-'5. Historical demand'!C111-'5. Historical demand'!D111,""),"")</f>
        <v>88</v>
      </c>
      <c r="I111" s="11">
        <f t="shared" si="5"/>
        <v>-9.5229999999999109</v>
      </c>
    </row>
    <row r="112" spans="2:9" x14ac:dyDescent="0.2">
      <c r="B112" s="192">
        <f t="shared" si="3"/>
        <v>45543</v>
      </c>
      <c r="C112" s="81">
        <v>1510</v>
      </c>
      <c r="D112" s="81"/>
      <c r="E112" s="81">
        <v>1525.325</v>
      </c>
      <c r="F112" s="81">
        <v>1598</v>
      </c>
      <c r="G112" s="11">
        <f t="shared" si="4"/>
        <v>72.674999999999955</v>
      </c>
      <c r="H112" s="11">
        <f>IFERROR(IF(Yearending&gt;B111,'5. Historical demand'!F112-'5. Historical demand'!C112-'5. Historical demand'!D112,""),"")</f>
        <v>88</v>
      </c>
      <c r="I112" s="11">
        <f t="shared" si="5"/>
        <v>-15.325000000000045</v>
      </c>
    </row>
    <row r="113" spans="2:9" x14ac:dyDescent="0.2">
      <c r="B113" s="192">
        <f t="shared" si="3"/>
        <v>45544</v>
      </c>
      <c r="C113" s="81">
        <v>1510</v>
      </c>
      <c r="D113" s="81"/>
      <c r="E113" s="81">
        <v>1464.0630000000001</v>
      </c>
      <c r="F113" s="81">
        <v>1598</v>
      </c>
      <c r="G113" s="11">
        <f t="shared" si="4"/>
        <v>133.9369999999999</v>
      </c>
      <c r="H113" s="11">
        <f>IFERROR(IF(Yearending&gt;B112,'5. Historical demand'!F113-'5. Historical demand'!C113-'5. Historical demand'!D113,""),"")</f>
        <v>88</v>
      </c>
      <c r="I113" s="11">
        <f t="shared" si="5"/>
        <v>45.936999999999898</v>
      </c>
    </row>
    <row r="114" spans="2:9" x14ac:dyDescent="0.2">
      <c r="B114" s="192">
        <f t="shared" si="3"/>
        <v>45545</v>
      </c>
      <c r="C114" s="81">
        <v>1510</v>
      </c>
      <c r="D114" s="81"/>
      <c r="E114" s="81">
        <v>1398.2249999999999</v>
      </c>
      <c r="F114" s="81">
        <v>1598</v>
      </c>
      <c r="G114" s="11">
        <f t="shared" si="4"/>
        <v>199.77500000000009</v>
      </c>
      <c r="H114" s="11">
        <f>IFERROR(IF(Yearending&gt;B113,'5. Historical demand'!F114-'5. Historical demand'!C114-'5. Historical demand'!D114,""),"")</f>
        <v>88</v>
      </c>
      <c r="I114" s="11">
        <f t="shared" si="5"/>
        <v>111.77500000000009</v>
      </c>
    </row>
    <row r="115" spans="2:9" x14ac:dyDescent="0.2">
      <c r="B115" s="192">
        <f t="shared" si="3"/>
        <v>45546</v>
      </c>
      <c r="C115" s="81">
        <v>1510</v>
      </c>
      <c r="D115" s="81"/>
      <c r="E115" s="81">
        <v>1457.752</v>
      </c>
      <c r="F115" s="81">
        <v>1598</v>
      </c>
      <c r="G115" s="11">
        <f t="shared" si="4"/>
        <v>140.24800000000005</v>
      </c>
      <c r="H115" s="11">
        <f>IFERROR(IF(Yearending&gt;B114,'5. Historical demand'!F115-'5. Historical demand'!C115-'5. Historical demand'!D115,""),"")</f>
        <v>88</v>
      </c>
      <c r="I115" s="11">
        <f t="shared" si="5"/>
        <v>52.248000000000047</v>
      </c>
    </row>
    <row r="116" spans="2:9" x14ac:dyDescent="0.2">
      <c r="B116" s="192">
        <f t="shared" si="3"/>
        <v>45547</v>
      </c>
      <c r="C116" s="81">
        <v>1510</v>
      </c>
      <c r="D116" s="81"/>
      <c r="E116" s="81">
        <v>1408.4079999999999</v>
      </c>
      <c r="F116" s="81">
        <v>1598</v>
      </c>
      <c r="G116" s="11">
        <f t="shared" si="4"/>
        <v>189.5920000000001</v>
      </c>
      <c r="H116" s="11">
        <f>IFERROR(IF(Yearending&gt;B115,'5. Historical demand'!F116-'5. Historical demand'!C116-'5. Historical demand'!D116,""),"")</f>
        <v>88</v>
      </c>
      <c r="I116" s="11">
        <f t="shared" si="5"/>
        <v>101.5920000000001</v>
      </c>
    </row>
    <row r="117" spans="2:9" x14ac:dyDescent="0.2">
      <c r="B117" s="192">
        <f t="shared" si="3"/>
        <v>45548</v>
      </c>
      <c r="C117" s="81">
        <v>1510</v>
      </c>
      <c r="D117" s="81"/>
      <c r="E117" s="81">
        <v>1416.826</v>
      </c>
      <c r="F117" s="81">
        <v>1598</v>
      </c>
      <c r="G117" s="11">
        <f t="shared" si="4"/>
        <v>181.17399999999998</v>
      </c>
      <c r="H117" s="11">
        <f>IFERROR(IF(Yearending&gt;B116,'5. Historical demand'!F117-'5. Historical demand'!C117-'5. Historical demand'!D117,""),"")</f>
        <v>88</v>
      </c>
      <c r="I117" s="11">
        <f t="shared" si="5"/>
        <v>93.173999999999978</v>
      </c>
    </row>
    <row r="118" spans="2:9" x14ac:dyDescent="0.2">
      <c r="B118" s="192">
        <f t="shared" si="3"/>
        <v>45549</v>
      </c>
      <c r="C118" s="81">
        <v>1510</v>
      </c>
      <c r="D118" s="81"/>
      <c r="E118" s="81">
        <v>1450.346</v>
      </c>
      <c r="F118" s="81">
        <v>1598</v>
      </c>
      <c r="G118" s="11">
        <f t="shared" si="4"/>
        <v>147.654</v>
      </c>
      <c r="H118" s="11">
        <f>IFERROR(IF(Yearending&gt;B117,'5. Historical demand'!F118-'5. Historical demand'!C118-'5. Historical demand'!D118,""),"")</f>
        <v>88</v>
      </c>
      <c r="I118" s="11">
        <f t="shared" si="5"/>
        <v>59.653999999999996</v>
      </c>
    </row>
    <row r="119" spans="2:9" x14ac:dyDescent="0.2">
      <c r="B119" s="192">
        <f t="shared" si="3"/>
        <v>45550</v>
      </c>
      <c r="C119" s="81">
        <v>1510</v>
      </c>
      <c r="D119" s="81"/>
      <c r="E119" s="81">
        <v>1459.1980000000001</v>
      </c>
      <c r="F119" s="81">
        <v>1598</v>
      </c>
      <c r="G119" s="11">
        <f t="shared" si="4"/>
        <v>138.80199999999991</v>
      </c>
      <c r="H119" s="11">
        <f>IFERROR(IF(Yearending&gt;B118,'5. Historical demand'!F119-'5. Historical demand'!C119-'5. Historical demand'!D119,""),"")</f>
        <v>88</v>
      </c>
      <c r="I119" s="11">
        <f t="shared" si="5"/>
        <v>50.801999999999907</v>
      </c>
    </row>
    <row r="120" spans="2:9" x14ac:dyDescent="0.2">
      <c r="B120" s="192">
        <f t="shared" si="3"/>
        <v>45551</v>
      </c>
      <c r="C120" s="81">
        <v>1510</v>
      </c>
      <c r="D120" s="81"/>
      <c r="E120" s="81">
        <v>1475.6</v>
      </c>
      <c r="F120" s="81">
        <v>1598</v>
      </c>
      <c r="G120" s="11">
        <f t="shared" si="4"/>
        <v>122.40000000000009</v>
      </c>
      <c r="H120" s="11">
        <f>IFERROR(IF(Yearending&gt;B119,'5. Historical demand'!F120-'5. Historical demand'!C120-'5. Historical demand'!D120,""),"")</f>
        <v>88</v>
      </c>
      <c r="I120" s="11">
        <f t="shared" si="5"/>
        <v>34.400000000000091</v>
      </c>
    </row>
    <row r="121" spans="2:9" x14ac:dyDescent="0.2">
      <c r="B121" s="192">
        <f t="shared" si="3"/>
        <v>45552</v>
      </c>
      <c r="C121" s="81">
        <v>1510</v>
      </c>
      <c r="D121" s="81"/>
      <c r="E121" s="81">
        <v>1474.125</v>
      </c>
      <c r="F121" s="81">
        <v>1598</v>
      </c>
      <c r="G121" s="11">
        <f t="shared" si="4"/>
        <v>123.875</v>
      </c>
      <c r="H121" s="11">
        <f>IFERROR(IF(Yearending&gt;B120,'5. Historical demand'!F121-'5. Historical demand'!C121-'5. Historical demand'!D121,""),"")</f>
        <v>88</v>
      </c>
      <c r="I121" s="11">
        <f t="shared" si="5"/>
        <v>35.875</v>
      </c>
    </row>
    <row r="122" spans="2:9" x14ac:dyDescent="0.2">
      <c r="B122" s="192">
        <f t="shared" si="3"/>
        <v>45553</v>
      </c>
      <c r="C122" s="81">
        <v>1510</v>
      </c>
      <c r="D122" s="81"/>
      <c r="E122" s="81">
        <v>1470.355</v>
      </c>
      <c r="F122" s="81">
        <v>1598</v>
      </c>
      <c r="G122" s="11">
        <f t="shared" si="4"/>
        <v>127.64499999999998</v>
      </c>
      <c r="H122" s="11">
        <f>IFERROR(IF(Yearending&gt;B121,'5. Historical demand'!F122-'5. Historical demand'!C122-'5. Historical demand'!D122,""),"")</f>
        <v>88</v>
      </c>
      <c r="I122" s="11">
        <f t="shared" si="5"/>
        <v>39.644999999999982</v>
      </c>
    </row>
    <row r="123" spans="2:9" x14ac:dyDescent="0.2">
      <c r="B123" s="192">
        <f t="shared" si="3"/>
        <v>45554</v>
      </c>
      <c r="C123" s="81">
        <v>1510</v>
      </c>
      <c r="D123" s="81"/>
      <c r="E123" s="81">
        <v>1449.998</v>
      </c>
      <c r="F123" s="81">
        <v>1598</v>
      </c>
      <c r="G123" s="11">
        <f t="shared" si="4"/>
        <v>148.00199999999995</v>
      </c>
      <c r="H123" s="11">
        <f>IFERROR(IF(Yearending&gt;B122,'5. Historical demand'!F123-'5. Historical demand'!C123-'5. Historical demand'!D123,""),"")</f>
        <v>88</v>
      </c>
      <c r="I123" s="11">
        <f t="shared" si="5"/>
        <v>60.001999999999953</v>
      </c>
    </row>
    <row r="124" spans="2:9" x14ac:dyDescent="0.2">
      <c r="B124" s="192">
        <f t="shared" si="3"/>
        <v>45555</v>
      </c>
      <c r="C124" s="81">
        <v>1510</v>
      </c>
      <c r="D124" s="81"/>
      <c r="E124" s="81">
        <v>1391.953</v>
      </c>
      <c r="F124" s="81">
        <v>1598</v>
      </c>
      <c r="G124" s="11">
        <f t="shared" si="4"/>
        <v>206.04700000000003</v>
      </c>
      <c r="H124" s="11">
        <f>IFERROR(IF(Yearending&gt;B123,'5. Historical demand'!F124-'5. Historical demand'!C124-'5. Historical demand'!D124,""),"")</f>
        <v>88</v>
      </c>
      <c r="I124" s="11">
        <f t="shared" si="5"/>
        <v>118.04700000000003</v>
      </c>
    </row>
    <row r="125" spans="2:9" x14ac:dyDescent="0.2">
      <c r="B125" s="192">
        <f t="shared" si="3"/>
        <v>45556</v>
      </c>
      <c r="C125" s="81">
        <v>1510</v>
      </c>
      <c r="D125" s="81"/>
      <c r="E125" s="81">
        <v>1388.126</v>
      </c>
      <c r="F125" s="81">
        <v>1598</v>
      </c>
      <c r="G125" s="11">
        <f t="shared" si="4"/>
        <v>209.87400000000002</v>
      </c>
      <c r="H125" s="11">
        <f>IFERROR(IF(Yearending&gt;B124,'5. Historical demand'!F125-'5. Historical demand'!C125-'5. Historical demand'!D125,""),"")</f>
        <v>88</v>
      </c>
      <c r="I125" s="11">
        <f t="shared" si="5"/>
        <v>121.87400000000002</v>
      </c>
    </row>
    <row r="126" spans="2:9" x14ac:dyDescent="0.2">
      <c r="B126" s="192">
        <f t="shared" si="3"/>
        <v>45557</v>
      </c>
      <c r="C126" s="81">
        <v>1510</v>
      </c>
      <c r="D126" s="81"/>
      <c r="E126" s="81">
        <v>1502.028</v>
      </c>
      <c r="F126" s="81">
        <v>1598</v>
      </c>
      <c r="G126" s="11">
        <f t="shared" si="4"/>
        <v>95.97199999999998</v>
      </c>
      <c r="H126" s="11">
        <f>IFERROR(IF(Yearending&gt;B125,'5. Historical demand'!F126-'5. Historical demand'!C126-'5. Historical demand'!D126,""),"")</f>
        <v>88</v>
      </c>
      <c r="I126" s="11">
        <f t="shared" si="5"/>
        <v>7.97199999999998</v>
      </c>
    </row>
    <row r="127" spans="2:9" x14ac:dyDescent="0.2">
      <c r="B127" s="192">
        <f t="shared" si="3"/>
        <v>45558</v>
      </c>
      <c r="C127" s="81">
        <v>1510</v>
      </c>
      <c r="D127" s="81"/>
      <c r="E127" s="81">
        <v>1460.809</v>
      </c>
      <c r="F127" s="81">
        <v>1598</v>
      </c>
      <c r="G127" s="11">
        <f t="shared" si="4"/>
        <v>137.19100000000003</v>
      </c>
      <c r="H127" s="11">
        <f>IFERROR(IF(Yearending&gt;B126,'5. Historical demand'!F127-'5. Historical demand'!C127-'5. Historical demand'!D127,""),"")</f>
        <v>88</v>
      </c>
      <c r="I127" s="11">
        <f t="shared" si="5"/>
        <v>49.191000000000031</v>
      </c>
    </row>
    <row r="128" spans="2:9" x14ac:dyDescent="0.2">
      <c r="B128" s="192">
        <f t="shared" si="3"/>
        <v>45559</v>
      </c>
      <c r="C128" s="81">
        <v>1510</v>
      </c>
      <c r="D128" s="81"/>
      <c r="E128" s="81">
        <v>1429.384</v>
      </c>
      <c r="F128" s="81">
        <v>1598</v>
      </c>
      <c r="G128" s="11">
        <f t="shared" si="4"/>
        <v>168.61599999999999</v>
      </c>
      <c r="H128" s="11">
        <f>IFERROR(IF(Yearending&gt;B127,'5. Historical demand'!F128-'5. Historical demand'!C128-'5. Historical demand'!D128,""),"")</f>
        <v>88</v>
      </c>
      <c r="I128" s="11">
        <f t="shared" si="5"/>
        <v>80.615999999999985</v>
      </c>
    </row>
    <row r="129" spans="2:9" x14ac:dyDescent="0.2">
      <c r="B129" s="192">
        <f t="shared" si="3"/>
        <v>45560</v>
      </c>
      <c r="C129" s="81">
        <v>1510</v>
      </c>
      <c r="D129" s="81"/>
      <c r="E129" s="81">
        <v>1430.759</v>
      </c>
      <c r="F129" s="81">
        <v>1598</v>
      </c>
      <c r="G129" s="11">
        <f t="shared" si="4"/>
        <v>167.24099999999999</v>
      </c>
      <c r="H129" s="11">
        <f>IFERROR(IF(Yearending&gt;B128,'5. Historical demand'!F129-'5. Historical demand'!C129-'5. Historical demand'!D129,""),"")</f>
        <v>88</v>
      </c>
      <c r="I129" s="11">
        <f t="shared" si="5"/>
        <v>79.240999999999985</v>
      </c>
    </row>
    <row r="130" spans="2:9" x14ac:dyDescent="0.2">
      <c r="B130" s="192">
        <f t="shared" si="3"/>
        <v>45561</v>
      </c>
      <c r="C130" s="81">
        <v>1510</v>
      </c>
      <c r="D130" s="81"/>
      <c r="E130" s="81">
        <v>1435.104</v>
      </c>
      <c r="F130" s="81">
        <v>1598</v>
      </c>
      <c r="G130" s="11">
        <f t="shared" si="4"/>
        <v>162.89599999999996</v>
      </c>
      <c r="H130" s="11">
        <f>IFERROR(IF(Yearending&gt;B129,'5. Historical demand'!F130-'5. Historical demand'!C130-'5. Historical demand'!D130,""),"")</f>
        <v>88</v>
      </c>
      <c r="I130" s="11">
        <f t="shared" si="5"/>
        <v>74.895999999999958</v>
      </c>
    </row>
    <row r="131" spans="2:9" x14ac:dyDescent="0.2">
      <c r="B131" s="192">
        <f t="shared" si="3"/>
        <v>45562</v>
      </c>
      <c r="C131" s="81">
        <v>1510</v>
      </c>
      <c r="D131" s="81"/>
      <c r="E131" s="81">
        <v>1427.87</v>
      </c>
      <c r="F131" s="81">
        <v>1598</v>
      </c>
      <c r="G131" s="11">
        <f t="shared" si="4"/>
        <v>170.13000000000011</v>
      </c>
      <c r="H131" s="11">
        <f>IFERROR(IF(Yearending&gt;B130,'5. Historical demand'!F131-'5. Historical demand'!C131-'5. Historical demand'!D131,""),"")</f>
        <v>88</v>
      </c>
      <c r="I131" s="11">
        <f t="shared" si="5"/>
        <v>82.130000000000109</v>
      </c>
    </row>
    <row r="132" spans="2:9" x14ac:dyDescent="0.2">
      <c r="B132" s="192">
        <f t="shared" si="3"/>
        <v>45563</v>
      </c>
      <c r="C132" s="81">
        <v>1510</v>
      </c>
      <c r="D132" s="81"/>
      <c r="E132" s="81">
        <v>1480.44</v>
      </c>
      <c r="F132" s="81">
        <v>1598</v>
      </c>
      <c r="G132" s="11">
        <f t="shared" si="4"/>
        <v>117.55999999999995</v>
      </c>
      <c r="H132" s="11">
        <f>IFERROR(IF(Yearending&gt;B131,'5. Historical demand'!F132-'5. Historical demand'!C132-'5. Historical demand'!D132,""),"")</f>
        <v>88</v>
      </c>
      <c r="I132" s="11">
        <f t="shared" si="5"/>
        <v>29.559999999999945</v>
      </c>
    </row>
    <row r="133" spans="2:9" x14ac:dyDescent="0.2">
      <c r="B133" s="192">
        <f t="shared" si="3"/>
        <v>45564</v>
      </c>
      <c r="C133" s="81">
        <v>1510</v>
      </c>
      <c r="D133" s="81"/>
      <c r="E133" s="81">
        <v>1465.537</v>
      </c>
      <c r="F133" s="81">
        <v>1598</v>
      </c>
      <c r="G133" s="11">
        <f t="shared" si="4"/>
        <v>132.46299999999997</v>
      </c>
      <c r="H133" s="11">
        <f>IFERROR(IF(Yearending&gt;B132,'5. Historical demand'!F133-'5. Historical demand'!C133-'5. Historical demand'!D133,""),"")</f>
        <v>88</v>
      </c>
      <c r="I133" s="11">
        <f t="shared" si="5"/>
        <v>44.462999999999965</v>
      </c>
    </row>
    <row r="134" spans="2:9" x14ac:dyDescent="0.2">
      <c r="B134" s="192">
        <f t="shared" si="3"/>
        <v>45565</v>
      </c>
      <c r="C134" s="81">
        <v>1510</v>
      </c>
      <c r="D134" s="81"/>
      <c r="E134" s="81">
        <v>1453.87</v>
      </c>
      <c r="F134" s="81">
        <v>1598</v>
      </c>
      <c r="G134" s="11">
        <f t="shared" si="4"/>
        <v>144.13000000000011</v>
      </c>
      <c r="H134" s="11">
        <f>IFERROR(IF(Yearending&gt;B133,'5. Historical demand'!F134-'5. Historical demand'!C134-'5. Historical demand'!D134,""),"")</f>
        <v>88</v>
      </c>
      <c r="I134" s="11">
        <f t="shared" si="5"/>
        <v>56.130000000000109</v>
      </c>
    </row>
    <row r="135" spans="2:9" x14ac:dyDescent="0.2">
      <c r="B135" s="192">
        <f t="shared" si="3"/>
        <v>45566</v>
      </c>
      <c r="C135" s="81">
        <v>1510</v>
      </c>
      <c r="D135" s="81"/>
      <c r="E135" s="81">
        <v>1433.0429999999999</v>
      </c>
      <c r="F135" s="81">
        <v>1598</v>
      </c>
      <c r="G135" s="11">
        <f t="shared" si="4"/>
        <v>164.95700000000011</v>
      </c>
      <c r="H135" s="11">
        <f>IFERROR(IF(Yearending&gt;B134,'5. Historical demand'!F135-'5. Historical demand'!C135-'5. Historical demand'!D135,""),"")</f>
        <v>88</v>
      </c>
      <c r="I135" s="11">
        <f t="shared" si="5"/>
        <v>76.957000000000107</v>
      </c>
    </row>
    <row r="136" spans="2:9" x14ac:dyDescent="0.2">
      <c r="B136" s="192">
        <f t="shared" si="3"/>
        <v>45567</v>
      </c>
      <c r="C136" s="81">
        <v>1510</v>
      </c>
      <c r="D136" s="81"/>
      <c r="E136" s="81">
        <v>1450.9559999999999</v>
      </c>
      <c r="F136" s="81">
        <v>1598</v>
      </c>
      <c r="G136" s="11">
        <f t="shared" si="4"/>
        <v>147.0440000000001</v>
      </c>
      <c r="H136" s="11">
        <f>IFERROR(IF(Yearending&gt;B135,'5. Historical demand'!F136-'5. Historical demand'!C136-'5. Historical demand'!D136,""),"")</f>
        <v>88</v>
      </c>
      <c r="I136" s="11">
        <f t="shared" si="5"/>
        <v>59.044000000000096</v>
      </c>
    </row>
    <row r="137" spans="2:9" x14ac:dyDescent="0.2">
      <c r="B137" s="192">
        <f t="shared" si="3"/>
        <v>45568</v>
      </c>
      <c r="C137" s="81">
        <v>1510</v>
      </c>
      <c r="D137" s="81"/>
      <c r="E137" s="81">
        <v>1482.404</v>
      </c>
      <c r="F137" s="81">
        <v>1598</v>
      </c>
      <c r="G137" s="11">
        <f t="shared" si="4"/>
        <v>115.596</v>
      </c>
      <c r="H137" s="11">
        <f>IFERROR(IF(Yearending&gt;B136,'5. Historical demand'!F137-'5. Historical demand'!C137-'5. Historical demand'!D137,""),"")</f>
        <v>88</v>
      </c>
      <c r="I137" s="11">
        <f t="shared" si="5"/>
        <v>27.596000000000004</v>
      </c>
    </row>
    <row r="138" spans="2:9" x14ac:dyDescent="0.2">
      <c r="B138" s="192">
        <f t="shared" si="3"/>
        <v>45569</v>
      </c>
      <c r="C138" s="81">
        <v>1510</v>
      </c>
      <c r="D138" s="81"/>
      <c r="E138" s="81">
        <v>1492.5029999999999</v>
      </c>
      <c r="F138" s="81">
        <v>1598</v>
      </c>
      <c r="G138" s="11">
        <f t="shared" si="4"/>
        <v>105.49700000000007</v>
      </c>
      <c r="H138" s="11">
        <f>IFERROR(IF(Yearending&gt;B137,'5. Historical demand'!F138-'5. Historical demand'!C138-'5. Historical demand'!D138,""),"")</f>
        <v>88</v>
      </c>
      <c r="I138" s="11">
        <f t="shared" si="5"/>
        <v>17.497000000000071</v>
      </c>
    </row>
    <row r="139" spans="2:9" x14ac:dyDescent="0.2">
      <c r="B139" s="192">
        <f t="shared" si="3"/>
        <v>45570</v>
      </c>
      <c r="C139" s="81">
        <v>1510</v>
      </c>
      <c r="D139" s="81"/>
      <c r="E139" s="81">
        <v>1474.2909999999999</v>
      </c>
      <c r="F139" s="81">
        <v>1598</v>
      </c>
      <c r="G139" s="11">
        <f t="shared" si="4"/>
        <v>123.70900000000006</v>
      </c>
      <c r="H139" s="11">
        <f>IFERROR(IF(Yearending&gt;B138,'5. Historical demand'!F139-'5. Historical demand'!C139-'5. Historical demand'!D139,""),"")</f>
        <v>88</v>
      </c>
      <c r="I139" s="11">
        <f t="shared" si="5"/>
        <v>35.70900000000006</v>
      </c>
    </row>
    <row r="140" spans="2:9" x14ac:dyDescent="0.2">
      <c r="B140" s="192">
        <f t="shared" si="3"/>
        <v>45571</v>
      </c>
      <c r="C140" s="81">
        <v>1510</v>
      </c>
      <c r="D140" s="81"/>
      <c r="E140" s="81">
        <v>1470.4259999999999</v>
      </c>
      <c r="F140" s="81">
        <v>1598</v>
      </c>
      <c r="G140" s="11">
        <f t="shared" si="4"/>
        <v>127.57400000000007</v>
      </c>
      <c r="H140" s="11">
        <f>IFERROR(IF(Yearending&gt;B139,'5. Historical demand'!F140-'5. Historical demand'!C140-'5. Historical demand'!D140,""),"")</f>
        <v>88</v>
      </c>
      <c r="I140" s="11">
        <f t="shared" si="5"/>
        <v>39.574000000000069</v>
      </c>
    </row>
    <row r="141" spans="2:9" x14ac:dyDescent="0.2">
      <c r="B141" s="192">
        <f t="shared" si="3"/>
        <v>45572</v>
      </c>
      <c r="C141" s="81">
        <v>1510</v>
      </c>
      <c r="D141" s="81"/>
      <c r="E141" s="81">
        <v>1453.8119999999999</v>
      </c>
      <c r="F141" s="81">
        <v>1598</v>
      </c>
      <c r="G141" s="11">
        <f t="shared" si="4"/>
        <v>144.1880000000001</v>
      </c>
      <c r="H141" s="11">
        <f>IFERROR(IF(Yearending&gt;B140,'5. Historical demand'!F141-'5. Historical demand'!C141-'5. Historical demand'!D141,""),"")</f>
        <v>88</v>
      </c>
      <c r="I141" s="11">
        <f t="shared" si="5"/>
        <v>56.188000000000102</v>
      </c>
    </row>
    <row r="142" spans="2:9" x14ac:dyDescent="0.2">
      <c r="B142" s="192">
        <f t="shared" si="3"/>
        <v>45573</v>
      </c>
      <c r="C142" s="81">
        <v>1510</v>
      </c>
      <c r="D142" s="81"/>
      <c r="E142" s="81">
        <v>1442.8589999999999</v>
      </c>
      <c r="F142" s="81">
        <v>1598</v>
      </c>
      <c r="G142" s="11">
        <f t="shared" si="4"/>
        <v>155.14100000000008</v>
      </c>
      <c r="H142" s="11">
        <f>IFERROR(IF(Yearending&gt;B141,'5. Historical demand'!F142-'5. Historical demand'!C142-'5. Historical demand'!D142,""),"")</f>
        <v>88</v>
      </c>
      <c r="I142" s="11">
        <f t="shared" si="5"/>
        <v>67.141000000000076</v>
      </c>
    </row>
    <row r="143" spans="2:9" x14ac:dyDescent="0.2">
      <c r="B143" s="192">
        <f t="shared" si="3"/>
        <v>45574</v>
      </c>
      <c r="C143" s="81">
        <v>1510</v>
      </c>
      <c r="D143" s="81"/>
      <c r="E143" s="81">
        <v>1413.76</v>
      </c>
      <c r="F143" s="81">
        <v>1598</v>
      </c>
      <c r="G143" s="11">
        <f t="shared" si="4"/>
        <v>184.24</v>
      </c>
      <c r="H143" s="11">
        <f>IFERROR(IF(Yearending&gt;B142,'5. Historical demand'!F143-'5. Historical demand'!C143-'5. Historical demand'!D143,""),"")</f>
        <v>88</v>
      </c>
      <c r="I143" s="11">
        <f t="shared" si="5"/>
        <v>96.240000000000009</v>
      </c>
    </row>
    <row r="144" spans="2:9" x14ac:dyDescent="0.2">
      <c r="B144" s="192">
        <f t="shared" si="3"/>
        <v>45575</v>
      </c>
      <c r="C144" s="81">
        <v>1510</v>
      </c>
      <c r="D144" s="81"/>
      <c r="E144" s="81">
        <v>1442.3109999999999</v>
      </c>
      <c r="F144" s="81">
        <v>1598</v>
      </c>
      <c r="G144" s="11">
        <f t="shared" si="4"/>
        <v>155.68900000000008</v>
      </c>
      <c r="H144" s="11">
        <f>IFERROR(IF(Yearending&gt;B143,'5. Historical demand'!F144-'5. Historical demand'!C144-'5. Historical demand'!D144,""),"")</f>
        <v>88</v>
      </c>
      <c r="I144" s="11">
        <f t="shared" si="5"/>
        <v>67.689000000000078</v>
      </c>
    </row>
    <row r="145" spans="2:9" x14ac:dyDescent="0.2">
      <c r="B145" s="192">
        <f t="shared" si="3"/>
        <v>45576</v>
      </c>
      <c r="C145" s="81">
        <v>1510</v>
      </c>
      <c r="D145" s="81"/>
      <c r="E145" s="81">
        <v>1494.5719999999999</v>
      </c>
      <c r="F145" s="81">
        <v>1598</v>
      </c>
      <c r="G145" s="11">
        <f t="shared" si="4"/>
        <v>103.42800000000011</v>
      </c>
      <c r="H145" s="11">
        <f>IFERROR(IF(Yearending&gt;B144,'5. Historical demand'!F145-'5. Historical demand'!C145-'5. Historical demand'!D145,""),"")</f>
        <v>88</v>
      </c>
      <c r="I145" s="11">
        <f t="shared" si="5"/>
        <v>15.428000000000111</v>
      </c>
    </row>
    <row r="146" spans="2:9" x14ac:dyDescent="0.2">
      <c r="B146" s="192">
        <f t="shared" si="3"/>
        <v>45577</v>
      </c>
      <c r="C146" s="81">
        <v>1510</v>
      </c>
      <c r="D146" s="81"/>
      <c r="E146" s="81">
        <v>1471.0619999999999</v>
      </c>
      <c r="F146" s="81">
        <v>1598</v>
      </c>
      <c r="G146" s="11">
        <f t="shared" si="4"/>
        <v>126.9380000000001</v>
      </c>
      <c r="H146" s="11">
        <f>IFERROR(IF(Yearending&gt;B145,'5. Historical demand'!F146-'5. Historical demand'!C146-'5. Historical demand'!D146,""),"")</f>
        <v>88</v>
      </c>
      <c r="I146" s="11">
        <f t="shared" si="5"/>
        <v>38.938000000000102</v>
      </c>
    </row>
    <row r="147" spans="2:9" x14ac:dyDescent="0.2">
      <c r="B147" s="192">
        <f t="shared" si="3"/>
        <v>45578</v>
      </c>
      <c r="C147" s="81">
        <v>1510</v>
      </c>
      <c r="D147" s="81"/>
      <c r="E147" s="81">
        <v>1440.309</v>
      </c>
      <c r="F147" s="81">
        <v>1598</v>
      </c>
      <c r="G147" s="11">
        <f t="shared" si="4"/>
        <v>157.69100000000003</v>
      </c>
      <c r="H147" s="11">
        <f>IFERROR(IF(Yearending&gt;B146,'5. Historical demand'!F147-'5. Historical demand'!C147-'5. Historical demand'!D147,""),"")</f>
        <v>88</v>
      </c>
      <c r="I147" s="11">
        <f t="shared" si="5"/>
        <v>69.691000000000031</v>
      </c>
    </row>
    <row r="148" spans="2:9" x14ac:dyDescent="0.2">
      <c r="B148" s="192">
        <f t="shared" si="3"/>
        <v>45579</v>
      </c>
      <c r="C148" s="81">
        <v>1510</v>
      </c>
      <c r="D148" s="81"/>
      <c r="E148" s="81">
        <v>1313.431</v>
      </c>
      <c r="F148" s="81">
        <v>1598</v>
      </c>
      <c r="G148" s="11">
        <f t="shared" si="4"/>
        <v>284.56899999999996</v>
      </c>
      <c r="H148" s="11">
        <f>IFERROR(IF(Yearending&gt;B147,'5. Historical demand'!F148-'5. Historical demand'!C148-'5. Historical demand'!D148,""),"")</f>
        <v>88</v>
      </c>
      <c r="I148" s="11">
        <f t="shared" si="5"/>
        <v>196.56899999999996</v>
      </c>
    </row>
    <row r="149" spans="2:9" x14ac:dyDescent="0.2">
      <c r="B149" s="192">
        <f t="shared" si="3"/>
        <v>45580</v>
      </c>
      <c r="C149" s="81">
        <v>1510</v>
      </c>
      <c r="D149" s="81"/>
      <c r="E149" s="81">
        <v>1494.8030000000001</v>
      </c>
      <c r="F149" s="81">
        <v>1598</v>
      </c>
      <c r="G149" s="11">
        <f t="shared" si="4"/>
        <v>103.19699999999989</v>
      </c>
      <c r="H149" s="11">
        <f>IFERROR(IF(Yearending&gt;B148,'5. Historical demand'!F149-'5. Historical demand'!C149-'5. Historical demand'!D149,""),"")</f>
        <v>88</v>
      </c>
      <c r="I149" s="11">
        <f t="shared" si="5"/>
        <v>15.196999999999889</v>
      </c>
    </row>
    <row r="150" spans="2:9" x14ac:dyDescent="0.2">
      <c r="B150" s="192">
        <f t="shared" si="3"/>
        <v>45581</v>
      </c>
      <c r="C150" s="81">
        <v>1510</v>
      </c>
      <c r="D150" s="81"/>
      <c r="E150" s="81">
        <v>1414.1379999999999</v>
      </c>
      <c r="F150" s="81">
        <v>1598</v>
      </c>
      <c r="G150" s="11">
        <f t="shared" si="4"/>
        <v>183.86200000000008</v>
      </c>
      <c r="H150" s="11">
        <f>IFERROR(IF(Yearending&gt;B149,'5. Historical demand'!F150-'5. Historical demand'!C150-'5. Historical demand'!D150,""),"")</f>
        <v>88</v>
      </c>
      <c r="I150" s="11">
        <f t="shared" si="5"/>
        <v>95.86200000000008</v>
      </c>
    </row>
    <row r="151" spans="2:9" x14ac:dyDescent="0.2">
      <c r="B151" s="192">
        <f t="shared" si="3"/>
        <v>45582</v>
      </c>
      <c r="C151" s="81">
        <v>1510</v>
      </c>
      <c r="D151" s="81"/>
      <c r="E151" s="81">
        <v>1400.8610000000001</v>
      </c>
      <c r="F151" s="81">
        <v>1598</v>
      </c>
      <c r="G151" s="11">
        <f t="shared" si="4"/>
        <v>197.1389999999999</v>
      </c>
      <c r="H151" s="11">
        <f>IFERROR(IF(Yearending&gt;B150,'5. Historical demand'!F151-'5. Historical demand'!C151-'5. Historical demand'!D151,""),"")</f>
        <v>88</v>
      </c>
      <c r="I151" s="11">
        <f t="shared" si="5"/>
        <v>109.1389999999999</v>
      </c>
    </row>
    <row r="152" spans="2:9" x14ac:dyDescent="0.2">
      <c r="B152" s="192">
        <f t="shared" si="3"/>
        <v>45583</v>
      </c>
      <c r="C152" s="81">
        <v>1510</v>
      </c>
      <c r="D152" s="81"/>
      <c r="E152" s="81">
        <v>1395.998</v>
      </c>
      <c r="F152" s="81">
        <v>1598</v>
      </c>
      <c r="G152" s="11">
        <f t="shared" si="4"/>
        <v>202.00199999999995</v>
      </c>
      <c r="H152" s="11">
        <f>IFERROR(IF(Yearending&gt;B151,'5. Historical demand'!F152-'5. Historical demand'!C152-'5. Historical demand'!D152,""),"")</f>
        <v>88</v>
      </c>
      <c r="I152" s="11">
        <f t="shared" si="5"/>
        <v>114.00199999999995</v>
      </c>
    </row>
    <row r="153" spans="2:9" x14ac:dyDescent="0.2">
      <c r="B153" s="192">
        <f t="shared" si="3"/>
        <v>45584</v>
      </c>
      <c r="C153" s="81">
        <v>1510</v>
      </c>
      <c r="D153" s="81"/>
      <c r="E153" s="81">
        <v>1402.3230000000001</v>
      </c>
      <c r="F153" s="81">
        <v>1598</v>
      </c>
      <c r="G153" s="11">
        <f t="shared" si="4"/>
        <v>195.67699999999991</v>
      </c>
      <c r="H153" s="11">
        <f>IFERROR(IF(Yearending&gt;B152,'5. Historical demand'!F153-'5. Historical demand'!C153-'5. Historical demand'!D153,""),"")</f>
        <v>88</v>
      </c>
      <c r="I153" s="11">
        <f t="shared" si="5"/>
        <v>107.67699999999991</v>
      </c>
    </row>
    <row r="154" spans="2:9" x14ac:dyDescent="0.2">
      <c r="B154" s="192">
        <f t="shared" si="3"/>
        <v>45585</v>
      </c>
      <c r="C154" s="81">
        <v>1510</v>
      </c>
      <c r="D154" s="81"/>
      <c r="E154" s="81">
        <v>1415.6189999999999</v>
      </c>
      <c r="F154" s="81">
        <v>1598</v>
      </c>
      <c r="G154" s="11">
        <f t="shared" si="4"/>
        <v>182.38100000000009</v>
      </c>
      <c r="H154" s="11">
        <f>IFERROR(IF(Yearending&gt;B153,'5. Historical demand'!F154-'5. Historical demand'!C154-'5. Historical demand'!D154,""),"")</f>
        <v>88</v>
      </c>
      <c r="I154" s="11">
        <f t="shared" si="5"/>
        <v>94.381000000000085</v>
      </c>
    </row>
    <row r="155" spans="2:9" x14ac:dyDescent="0.2">
      <c r="B155" s="192">
        <f t="shared" si="3"/>
        <v>45586</v>
      </c>
      <c r="C155" s="81">
        <v>1510</v>
      </c>
      <c r="D155" s="81"/>
      <c r="E155" s="81">
        <v>1368.4649999999999</v>
      </c>
      <c r="F155" s="81">
        <v>1598</v>
      </c>
      <c r="G155" s="11">
        <f t="shared" si="4"/>
        <v>229.53500000000008</v>
      </c>
      <c r="H155" s="11">
        <f>IFERROR(IF(Yearending&gt;B154,'5. Historical demand'!F155-'5. Historical demand'!C155-'5. Historical demand'!D155,""),"")</f>
        <v>88</v>
      </c>
      <c r="I155" s="11">
        <f t="shared" si="5"/>
        <v>141.53500000000008</v>
      </c>
    </row>
    <row r="156" spans="2:9" x14ac:dyDescent="0.2">
      <c r="B156" s="192">
        <f t="shared" si="3"/>
        <v>45587</v>
      </c>
      <c r="C156" s="81">
        <v>1510</v>
      </c>
      <c r="D156" s="81"/>
      <c r="E156" s="81">
        <v>1321.4490000000001</v>
      </c>
      <c r="F156" s="81">
        <v>1598</v>
      </c>
      <c r="G156" s="11">
        <f t="shared" si="4"/>
        <v>276.55099999999993</v>
      </c>
      <c r="H156" s="11">
        <f>IFERROR(IF(Yearending&gt;B155,'5. Historical demand'!F156-'5. Historical demand'!C156-'5. Historical demand'!D156,""),"")</f>
        <v>88</v>
      </c>
      <c r="I156" s="11">
        <f t="shared" si="5"/>
        <v>188.55099999999993</v>
      </c>
    </row>
    <row r="157" spans="2:9" x14ac:dyDescent="0.2">
      <c r="B157" s="192">
        <f t="shared" si="3"/>
        <v>45588</v>
      </c>
      <c r="C157" s="81">
        <v>1510</v>
      </c>
      <c r="D157" s="81"/>
      <c r="E157" s="81">
        <v>1056.3119999999999</v>
      </c>
      <c r="F157" s="81">
        <v>1598</v>
      </c>
      <c r="G157" s="11">
        <f t="shared" si="4"/>
        <v>541.6880000000001</v>
      </c>
      <c r="H157" s="11">
        <f>IFERROR(IF(Yearending&gt;B156,'5. Historical demand'!F157-'5. Historical demand'!C157-'5. Historical demand'!D157,""),"")</f>
        <v>88</v>
      </c>
      <c r="I157" s="11">
        <f t="shared" si="5"/>
        <v>453.6880000000001</v>
      </c>
    </row>
    <row r="158" spans="2:9" x14ac:dyDescent="0.2">
      <c r="B158" s="192">
        <f t="shared" si="3"/>
        <v>45589</v>
      </c>
      <c r="C158" s="81">
        <v>1510</v>
      </c>
      <c r="D158" s="81"/>
      <c r="E158" s="81">
        <v>1152.6479999999999</v>
      </c>
      <c r="F158" s="81">
        <v>1598</v>
      </c>
      <c r="G158" s="11">
        <f t="shared" si="4"/>
        <v>445.35200000000009</v>
      </c>
      <c r="H158" s="11">
        <f>IFERROR(IF(Yearending&gt;B157,'5. Historical demand'!F158-'5. Historical demand'!C158-'5. Historical demand'!D158,""),"")</f>
        <v>88</v>
      </c>
      <c r="I158" s="11">
        <f t="shared" si="5"/>
        <v>357.35200000000009</v>
      </c>
    </row>
    <row r="159" spans="2:9" x14ac:dyDescent="0.2">
      <c r="B159" s="192">
        <f t="shared" si="3"/>
        <v>45590</v>
      </c>
      <c r="C159" s="81">
        <v>1510</v>
      </c>
      <c r="D159" s="81"/>
      <c r="E159" s="81">
        <v>1270.241</v>
      </c>
      <c r="F159" s="81">
        <v>1598</v>
      </c>
      <c r="G159" s="11">
        <f t="shared" si="4"/>
        <v>327.75900000000001</v>
      </c>
      <c r="H159" s="11">
        <f>IFERROR(IF(Yearending&gt;B158,'5. Historical demand'!F159-'5. Historical demand'!C159-'5. Historical demand'!D159,""),"")</f>
        <v>88</v>
      </c>
      <c r="I159" s="11">
        <f t="shared" si="5"/>
        <v>239.75900000000001</v>
      </c>
    </row>
    <row r="160" spans="2:9" x14ac:dyDescent="0.2">
      <c r="B160" s="192">
        <f t="shared" si="3"/>
        <v>45591</v>
      </c>
      <c r="C160" s="81">
        <v>1510</v>
      </c>
      <c r="D160" s="81"/>
      <c r="E160" s="81">
        <v>1473.115</v>
      </c>
      <c r="F160" s="81">
        <v>1598</v>
      </c>
      <c r="G160" s="11">
        <f t="shared" si="4"/>
        <v>124.88499999999999</v>
      </c>
      <c r="H160" s="11">
        <f>IFERROR(IF(Yearending&gt;B159,'5. Historical demand'!F160-'5. Historical demand'!C160-'5. Historical demand'!D160,""),"")</f>
        <v>88</v>
      </c>
      <c r="I160" s="11">
        <f t="shared" si="5"/>
        <v>36.884999999999991</v>
      </c>
    </row>
    <row r="161" spans="2:9" x14ac:dyDescent="0.2">
      <c r="B161" s="192">
        <f t="shared" si="3"/>
        <v>45592</v>
      </c>
      <c r="C161" s="81">
        <v>1510</v>
      </c>
      <c r="D161" s="81"/>
      <c r="E161" s="81">
        <v>1335.645</v>
      </c>
      <c r="F161" s="81">
        <v>1598</v>
      </c>
      <c r="G161" s="11">
        <f t="shared" si="4"/>
        <v>262.35500000000002</v>
      </c>
      <c r="H161" s="11">
        <f>IFERROR(IF(Yearending&gt;B160,'5. Historical demand'!F161-'5. Historical demand'!C161-'5. Historical demand'!D161,""),"")</f>
        <v>88</v>
      </c>
      <c r="I161" s="11">
        <f t="shared" si="5"/>
        <v>174.35500000000002</v>
      </c>
    </row>
    <row r="162" spans="2:9" x14ac:dyDescent="0.2">
      <c r="B162" s="192">
        <f t="shared" si="3"/>
        <v>45593</v>
      </c>
      <c r="C162" s="81">
        <v>1510</v>
      </c>
      <c r="D162" s="81"/>
      <c r="E162" s="81">
        <v>1507.7139999999999</v>
      </c>
      <c r="F162" s="81">
        <v>1598</v>
      </c>
      <c r="G162" s="11">
        <f t="shared" si="4"/>
        <v>90.286000000000058</v>
      </c>
      <c r="H162" s="11">
        <f>IFERROR(IF(Yearending&gt;B161,'5. Historical demand'!F162-'5. Historical demand'!C162-'5. Historical demand'!D162,""),"")</f>
        <v>88</v>
      </c>
      <c r="I162" s="11">
        <f t="shared" si="5"/>
        <v>2.2860000000000582</v>
      </c>
    </row>
    <row r="163" spans="2:9" x14ac:dyDescent="0.2">
      <c r="B163" s="192">
        <f t="shared" si="3"/>
        <v>45594</v>
      </c>
      <c r="C163" s="81">
        <v>1510</v>
      </c>
      <c r="D163" s="81"/>
      <c r="E163" s="81">
        <v>1450.931</v>
      </c>
      <c r="F163" s="81">
        <v>1598</v>
      </c>
      <c r="G163" s="11">
        <f t="shared" si="4"/>
        <v>147.06899999999996</v>
      </c>
      <c r="H163" s="11">
        <f>IFERROR(IF(Yearending&gt;B162,'5. Historical demand'!F163-'5. Historical demand'!C163-'5. Historical demand'!D163,""),"")</f>
        <v>88</v>
      </c>
      <c r="I163" s="11">
        <f t="shared" si="5"/>
        <v>59.06899999999996</v>
      </c>
    </row>
    <row r="164" spans="2:9" x14ac:dyDescent="0.2">
      <c r="B164" s="192">
        <f t="shared" si="3"/>
        <v>45595</v>
      </c>
      <c r="C164" s="81">
        <v>1510</v>
      </c>
      <c r="D164" s="81"/>
      <c r="E164" s="81">
        <v>1410.817</v>
      </c>
      <c r="F164" s="81">
        <v>1598</v>
      </c>
      <c r="G164" s="11">
        <f t="shared" si="4"/>
        <v>187.18299999999999</v>
      </c>
      <c r="H164" s="11">
        <f>IFERROR(IF(Yearending&gt;B163,'5. Historical demand'!F164-'5. Historical demand'!C164-'5. Historical demand'!D164,""),"")</f>
        <v>88</v>
      </c>
      <c r="I164" s="11">
        <f t="shared" si="5"/>
        <v>99.182999999999993</v>
      </c>
    </row>
    <row r="165" spans="2:9" x14ac:dyDescent="0.2">
      <c r="B165" s="192">
        <f t="shared" si="3"/>
        <v>45596</v>
      </c>
      <c r="C165" s="81">
        <v>1510</v>
      </c>
      <c r="D165" s="81"/>
      <c r="E165" s="81">
        <v>1388.202</v>
      </c>
      <c r="F165" s="81">
        <v>1598</v>
      </c>
      <c r="G165" s="11">
        <f t="shared" si="4"/>
        <v>209.798</v>
      </c>
      <c r="H165" s="11">
        <f>IFERROR(IF(Yearending&gt;B164,'5. Historical demand'!F165-'5. Historical demand'!C165-'5. Historical demand'!D165,""),"")</f>
        <v>88</v>
      </c>
      <c r="I165" s="11">
        <f t="shared" si="5"/>
        <v>121.798</v>
      </c>
    </row>
    <row r="166" spans="2:9" x14ac:dyDescent="0.2">
      <c r="B166" s="192">
        <f t="shared" si="3"/>
        <v>45597</v>
      </c>
      <c r="C166" s="81">
        <v>1510</v>
      </c>
      <c r="D166" s="81"/>
      <c r="E166" s="81">
        <v>1402.3150000000001</v>
      </c>
      <c r="F166" s="81">
        <v>1598</v>
      </c>
      <c r="G166" s="11">
        <f t="shared" si="4"/>
        <v>195.68499999999995</v>
      </c>
      <c r="H166" s="11">
        <f>IFERROR(IF(Yearending&gt;B165,'5. Historical demand'!F166-'5. Historical demand'!C166-'5. Historical demand'!D166,""),"")</f>
        <v>88</v>
      </c>
      <c r="I166" s="11">
        <f t="shared" si="5"/>
        <v>107.68499999999995</v>
      </c>
    </row>
    <row r="167" spans="2:9" x14ac:dyDescent="0.2">
      <c r="B167" s="192">
        <f t="shared" si="3"/>
        <v>45598</v>
      </c>
      <c r="C167" s="81">
        <v>1510</v>
      </c>
      <c r="D167" s="81"/>
      <c r="E167" s="81">
        <v>1427.6410000000001</v>
      </c>
      <c r="F167" s="81">
        <v>1598</v>
      </c>
      <c r="G167" s="11">
        <f t="shared" si="4"/>
        <v>170.35899999999992</v>
      </c>
      <c r="H167" s="11">
        <f>IFERROR(IF(Yearending&gt;B166,'5. Historical demand'!F167-'5. Historical demand'!C167-'5. Historical demand'!D167,""),"")</f>
        <v>88</v>
      </c>
      <c r="I167" s="11">
        <f t="shared" si="5"/>
        <v>82.358999999999924</v>
      </c>
    </row>
    <row r="168" spans="2:9" x14ac:dyDescent="0.2">
      <c r="B168" s="192">
        <f t="shared" si="3"/>
        <v>45599</v>
      </c>
      <c r="C168" s="81">
        <v>1510</v>
      </c>
      <c r="D168" s="81"/>
      <c r="E168" s="81">
        <v>1454.4480000000001</v>
      </c>
      <c r="F168" s="81">
        <v>1598</v>
      </c>
      <c r="G168" s="11">
        <f t="shared" si="4"/>
        <v>143.55199999999991</v>
      </c>
      <c r="H168" s="11">
        <f>IFERROR(IF(Yearending&gt;B167,'5. Historical demand'!F168-'5. Historical demand'!C168-'5. Historical demand'!D168,""),"")</f>
        <v>88</v>
      </c>
      <c r="I168" s="11">
        <f t="shared" si="5"/>
        <v>55.551999999999907</v>
      </c>
    </row>
    <row r="169" spans="2:9" x14ac:dyDescent="0.2">
      <c r="B169" s="192">
        <f t="shared" si="3"/>
        <v>45600</v>
      </c>
      <c r="C169" s="81">
        <v>1510</v>
      </c>
      <c r="D169" s="81"/>
      <c r="E169" s="81">
        <v>1421.385</v>
      </c>
      <c r="F169" s="81">
        <v>1598</v>
      </c>
      <c r="G169" s="11">
        <f t="shared" si="4"/>
        <v>176.61500000000001</v>
      </c>
      <c r="H169" s="11">
        <f>IFERROR(IF(Yearending&gt;B168,'5. Historical demand'!F169-'5. Historical demand'!C169-'5. Historical demand'!D169,""),"")</f>
        <v>88</v>
      </c>
      <c r="I169" s="11">
        <f t="shared" si="5"/>
        <v>88.615000000000009</v>
      </c>
    </row>
    <row r="170" spans="2:9" x14ac:dyDescent="0.2">
      <c r="B170" s="192">
        <f t="shared" si="3"/>
        <v>45601</v>
      </c>
      <c r="C170" s="81">
        <v>1510</v>
      </c>
      <c r="D170" s="81"/>
      <c r="E170" s="81">
        <v>1410.962</v>
      </c>
      <c r="F170" s="81">
        <v>1598</v>
      </c>
      <c r="G170" s="11">
        <f t="shared" si="4"/>
        <v>187.03800000000001</v>
      </c>
      <c r="H170" s="11">
        <f>IFERROR(IF(Yearending&gt;B169,'5. Historical demand'!F170-'5. Historical demand'!C170-'5. Historical demand'!D170,""),"")</f>
        <v>88</v>
      </c>
      <c r="I170" s="11">
        <f t="shared" si="5"/>
        <v>99.038000000000011</v>
      </c>
    </row>
    <row r="171" spans="2:9" x14ac:dyDescent="0.2">
      <c r="B171" s="192">
        <f t="shared" si="3"/>
        <v>45602</v>
      </c>
      <c r="C171" s="81">
        <v>1510</v>
      </c>
      <c r="D171" s="81"/>
      <c r="E171" s="81">
        <v>1407.046</v>
      </c>
      <c r="F171" s="81">
        <v>1598</v>
      </c>
      <c r="G171" s="11">
        <f t="shared" si="4"/>
        <v>190.95399999999995</v>
      </c>
      <c r="H171" s="11">
        <f>IFERROR(IF(Yearending&gt;B170,'5. Historical demand'!F171-'5. Historical demand'!C171-'5. Historical demand'!D171,""),"")</f>
        <v>88</v>
      </c>
      <c r="I171" s="11">
        <f t="shared" si="5"/>
        <v>102.95399999999995</v>
      </c>
    </row>
    <row r="172" spans="2:9" x14ac:dyDescent="0.2">
      <c r="B172" s="192">
        <f t="shared" ref="B172:B235" si="6">IFERROR(IF(Yearending&gt;B171, B171+1, ""),"")</f>
        <v>45603</v>
      </c>
      <c r="C172" s="81">
        <v>1510</v>
      </c>
      <c r="D172" s="81"/>
      <c r="E172" s="81">
        <v>1398.7170000000001</v>
      </c>
      <c r="F172" s="81">
        <v>1598</v>
      </c>
      <c r="G172" s="11">
        <f t="shared" ref="G172:G235" si="7">IFERROR(IF(Yearending&gt;B171,F172-E172,""),"")</f>
        <v>199.2829999999999</v>
      </c>
      <c r="H172" s="11">
        <f>IFERROR(IF(Yearending&gt;B171,'5. Historical demand'!F172-'5. Historical demand'!C172-'5. Historical demand'!D172,""),"")</f>
        <v>88</v>
      </c>
      <c r="I172" s="11">
        <f t="shared" ref="I172:I235" si="8">IFERROR(IF(Yearending&gt;B171,C172+D172-E172,""),"")</f>
        <v>111.2829999999999</v>
      </c>
    </row>
    <row r="173" spans="2:9" x14ac:dyDescent="0.2">
      <c r="B173" s="192">
        <f t="shared" si="6"/>
        <v>45604</v>
      </c>
      <c r="C173" s="81">
        <v>1510</v>
      </c>
      <c r="D173" s="81"/>
      <c r="E173" s="81">
        <v>1369.23</v>
      </c>
      <c r="F173" s="81">
        <v>1598</v>
      </c>
      <c r="G173" s="11">
        <f t="shared" si="7"/>
        <v>228.76999999999998</v>
      </c>
      <c r="H173" s="11">
        <f>IFERROR(IF(Yearending&gt;B172,'5. Historical demand'!F173-'5. Historical demand'!C173-'5. Historical demand'!D173,""),"")</f>
        <v>88</v>
      </c>
      <c r="I173" s="11">
        <f t="shared" si="8"/>
        <v>140.76999999999998</v>
      </c>
    </row>
    <row r="174" spans="2:9" x14ac:dyDescent="0.2">
      <c r="B174" s="192">
        <f t="shared" si="6"/>
        <v>45605</v>
      </c>
      <c r="C174" s="81">
        <v>1510</v>
      </c>
      <c r="D174" s="81"/>
      <c r="E174" s="81">
        <v>1369.9770000000001</v>
      </c>
      <c r="F174" s="81">
        <v>1598</v>
      </c>
      <c r="G174" s="11">
        <f t="shared" si="7"/>
        <v>228.02299999999991</v>
      </c>
      <c r="H174" s="11">
        <f>IFERROR(IF(Yearending&gt;B173,'5. Historical demand'!F174-'5. Historical demand'!C174-'5. Historical demand'!D174,""),"")</f>
        <v>88</v>
      </c>
      <c r="I174" s="11">
        <f t="shared" si="8"/>
        <v>140.02299999999991</v>
      </c>
    </row>
    <row r="175" spans="2:9" x14ac:dyDescent="0.2">
      <c r="B175" s="192">
        <f t="shared" si="6"/>
        <v>45606</v>
      </c>
      <c r="C175" s="81">
        <v>1510</v>
      </c>
      <c r="D175" s="81"/>
      <c r="E175" s="81">
        <v>1367.57</v>
      </c>
      <c r="F175" s="81">
        <v>1598</v>
      </c>
      <c r="G175" s="11">
        <f t="shared" si="7"/>
        <v>230.43000000000006</v>
      </c>
      <c r="H175" s="11">
        <f>IFERROR(IF(Yearending&gt;B174,'5. Historical demand'!F175-'5. Historical demand'!C175-'5. Historical demand'!D175,""),"")</f>
        <v>88</v>
      </c>
      <c r="I175" s="11">
        <f t="shared" si="8"/>
        <v>142.43000000000006</v>
      </c>
    </row>
    <row r="176" spans="2:9" x14ac:dyDescent="0.2">
      <c r="B176" s="192">
        <f t="shared" si="6"/>
        <v>45607</v>
      </c>
      <c r="C176" s="81">
        <v>1510</v>
      </c>
      <c r="D176" s="81"/>
      <c r="E176" s="81">
        <v>1362.0889999999999</v>
      </c>
      <c r="F176" s="81">
        <v>1598</v>
      </c>
      <c r="G176" s="11">
        <f t="shared" si="7"/>
        <v>235.91100000000006</v>
      </c>
      <c r="H176" s="11">
        <f>IFERROR(IF(Yearending&gt;B175,'5. Historical demand'!F176-'5. Historical demand'!C176-'5. Historical demand'!D176,""),"")</f>
        <v>88</v>
      </c>
      <c r="I176" s="11">
        <f t="shared" si="8"/>
        <v>147.91100000000006</v>
      </c>
    </row>
    <row r="177" spans="2:9" x14ac:dyDescent="0.2">
      <c r="B177" s="192">
        <f t="shared" si="6"/>
        <v>45608</v>
      </c>
      <c r="C177" s="81">
        <v>1510</v>
      </c>
      <c r="D177" s="81"/>
      <c r="E177" s="81">
        <v>1332.7339999999999</v>
      </c>
      <c r="F177" s="81">
        <v>1598</v>
      </c>
      <c r="G177" s="11">
        <f t="shared" si="7"/>
        <v>265.26600000000008</v>
      </c>
      <c r="H177" s="11">
        <f>IFERROR(IF(Yearending&gt;B176,'5. Historical demand'!F177-'5. Historical demand'!C177-'5. Historical demand'!D177,""),"")</f>
        <v>88</v>
      </c>
      <c r="I177" s="11">
        <f t="shared" si="8"/>
        <v>177.26600000000008</v>
      </c>
    </row>
    <row r="178" spans="2:9" x14ac:dyDescent="0.2">
      <c r="B178" s="192">
        <f t="shared" si="6"/>
        <v>45609</v>
      </c>
      <c r="C178" s="81">
        <v>1510</v>
      </c>
      <c r="D178" s="81"/>
      <c r="E178" s="81">
        <v>1330.9639999999999</v>
      </c>
      <c r="F178" s="81">
        <v>1598</v>
      </c>
      <c r="G178" s="11">
        <f t="shared" si="7"/>
        <v>267.03600000000006</v>
      </c>
      <c r="H178" s="11">
        <f>IFERROR(IF(Yearending&gt;B177,'5. Historical demand'!F178-'5. Historical demand'!C178-'5. Historical demand'!D178,""),"")</f>
        <v>88</v>
      </c>
      <c r="I178" s="11">
        <f t="shared" si="8"/>
        <v>179.03600000000006</v>
      </c>
    </row>
    <row r="179" spans="2:9" x14ac:dyDescent="0.2">
      <c r="B179" s="192">
        <f t="shared" si="6"/>
        <v>45610</v>
      </c>
      <c r="C179" s="81">
        <v>1510</v>
      </c>
      <c r="D179" s="81"/>
      <c r="E179" s="81">
        <v>1386.4469999999999</v>
      </c>
      <c r="F179" s="81">
        <v>1598</v>
      </c>
      <c r="G179" s="11">
        <f t="shared" si="7"/>
        <v>211.55300000000011</v>
      </c>
      <c r="H179" s="11">
        <f>IFERROR(IF(Yearending&gt;B178,'5. Historical demand'!F179-'5. Historical demand'!C179-'5. Historical demand'!D179,""),"")</f>
        <v>88</v>
      </c>
      <c r="I179" s="11">
        <f t="shared" si="8"/>
        <v>123.55300000000011</v>
      </c>
    </row>
    <row r="180" spans="2:9" x14ac:dyDescent="0.2">
      <c r="B180" s="192">
        <f t="shared" si="6"/>
        <v>45611</v>
      </c>
      <c r="C180" s="81">
        <v>1510</v>
      </c>
      <c r="D180" s="81"/>
      <c r="E180" s="81">
        <v>1379.14</v>
      </c>
      <c r="F180" s="81">
        <v>1598</v>
      </c>
      <c r="G180" s="11">
        <f t="shared" si="7"/>
        <v>218.8599999999999</v>
      </c>
      <c r="H180" s="11">
        <f>IFERROR(IF(Yearending&gt;B179,'5. Historical demand'!F180-'5. Historical demand'!C180-'5. Historical demand'!D180,""),"")</f>
        <v>88</v>
      </c>
      <c r="I180" s="11">
        <f t="shared" si="8"/>
        <v>130.8599999999999</v>
      </c>
    </row>
    <row r="181" spans="2:9" x14ac:dyDescent="0.2">
      <c r="B181" s="192">
        <f t="shared" si="6"/>
        <v>45612</v>
      </c>
      <c r="C181" s="81">
        <v>1510</v>
      </c>
      <c r="D181" s="81"/>
      <c r="E181" s="81">
        <v>1369.4839999999999</v>
      </c>
      <c r="F181" s="81">
        <v>1598</v>
      </c>
      <c r="G181" s="11">
        <f t="shared" si="7"/>
        <v>228.51600000000008</v>
      </c>
      <c r="H181" s="11">
        <f>IFERROR(IF(Yearending&gt;B180,'5. Historical demand'!F181-'5. Historical demand'!C181-'5. Historical demand'!D181,""),"")</f>
        <v>88</v>
      </c>
      <c r="I181" s="11">
        <f t="shared" si="8"/>
        <v>140.51600000000008</v>
      </c>
    </row>
    <row r="182" spans="2:9" x14ac:dyDescent="0.2">
      <c r="B182" s="192">
        <f t="shared" si="6"/>
        <v>45613</v>
      </c>
      <c r="C182" s="81">
        <v>1510</v>
      </c>
      <c r="D182" s="81"/>
      <c r="E182" s="81">
        <v>1323.7439999999999</v>
      </c>
      <c r="F182" s="81">
        <v>1598</v>
      </c>
      <c r="G182" s="11">
        <f t="shared" si="7"/>
        <v>274.25600000000009</v>
      </c>
      <c r="H182" s="11">
        <f>IFERROR(IF(Yearending&gt;B181,'5. Historical demand'!F182-'5. Historical demand'!C182-'5. Historical demand'!D182,""),"")</f>
        <v>88</v>
      </c>
      <c r="I182" s="11">
        <f t="shared" si="8"/>
        <v>186.25600000000009</v>
      </c>
    </row>
    <row r="183" spans="2:9" x14ac:dyDescent="0.2">
      <c r="B183" s="192">
        <f t="shared" si="6"/>
        <v>45614</v>
      </c>
      <c r="C183" s="81">
        <v>1510</v>
      </c>
      <c r="D183" s="81"/>
      <c r="E183" s="81">
        <v>1344.172</v>
      </c>
      <c r="F183" s="81">
        <v>1598</v>
      </c>
      <c r="G183" s="11">
        <f t="shared" si="7"/>
        <v>253.82799999999997</v>
      </c>
      <c r="H183" s="11">
        <f>IFERROR(IF(Yearending&gt;B182,'5. Historical demand'!F183-'5. Historical demand'!C183-'5. Historical demand'!D183,""),"")</f>
        <v>88</v>
      </c>
      <c r="I183" s="11">
        <f t="shared" si="8"/>
        <v>165.82799999999997</v>
      </c>
    </row>
    <row r="184" spans="2:9" x14ac:dyDescent="0.2">
      <c r="B184" s="192">
        <f t="shared" si="6"/>
        <v>45615</v>
      </c>
      <c r="C184" s="81">
        <v>1510</v>
      </c>
      <c r="D184" s="81"/>
      <c r="E184" s="81">
        <v>1358.039</v>
      </c>
      <c r="F184" s="81">
        <v>1598</v>
      </c>
      <c r="G184" s="11">
        <f t="shared" si="7"/>
        <v>239.96100000000001</v>
      </c>
      <c r="H184" s="11">
        <f>IFERROR(IF(Yearending&gt;B183,'5. Historical demand'!F184-'5. Historical demand'!C184-'5. Historical demand'!D184,""),"")</f>
        <v>88</v>
      </c>
      <c r="I184" s="11">
        <f t="shared" si="8"/>
        <v>151.96100000000001</v>
      </c>
    </row>
    <row r="185" spans="2:9" x14ac:dyDescent="0.2">
      <c r="B185" s="192">
        <f t="shared" si="6"/>
        <v>45616</v>
      </c>
      <c r="C185" s="81">
        <v>1510</v>
      </c>
      <c r="D185" s="81"/>
      <c r="E185" s="81">
        <v>1376.1690000000001</v>
      </c>
      <c r="F185" s="81">
        <v>1598</v>
      </c>
      <c r="G185" s="11">
        <f t="shared" si="7"/>
        <v>221.8309999999999</v>
      </c>
      <c r="H185" s="11">
        <f>IFERROR(IF(Yearending&gt;B184,'5. Historical demand'!F185-'5. Historical demand'!C185-'5. Historical demand'!D185,""),"")</f>
        <v>88</v>
      </c>
      <c r="I185" s="11">
        <f t="shared" si="8"/>
        <v>133.8309999999999</v>
      </c>
    </row>
    <row r="186" spans="2:9" x14ac:dyDescent="0.2">
      <c r="B186" s="192">
        <f t="shared" si="6"/>
        <v>45617</v>
      </c>
      <c r="C186" s="81">
        <v>1510</v>
      </c>
      <c r="D186" s="81"/>
      <c r="E186" s="81">
        <v>1374.943</v>
      </c>
      <c r="F186" s="81">
        <v>1598</v>
      </c>
      <c r="G186" s="11">
        <f t="shared" si="7"/>
        <v>223.05700000000002</v>
      </c>
      <c r="H186" s="11">
        <f>IFERROR(IF(Yearending&gt;B185,'5. Historical demand'!F186-'5. Historical demand'!C186-'5. Historical demand'!D186,""),"")</f>
        <v>88</v>
      </c>
      <c r="I186" s="11">
        <f t="shared" si="8"/>
        <v>135.05700000000002</v>
      </c>
    </row>
    <row r="187" spans="2:9" x14ac:dyDescent="0.2">
      <c r="B187" s="192">
        <f t="shared" si="6"/>
        <v>45618</v>
      </c>
      <c r="C187" s="81">
        <v>1510</v>
      </c>
      <c r="D187" s="81"/>
      <c r="E187" s="81">
        <v>1371.136</v>
      </c>
      <c r="F187" s="81">
        <v>1598</v>
      </c>
      <c r="G187" s="11">
        <f t="shared" si="7"/>
        <v>226.86400000000003</v>
      </c>
      <c r="H187" s="11">
        <f>IFERROR(IF(Yearending&gt;B186,'5. Historical demand'!F187-'5. Historical demand'!C187-'5. Historical demand'!D187,""),"")</f>
        <v>88</v>
      </c>
      <c r="I187" s="11">
        <f t="shared" si="8"/>
        <v>138.86400000000003</v>
      </c>
    </row>
    <row r="188" spans="2:9" x14ac:dyDescent="0.2">
      <c r="B188" s="192">
        <f t="shared" si="6"/>
        <v>45619</v>
      </c>
      <c r="C188" s="81">
        <v>1510</v>
      </c>
      <c r="D188" s="81"/>
      <c r="E188" s="81">
        <v>1380.0329999999999</v>
      </c>
      <c r="F188" s="81">
        <v>1598</v>
      </c>
      <c r="G188" s="11">
        <f t="shared" si="7"/>
        <v>217.9670000000001</v>
      </c>
      <c r="H188" s="11">
        <f>IFERROR(IF(Yearending&gt;B187,'5. Historical demand'!F188-'5. Historical demand'!C188-'5. Historical demand'!D188,""),"")</f>
        <v>88</v>
      </c>
      <c r="I188" s="11">
        <f t="shared" si="8"/>
        <v>129.9670000000001</v>
      </c>
    </row>
    <row r="189" spans="2:9" x14ac:dyDescent="0.2">
      <c r="B189" s="192">
        <f t="shared" si="6"/>
        <v>45620</v>
      </c>
      <c r="C189" s="81">
        <v>1510</v>
      </c>
      <c r="D189" s="81"/>
      <c r="E189" s="81">
        <v>1384.329</v>
      </c>
      <c r="F189" s="81">
        <v>1598</v>
      </c>
      <c r="G189" s="11">
        <f t="shared" si="7"/>
        <v>213.67100000000005</v>
      </c>
      <c r="H189" s="11">
        <f>IFERROR(IF(Yearending&gt;B188,'5. Historical demand'!F189-'5. Historical demand'!C189-'5. Historical demand'!D189,""),"")</f>
        <v>88</v>
      </c>
      <c r="I189" s="11">
        <f t="shared" si="8"/>
        <v>125.67100000000005</v>
      </c>
    </row>
    <row r="190" spans="2:9" x14ac:dyDescent="0.2">
      <c r="B190" s="192">
        <f t="shared" si="6"/>
        <v>45621</v>
      </c>
      <c r="C190" s="81">
        <v>1510</v>
      </c>
      <c r="D190" s="81"/>
      <c r="E190" s="81">
        <v>1355.0609999999999</v>
      </c>
      <c r="F190" s="81">
        <v>1598</v>
      </c>
      <c r="G190" s="11">
        <f t="shared" si="7"/>
        <v>242.93900000000008</v>
      </c>
      <c r="H190" s="11">
        <f>IFERROR(IF(Yearending&gt;B189,'5. Historical demand'!F190-'5. Historical demand'!C190-'5. Historical demand'!D190,""),"")</f>
        <v>88</v>
      </c>
      <c r="I190" s="11">
        <f t="shared" si="8"/>
        <v>154.93900000000008</v>
      </c>
    </row>
    <row r="191" spans="2:9" x14ac:dyDescent="0.2">
      <c r="B191" s="192">
        <f t="shared" si="6"/>
        <v>45622</v>
      </c>
      <c r="C191" s="81">
        <v>1510</v>
      </c>
      <c r="D191" s="81"/>
      <c r="E191" s="81">
        <v>1331.7429999999999</v>
      </c>
      <c r="F191" s="81">
        <v>1598</v>
      </c>
      <c r="G191" s="11">
        <f t="shared" si="7"/>
        <v>266.25700000000006</v>
      </c>
      <c r="H191" s="11">
        <f>IFERROR(IF(Yearending&gt;B190,'5. Historical demand'!F191-'5. Historical demand'!C191-'5. Historical demand'!D191,""),"")</f>
        <v>88</v>
      </c>
      <c r="I191" s="11">
        <f t="shared" si="8"/>
        <v>178.25700000000006</v>
      </c>
    </row>
    <row r="192" spans="2:9" x14ac:dyDescent="0.2">
      <c r="B192" s="192">
        <f t="shared" si="6"/>
        <v>45623</v>
      </c>
      <c r="C192" s="81">
        <v>1510</v>
      </c>
      <c r="D192" s="81"/>
      <c r="E192" s="81">
        <v>1313.847</v>
      </c>
      <c r="F192" s="81">
        <v>1598</v>
      </c>
      <c r="G192" s="11">
        <f t="shared" si="7"/>
        <v>284.15300000000002</v>
      </c>
      <c r="H192" s="11">
        <f>IFERROR(IF(Yearending&gt;B191,'5. Historical demand'!F192-'5. Historical demand'!C192-'5. Historical demand'!D192,""),"")</f>
        <v>88</v>
      </c>
      <c r="I192" s="11">
        <f t="shared" si="8"/>
        <v>196.15300000000002</v>
      </c>
    </row>
    <row r="193" spans="2:9" x14ac:dyDescent="0.2">
      <c r="B193" s="192">
        <f t="shared" si="6"/>
        <v>45624</v>
      </c>
      <c r="C193" s="81">
        <v>1510</v>
      </c>
      <c r="D193" s="81"/>
      <c r="E193" s="81">
        <v>1297.3399999999999</v>
      </c>
      <c r="F193" s="81">
        <v>1598</v>
      </c>
      <c r="G193" s="11">
        <f t="shared" si="7"/>
        <v>300.66000000000008</v>
      </c>
      <c r="H193" s="11">
        <f>IFERROR(IF(Yearending&gt;B192,'5. Historical demand'!F193-'5. Historical demand'!C193-'5. Historical demand'!D193,""),"")</f>
        <v>88</v>
      </c>
      <c r="I193" s="11">
        <f t="shared" si="8"/>
        <v>212.66000000000008</v>
      </c>
    </row>
    <row r="194" spans="2:9" x14ac:dyDescent="0.2">
      <c r="B194" s="192">
        <f t="shared" si="6"/>
        <v>45625</v>
      </c>
      <c r="C194" s="81">
        <v>1510</v>
      </c>
      <c r="D194" s="81"/>
      <c r="E194" s="81">
        <v>1375.1020000000001</v>
      </c>
      <c r="F194" s="81">
        <v>1598</v>
      </c>
      <c r="G194" s="11">
        <f t="shared" si="7"/>
        <v>222.89799999999991</v>
      </c>
      <c r="H194" s="11">
        <f>IFERROR(IF(Yearending&gt;B193,'5. Historical demand'!F194-'5. Historical demand'!C194-'5. Historical demand'!D194,""),"")</f>
        <v>88</v>
      </c>
      <c r="I194" s="11">
        <f t="shared" si="8"/>
        <v>134.89799999999991</v>
      </c>
    </row>
    <row r="195" spans="2:9" x14ac:dyDescent="0.2">
      <c r="B195" s="192">
        <f t="shared" si="6"/>
        <v>45626</v>
      </c>
      <c r="C195" s="81">
        <v>1510</v>
      </c>
      <c r="D195" s="81"/>
      <c r="E195" s="81">
        <v>1456.9849999999999</v>
      </c>
      <c r="F195" s="81">
        <v>1598</v>
      </c>
      <c r="G195" s="11">
        <f t="shared" si="7"/>
        <v>141.0150000000001</v>
      </c>
      <c r="H195" s="11">
        <f>IFERROR(IF(Yearending&gt;B194,'5. Historical demand'!F195-'5. Historical demand'!C195-'5. Historical demand'!D195,""),"")</f>
        <v>88</v>
      </c>
      <c r="I195" s="11">
        <f t="shared" si="8"/>
        <v>53.0150000000001</v>
      </c>
    </row>
    <row r="196" spans="2:9" x14ac:dyDescent="0.2">
      <c r="B196" s="192">
        <f t="shared" si="6"/>
        <v>45627</v>
      </c>
      <c r="C196" s="81">
        <v>1510</v>
      </c>
      <c r="D196" s="81"/>
      <c r="E196" s="81">
        <v>1436.153</v>
      </c>
      <c r="F196" s="81">
        <v>1598</v>
      </c>
      <c r="G196" s="11">
        <f t="shared" si="7"/>
        <v>161.84699999999998</v>
      </c>
      <c r="H196" s="11">
        <f>IFERROR(IF(Yearending&gt;B195,'5. Historical demand'!F196-'5. Historical demand'!C196-'5. Historical demand'!D196,""),"")</f>
        <v>88</v>
      </c>
      <c r="I196" s="11">
        <f t="shared" si="8"/>
        <v>73.84699999999998</v>
      </c>
    </row>
    <row r="197" spans="2:9" x14ac:dyDescent="0.2">
      <c r="B197" s="192">
        <f t="shared" si="6"/>
        <v>45628</v>
      </c>
      <c r="C197" s="81">
        <v>1510</v>
      </c>
      <c r="D197" s="81"/>
      <c r="E197" s="81">
        <v>1398.4849999999999</v>
      </c>
      <c r="F197" s="81">
        <v>1598</v>
      </c>
      <c r="G197" s="11">
        <f t="shared" si="7"/>
        <v>199.5150000000001</v>
      </c>
      <c r="H197" s="11">
        <f>IFERROR(IF(Yearending&gt;B196,'5. Historical demand'!F197-'5. Historical demand'!C197-'5. Historical demand'!D197,""),"")</f>
        <v>88</v>
      </c>
      <c r="I197" s="11">
        <f t="shared" si="8"/>
        <v>111.5150000000001</v>
      </c>
    </row>
    <row r="198" spans="2:9" x14ac:dyDescent="0.2">
      <c r="B198" s="192">
        <f t="shared" si="6"/>
        <v>45629</v>
      </c>
      <c r="C198" s="81">
        <v>1510</v>
      </c>
      <c r="D198" s="81"/>
      <c r="E198" s="81">
        <v>1373.011</v>
      </c>
      <c r="F198" s="81">
        <v>1598</v>
      </c>
      <c r="G198" s="11">
        <f t="shared" si="7"/>
        <v>224.98900000000003</v>
      </c>
      <c r="H198" s="11">
        <f>IFERROR(IF(Yearending&gt;B197,'5. Historical demand'!F198-'5. Historical demand'!C198-'5. Historical demand'!D198,""),"")</f>
        <v>88</v>
      </c>
      <c r="I198" s="11">
        <f t="shared" si="8"/>
        <v>136.98900000000003</v>
      </c>
    </row>
    <row r="199" spans="2:9" x14ac:dyDescent="0.2">
      <c r="B199" s="192">
        <f t="shared" si="6"/>
        <v>45630</v>
      </c>
      <c r="C199" s="81">
        <v>1510</v>
      </c>
      <c r="D199" s="81"/>
      <c r="E199" s="81">
        <v>1366.0150000000001</v>
      </c>
      <c r="F199" s="81">
        <v>1598</v>
      </c>
      <c r="G199" s="11">
        <f t="shared" si="7"/>
        <v>231.9849999999999</v>
      </c>
      <c r="H199" s="11">
        <f>IFERROR(IF(Yearending&gt;B198,'5. Historical demand'!F199-'5. Historical demand'!C199-'5. Historical demand'!D199,""),"")</f>
        <v>88</v>
      </c>
      <c r="I199" s="11">
        <f t="shared" si="8"/>
        <v>143.9849999999999</v>
      </c>
    </row>
    <row r="200" spans="2:9" x14ac:dyDescent="0.2">
      <c r="B200" s="192">
        <f t="shared" si="6"/>
        <v>45631</v>
      </c>
      <c r="C200" s="81">
        <v>1510</v>
      </c>
      <c r="D200" s="81"/>
      <c r="E200" s="81">
        <v>1361.0239999999999</v>
      </c>
      <c r="F200" s="81">
        <v>1598</v>
      </c>
      <c r="G200" s="11">
        <f t="shared" si="7"/>
        <v>236.97600000000011</v>
      </c>
      <c r="H200" s="11">
        <f>IFERROR(IF(Yearending&gt;B199,'5. Historical demand'!F200-'5. Historical demand'!C200-'5. Historical demand'!D200,""),"")</f>
        <v>88</v>
      </c>
      <c r="I200" s="11">
        <f t="shared" si="8"/>
        <v>148.97600000000011</v>
      </c>
    </row>
    <row r="201" spans="2:9" x14ac:dyDescent="0.2">
      <c r="B201" s="192">
        <f t="shared" si="6"/>
        <v>45632</v>
      </c>
      <c r="C201" s="81">
        <v>1510</v>
      </c>
      <c r="D201" s="81"/>
      <c r="E201" s="81">
        <v>1360.5239999999999</v>
      </c>
      <c r="F201" s="81">
        <v>1598</v>
      </c>
      <c r="G201" s="11">
        <f t="shared" si="7"/>
        <v>237.47600000000011</v>
      </c>
      <c r="H201" s="11">
        <f>IFERROR(IF(Yearending&gt;B200,'5. Historical demand'!F201-'5. Historical demand'!C201-'5. Historical demand'!D201,""),"")</f>
        <v>88</v>
      </c>
      <c r="I201" s="11">
        <f t="shared" si="8"/>
        <v>149.47600000000011</v>
      </c>
    </row>
    <row r="202" spans="2:9" x14ac:dyDescent="0.2">
      <c r="B202" s="192">
        <f t="shared" si="6"/>
        <v>45633</v>
      </c>
      <c r="C202" s="81">
        <v>1510</v>
      </c>
      <c r="D202" s="81"/>
      <c r="E202" s="81">
        <v>1364.0719999999999</v>
      </c>
      <c r="F202" s="81">
        <v>1598</v>
      </c>
      <c r="G202" s="11">
        <f t="shared" si="7"/>
        <v>233.92800000000011</v>
      </c>
      <c r="H202" s="11">
        <f>IFERROR(IF(Yearending&gt;B201,'5. Historical demand'!F202-'5. Historical demand'!C202-'5. Historical demand'!D202,""),"")</f>
        <v>88</v>
      </c>
      <c r="I202" s="11">
        <f t="shared" si="8"/>
        <v>145.92800000000011</v>
      </c>
    </row>
    <row r="203" spans="2:9" x14ac:dyDescent="0.2">
      <c r="B203" s="192">
        <f t="shared" si="6"/>
        <v>45634</v>
      </c>
      <c r="C203" s="81">
        <v>1510</v>
      </c>
      <c r="D203" s="81"/>
      <c r="E203" s="81">
        <v>1365.4860000000001</v>
      </c>
      <c r="F203" s="81">
        <v>1598</v>
      </c>
      <c r="G203" s="11">
        <f t="shared" si="7"/>
        <v>232.5139999999999</v>
      </c>
      <c r="H203" s="11">
        <f>IFERROR(IF(Yearending&gt;B202,'5. Historical demand'!F203-'5. Historical demand'!C203-'5. Historical demand'!D203,""),"")</f>
        <v>88</v>
      </c>
      <c r="I203" s="11">
        <f t="shared" si="8"/>
        <v>144.5139999999999</v>
      </c>
    </row>
    <row r="204" spans="2:9" x14ac:dyDescent="0.2">
      <c r="B204" s="192">
        <f t="shared" si="6"/>
        <v>45635</v>
      </c>
      <c r="C204" s="81">
        <v>1510</v>
      </c>
      <c r="D204" s="81"/>
      <c r="E204" s="81">
        <v>1350.9680000000001</v>
      </c>
      <c r="F204" s="81">
        <v>1598</v>
      </c>
      <c r="G204" s="11">
        <f t="shared" si="7"/>
        <v>247.03199999999993</v>
      </c>
      <c r="H204" s="11">
        <f>IFERROR(IF(Yearending&gt;B203,'5. Historical demand'!F204-'5. Historical demand'!C204-'5. Historical demand'!D204,""),"")</f>
        <v>88</v>
      </c>
      <c r="I204" s="11">
        <f t="shared" si="8"/>
        <v>159.03199999999993</v>
      </c>
    </row>
    <row r="205" spans="2:9" x14ac:dyDescent="0.2">
      <c r="B205" s="192">
        <f t="shared" si="6"/>
        <v>45636</v>
      </c>
      <c r="C205" s="81">
        <v>1510</v>
      </c>
      <c r="D205" s="81"/>
      <c r="E205" s="81">
        <v>1308.75</v>
      </c>
      <c r="F205" s="81">
        <v>1598</v>
      </c>
      <c r="G205" s="11">
        <f t="shared" si="7"/>
        <v>289.25</v>
      </c>
      <c r="H205" s="11">
        <f>IFERROR(IF(Yearending&gt;B204,'5. Historical demand'!F205-'5. Historical demand'!C205-'5. Historical demand'!D205,""),"")</f>
        <v>88</v>
      </c>
      <c r="I205" s="11">
        <f t="shared" si="8"/>
        <v>201.25</v>
      </c>
    </row>
    <row r="206" spans="2:9" x14ac:dyDescent="0.2">
      <c r="B206" s="192">
        <f t="shared" si="6"/>
        <v>45637</v>
      </c>
      <c r="C206" s="81">
        <v>1510</v>
      </c>
      <c r="D206" s="81"/>
      <c r="E206" s="81">
        <v>1310.693</v>
      </c>
      <c r="F206" s="81">
        <v>1598</v>
      </c>
      <c r="G206" s="11">
        <f t="shared" si="7"/>
        <v>287.30700000000002</v>
      </c>
      <c r="H206" s="11">
        <f>IFERROR(IF(Yearending&gt;B205,'5. Historical demand'!F206-'5. Historical demand'!C206-'5. Historical demand'!D206,""),"")</f>
        <v>88</v>
      </c>
      <c r="I206" s="11">
        <f t="shared" si="8"/>
        <v>199.30700000000002</v>
      </c>
    </row>
    <row r="207" spans="2:9" x14ac:dyDescent="0.2">
      <c r="B207" s="192">
        <f t="shared" si="6"/>
        <v>45638</v>
      </c>
      <c r="C207" s="81">
        <v>1510</v>
      </c>
      <c r="D207" s="81"/>
      <c r="E207" s="81">
        <v>1324.877</v>
      </c>
      <c r="F207" s="81">
        <v>1598</v>
      </c>
      <c r="G207" s="11">
        <f t="shared" si="7"/>
        <v>273.12300000000005</v>
      </c>
      <c r="H207" s="11">
        <f>IFERROR(IF(Yearending&gt;B206,'5. Historical demand'!F207-'5. Historical demand'!C207-'5. Historical demand'!D207,""),"")</f>
        <v>88</v>
      </c>
      <c r="I207" s="11">
        <f t="shared" si="8"/>
        <v>185.12300000000005</v>
      </c>
    </row>
    <row r="208" spans="2:9" x14ac:dyDescent="0.2">
      <c r="B208" s="192">
        <f t="shared" si="6"/>
        <v>45639</v>
      </c>
      <c r="C208" s="81">
        <v>1510</v>
      </c>
      <c r="D208" s="81"/>
      <c r="E208" s="81">
        <v>1315.655</v>
      </c>
      <c r="F208" s="81">
        <v>1598</v>
      </c>
      <c r="G208" s="11">
        <f t="shared" si="7"/>
        <v>282.34500000000003</v>
      </c>
      <c r="H208" s="11">
        <f>IFERROR(IF(Yearending&gt;B207,'5. Historical demand'!F208-'5. Historical demand'!C208-'5. Historical demand'!D208,""),"")</f>
        <v>88</v>
      </c>
      <c r="I208" s="11">
        <f t="shared" si="8"/>
        <v>194.34500000000003</v>
      </c>
    </row>
    <row r="209" spans="2:9" x14ac:dyDescent="0.2">
      <c r="B209" s="192">
        <f t="shared" si="6"/>
        <v>45640</v>
      </c>
      <c r="C209" s="81">
        <v>1510</v>
      </c>
      <c r="D209" s="81"/>
      <c r="E209" s="81">
        <v>1329.67</v>
      </c>
      <c r="F209" s="81">
        <v>1598</v>
      </c>
      <c r="G209" s="11">
        <f t="shared" si="7"/>
        <v>268.32999999999993</v>
      </c>
      <c r="H209" s="11">
        <f>IFERROR(IF(Yearending&gt;B208,'5. Historical demand'!F209-'5. Historical demand'!C209-'5. Historical demand'!D209,""),"")</f>
        <v>88</v>
      </c>
      <c r="I209" s="11">
        <f t="shared" si="8"/>
        <v>180.32999999999993</v>
      </c>
    </row>
    <row r="210" spans="2:9" x14ac:dyDescent="0.2">
      <c r="B210" s="192">
        <f t="shared" si="6"/>
        <v>45641</v>
      </c>
      <c r="C210" s="81">
        <v>1510</v>
      </c>
      <c r="D210" s="81"/>
      <c r="E210" s="81">
        <v>1337.674</v>
      </c>
      <c r="F210" s="81">
        <v>1598</v>
      </c>
      <c r="G210" s="11">
        <f t="shared" si="7"/>
        <v>260.32600000000002</v>
      </c>
      <c r="H210" s="11">
        <f>IFERROR(IF(Yearending&gt;B209,'5. Historical demand'!F210-'5. Historical demand'!C210-'5. Historical demand'!D210,""),"")</f>
        <v>88</v>
      </c>
      <c r="I210" s="11">
        <f t="shared" si="8"/>
        <v>172.32600000000002</v>
      </c>
    </row>
    <row r="211" spans="2:9" x14ac:dyDescent="0.2">
      <c r="B211" s="192">
        <f t="shared" si="6"/>
        <v>45642</v>
      </c>
      <c r="C211" s="81">
        <v>1510</v>
      </c>
      <c r="D211" s="81"/>
      <c r="E211" s="81">
        <v>1284.662</v>
      </c>
      <c r="F211" s="81">
        <v>1598</v>
      </c>
      <c r="G211" s="11">
        <f t="shared" si="7"/>
        <v>313.33799999999997</v>
      </c>
      <c r="H211" s="11">
        <f>IFERROR(IF(Yearending&gt;B210,'5. Historical demand'!F211-'5. Historical demand'!C211-'5. Historical demand'!D211,""),"")</f>
        <v>88</v>
      </c>
      <c r="I211" s="11">
        <f t="shared" si="8"/>
        <v>225.33799999999997</v>
      </c>
    </row>
    <row r="212" spans="2:9" x14ac:dyDescent="0.2">
      <c r="B212" s="192">
        <f t="shared" si="6"/>
        <v>45643</v>
      </c>
      <c r="C212" s="81">
        <v>1510</v>
      </c>
      <c r="D212" s="81"/>
      <c r="E212" s="81">
        <v>1264.1659999999999</v>
      </c>
      <c r="F212" s="81">
        <v>1598</v>
      </c>
      <c r="G212" s="11">
        <f t="shared" si="7"/>
        <v>333.83400000000006</v>
      </c>
      <c r="H212" s="11">
        <f>IFERROR(IF(Yearending&gt;B211,'5. Historical demand'!F212-'5. Historical demand'!C212-'5. Historical demand'!D212,""),"")</f>
        <v>88</v>
      </c>
      <c r="I212" s="11">
        <f t="shared" si="8"/>
        <v>245.83400000000006</v>
      </c>
    </row>
    <row r="213" spans="2:9" x14ac:dyDescent="0.2">
      <c r="B213" s="192">
        <f t="shared" si="6"/>
        <v>45644</v>
      </c>
      <c r="C213" s="81">
        <v>1510</v>
      </c>
      <c r="D213" s="81"/>
      <c r="E213" s="81">
        <v>1282.566</v>
      </c>
      <c r="F213" s="81">
        <v>1598</v>
      </c>
      <c r="G213" s="11">
        <f t="shared" si="7"/>
        <v>315.43399999999997</v>
      </c>
      <c r="H213" s="11">
        <f>IFERROR(IF(Yearending&gt;B212,'5. Historical demand'!F213-'5. Historical demand'!C213-'5. Historical demand'!D213,""),"")</f>
        <v>88</v>
      </c>
      <c r="I213" s="11">
        <f t="shared" si="8"/>
        <v>227.43399999999997</v>
      </c>
    </row>
    <row r="214" spans="2:9" x14ac:dyDescent="0.2">
      <c r="B214" s="192">
        <f t="shared" si="6"/>
        <v>45645</v>
      </c>
      <c r="C214" s="81">
        <v>1510</v>
      </c>
      <c r="D214" s="81"/>
      <c r="E214" s="81">
        <v>1357.732</v>
      </c>
      <c r="F214" s="81">
        <v>1598</v>
      </c>
      <c r="G214" s="11">
        <f t="shared" si="7"/>
        <v>240.26800000000003</v>
      </c>
      <c r="H214" s="11">
        <f>IFERROR(IF(Yearending&gt;B213,'5. Historical demand'!F214-'5. Historical demand'!C214-'5. Historical demand'!D214,""),"")</f>
        <v>88</v>
      </c>
      <c r="I214" s="11">
        <f t="shared" si="8"/>
        <v>152.26800000000003</v>
      </c>
    </row>
    <row r="215" spans="2:9" x14ac:dyDescent="0.2">
      <c r="B215" s="192">
        <f t="shared" si="6"/>
        <v>45646</v>
      </c>
      <c r="C215" s="81">
        <v>1510</v>
      </c>
      <c r="D215" s="81"/>
      <c r="E215" s="81">
        <v>1409.2449999999999</v>
      </c>
      <c r="F215" s="81">
        <v>1598</v>
      </c>
      <c r="G215" s="11">
        <f t="shared" si="7"/>
        <v>188.75500000000011</v>
      </c>
      <c r="H215" s="11">
        <f>IFERROR(IF(Yearending&gt;B214,'5. Historical demand'!F215-'5. Historical demand'!C215-'5. Historical demand'!D215,""),"")</f>
        <v>88</v>
      </c>
      <c r="I215" s="11">
        <f t="shared" si="8"/>
        <v>100.75500000000011</v>
      </c>
    </row>
    <row r="216" spans="2:9" x14ac:dyDescent="0.2">
      <c r="B216" s="192">
        <f t="shared" si="6"/>
        <v>45647</v>
      </c>
      <c r="C216" s="81">
        <v>1510</v>
      </c>
      <c r="D216" s="81"/>
      <c r="E216" s="81">
        <v>1414.373</v>
      </c>
      <c r="F216" s="81">
        <v>1598</v>
      </c>
      <c r="G216" s="11">
        <f t="shared" si="7"/>
        <v>183.62699999999995</v>
      </c>
      <c r="H216" s="11">
        <f>IFERROR(IF(Yearending&gt;B215,'5. Historical demand'!F216-'5. Historical demand'!C216-'5. Historical demand'!D216,""),"")</f>
        <v>88</v>
      </c>
      <c r="I216" s="11">
        <f t="shared" si="8"/>
        <v>95.626999999999953</v>
      </c>
    </row>
    <row r="217" spans="2:9" x14ac:dyDescent="0.2">
      <c r="B217" s="192">
        <f t="shared" si="6"/>
        <v>45648</v>
      </c>
      <c r="C217" s="81">
        <v>1510</v>
      </c>
      <c r="D217" s="81"/>
      <c r="E217" s="81">
        <v>1416.2529999999999</v>
      </c>
      <c r="F217" s="81">
        <v>1598</v>
      </c>
      <c r="G217" s="11">
        <f t="shared" si="7"/>
        <v>181.74700000000007</v>
      </c>
      <c r="H217" s="11">
        <f>IFERROR(IF(Yearending&gt;B216,'5. Historical demand'!F217-'5. Historical demand'!C217-'5. Historical demand'!D217,""),"")</f>
        <v>88</v>
      </c>
      <c r="I217" s="11">
        <f t="shared" si="8"/>
        <v>93.747000000000071</v>
      </c>
    </row>
    <row r="218" spans="2:9" x14ac:dyDescent="0.2">
      <c r="B218" s="192">
        <f t="shared" si="6"/>
        <v>45649</v>
      </c>
      <c r="C218" s="81">
        <v>1510</v>
      </c>
      <c r="D218" s="81"/>
      <c r="E218" s="81">
        <v>1399.3030000000001</v>
      </c>
      <c r="F218" s="81">
        <v>1598</v>
      </c>
      <c r="G218" s="11">
        <f t="shared" si="7"/>
        <v>198.69699999999989</v>
      </c>
      <c r="H218" s="11">
        <f>IFERROR(IF(Yearending&gt;B217,'5. Historical demand'!F218-'5. Historical demand'!C218-'5. Historical demand'!D218,""),"")</f>
        <v>88</v>
      </c>
      <c r="I218" s="11">
        <f t="shared" si="8"/>
        <v>110.69699999999989</v>
      </c>
    </row>
    <row r="219" spans="2:9" x14ac:dyDescent="0.2">
      <c r="B219" s="192">
        <f t="shared" si="6"/>
        <v>45650</v>
      </c>
      <c r="C219" s="81">
        <v>1510</v>
      </c>
      <c r="D219" s="81"/>
      <c r="E219" s="81">
        <v>1345.788</v>
      </c>
      <c r="F219" s="81">
        <v>1598</v>
      </c>
      <c r="G219" s="11">
        <f t="shared" si="7"/>
        <v>252.21199999999999</v>
      </c>
      <c r="H219" s="11">
        <f>IFERROR(IF(Yearending&gt;B218,'5. Historical demand'!F219-'5. Historical demand'!C219-'5. Historical demand'!D219,""),"")</f>
        <v>88</v>
      </c>
      <c r="I219" s="11">
        <f t="shared" si="8"/>
        <v>164.21199999999999</v>
      </c>
    </row>
    <row r="220" spans="2:9" x14ac:dyDescent="0.2">
      <c r="B220" s="192">
        <f t="shared" si="6"/>
        <v>45651</v>
      </c>
      <c r="C220" s="81">
        <v>1510</v>
      </c>
      <c r="D220" s="81"/>
      <c r="E220" s="81">
        <v>1451.654</v>
      </c>
      <c r="F220" s="81">
        <v>1598</v>
      </c>
      <c r="G220" s="11">
        <f t="shared" si="7"/>
        <v>146.346</v>
      </c>
      <c r="H220" s="11">
        <f>IFERROR(IF(Yearending&gt;B219,'5. Historical demand'!F220-'5. Historical demand'!C220-'5. Historical demand'!D220,""),"")</f>
        <v>88</v>
      </c>
      <c r="I220" s="11">
        <f t="shared" si="8"/>
        <v>58.346000000000004</v>
      </c>
    </row>
    <row r="221" spans="2:9" x14ac:dyDescent="0.2">
      <c r="B221" s="192">
        <f t="shared" si="6"/>
        <v>45652</v>
      </c>
      <c r="C221" s="81">
        <v>1510</v>
      </c>
      <c r="D221" s="81"/>
      <c r="E221" s="81">
        <v>1448.307</v>
      </c>
      <c r="F221" s="81">
        <v>1598</v>
      </c>
      <c r="G221" s="11">
        <f t="shared" si="7"/>
        <v>149.69299999999998</v>
      </c>
      <c r="H221" s="11">
        <f>IFERROR(IF(Yearending&gt;B220,'5. Historical demand'!F221-'5. Historical demand'!C221-'5. Historical demand'!D221,""),"")</f>
        <v>88</v>
      </c>
      <c r="I221" s="11">
        <f t="shared" si="8"/>
        <v>61.692999999999984</v>
      </c>
    </row>
    <row r="222" spans="2:9" x14ac:dyDescent="0.2">
      <c r="B222" s="192">
        <f t="shared" si="6"/>
        <v>45653</v>
      </c>
      <c r="C222" s="81">
        <v>1510</v>
      </c>
      <c r="D222" s="81"/>
      <c r="E222" s="81">
        <v>1440.692</v>
      </c>
      <c r="F222" s="81">
        <v>1598</v>
      </c>
      <c r="G222" s="11">
        <f t="shared" si="7"/>
        <v>157.30799999999999</v>
      </c>
      <c r="H222" s="11">
        <f>IFERROR(IF(Yearending&gt;B221,'5. Historical demand'!F222-'5. Historical demand'!C222-'5. Historical demand'!D222,""),"")</f>
        <v>88</v>
      </c>
      <c r="I222" s="11">
        <f t="shared" si="8"/>
        <v>69.307999999999993</v>
      </c>
    </row>
    <row r="223" spans="2:9" x14ac:dyDescent="0.2">
      <c r="B223" s="192">
        <f t="shared" si="6"/>
        <v>45654</v>
      </c>
      <c r="C223" s="81">
        <v>1510</v>
      </c>
      <c r="D223" s="81"/>
      <c r="E223" s="81">
        <v>1420.6320000000001</v>
      </c>
      <c r="F223" s="81">
        <v>1598</v>
      </c>
      <c r="G223" s="11">
        <f t="shared" si="7"/>
        <v>177.36799999999994</v>
      </c>
      <c r="H223" s="11">
        <f>IFERROR(IF(Yearending&gt;B222,'5. Historical demand'!F223-'5. Historical demand'!C223-'5. Historical demand'!D223,""),"")</f>
        <v>88</v>
      </c>
      <c r="I223" s="11">
        <f t="shared" si="8"/>
        <v>89.367999999999938</v>
      </c>
    </row>
    <row r="224" spans="2:9" x14ac:dyDescent="0.2">
      <c r="B224" s="192">
        <f t="shared" si="6"/>
        <v>45655</v>
      </c>
      <c r="C224" s="81">
        <v>1510</v>
      </c>
      <c r="D224" s="81"/>
      <c r="E224" s="81">
        <v>1422.96</v>
      </c>
      <c r="F224" s="81">
        <v>1598</v>
      </c>
      <c r="G224" s="11">
        <f t="shared" si="7"/>
        <v>175.03999999999996</v>
      </c>
      <c r="H224" s="11">
        <f>IFERROR(IF(Yearending&gt;B223,'5. Historical demand'!F224-'5. Historical demand'!C224-'5. Historical demand'!D224,""),"")</f>
        <v>88</v>
      </c>
      <c r="I224" s="11">
        <f t="shared" si="8"/>
        <v>87.039999999999964</v>
      </c>
    </row>
    <row r="225" spans="2:9" x14ac:dyDescent="0.2">
      <c r="B225" s="192">
        <f t="shared" si="6"/>
        <v>45656</v>
      </c>
      <c r="C225" s="81">
        <v>1510</v>
      </c>
      <c r="D225" s="81"/>
      <c r="E225" s="81">
        <v>1450.9939999999999</v>
      </c>
      <c r="F225" s="81">
        <v>1598</v>
      </c>
      <c r="G225" s="11">
        <f t="shared" si="7"/>
        <v>147.00600000000009</v>
      </c>
      <c r="H225" s="11">
        <f>IFERROR(IF(Yearending&gt;B224,'5. Historical demand'!F225-'5. Historical demand'!C225-'5. Historical demand'!D225,""),"")</f>
        <v>88</v>
      </c>
      <c r="I225" s="11">
        <f t="shared" si="8"/>
        <v>59.006000000000085</v>
      </c>
    </row>
    <row r="226" spans="2:9" x14ac:dyDescent="0.2">
      <c r="B226" s="192">
        <f t="shared" si="6"/>
        <v>45657</v>
      </c>
      <c r="C226" s="81">
        <v>1510</v>
      </c>
      <c r="D226" s="81"/>
      <c r="E226" s="81">
        <v>1448.635</v>
      </c>
      <c r="F226" s="81">
        <v>1598</v>
      </c>
      <c r="G226" s="11">
        <f t="shared" si="7"/>
        <v>149.36500000000001</v>
      </c>
      <c r="H226" s="11">
        <f>IFERROR(IF(Yearending&gt;B225,'5. Historical demand'!F226-'5. Historical demand'!C226-'5. Historical demand'!D226,""),"")</f>
        <v>88</v>
      </c>
      <c r="I226" s="11">
        <f t="shared" si="8"/>
        <v>61.365000000000009</v>
      </c>
    </row>
    <row r="227" spans="2:9" x14ac:dyDescent="0.2">
      <c r="B227" s="192">
        <f t="shared" si="6"/>
        <v>45658</v>
      </c>
      <c r="C227" s="81">
        <v>1510</v>
      </c>
      <c r="D227" s="81"/>
      <c r="E227" s="81">
        <v>1425.9670000000001</v>
      </c>
      <c r="F227" s="81">
        <v>1598</v>
      </c>
      <c r="G227" s="11">
        <f t="shared" si="7"/>
        <v>172.0329999999999</v>
      </c>
      <c r="H227" s="11">
        <f>IFERROR(IF(Yearending&gt;B226,'5. Historical demand'!F227-'5. Historical demand'!C227-'5. Historical demand'!D227,""),"")</f>
        <v>88</v>
      </c>
      <c r="I227" s="11">
        <f t="shared" si="8"/>
        <v>84.032999999999902</v>
      </c>
    </row>
    <row r="228" spans="2:9" x14ac:dyDescent="0.2">
      <c r="B228" s="192">
        <f t="shared" si="6"/>
        <v>45659</v>
      </c>
      <c r="C228" s="81">
        <v>1510</v>
      </c>
      <c r="D228" s="81"/>
      <c r="E228" s="81">
        <v>1406.739</v>
      </c>
      <c r="F228" s="81">
        <v>1598</v>
      </c>
      <c r="G228" s="11">
        <f t="shared" si="7"/>
        <v>191.26099999999997</v>
      </c>
      <c r="H228" s="11">
        <f>IFERROR(IF(Yearending&gt;B227,'5. Historical demand'!F228-'5. Historical demand'!C228-'5. Historical demand'!D228,""),"")</f>
        <v>88</v>
      </c>
      <c r="I228" s="11">
        <f t="shared" si="8"/>
        <v>103.26099999999997</v>
      </c>
    </row>
    <row r="229" spans="2:9" x14ac:dyDescent="0.2">
      <c r="B229" s="192">
        <f t="shared" si="6"/>
        <v>45660</v>
      </c>
      <c r="C229" s="81">
        <v>1510</v>
      </c>
      <c r="D229" s="81"/>
      <c r="E229" s="81">
        <v>1429.4639999999999</v>
      </c>
      <c r="F229" s="81">
        <v>1598</v>
      </c>
      <c r="G229" s="11">
        <f t="shared" si="7"/>
        <v>168.53600000000006</v>
      </c>
      <c r="H229" s="11">
        <f>IFERROR(IF(Yearending&gt;B228,'5. Historical demand'!F229-'5. Historical demand'!C229-'5. Historical demand'!D229,""),"")</f>
        <v>88</v>
      </c>
      <c r="I229" s="11">
        <f t="shared" si="8"/>
        <v>80.536000000000058</v>
      </c>
    </row>
    <row r="230" spans="2:9" x14ac:dyDescent="0.2">
      <c r="B230" s="192">
        <f t="shared" si="6"/>
        <v>45661</v>
      </c>
      <c r="C230" s="81">
        <v>1510</v>
      </c>
      <c r="D230" s="81"/>
      <c r="E230" s="81">
        <v>1452.739</v>
      </c>
      <c r="F230" s="81">
        <v>1598</v>
      </c>
      <c r="G230" s="11">
        <f t="shared" si="7"/>
        <v>145.26099999999997</v>
      </c>
      <c r="H230" s="11">
        <f>IFERROR(IF(Yearending&gt;B229,'5. Historical demand'!F230-'5. Historical demand'!C230-'5. Historical demand'!D230,""),"")</f>
        <v>88</v>
      </c>
      <c r="I230" s="11">
        <f t="shared" si="8"/>
        <v>57.260999999999967</v>
      </c>
    </row>
    <row r="231" spans="2:9" x14ac:dyDescent="0.2">
      <c r="B231" s="192">
        <f t="shared" si="6"/>
        <v>45662</v>
      </c>
      <c r="C231" s="81">
        <v>1510</v>
      </c>
      <c r="D231" s="81"/>
      <c r="E231" s="81">
        <v>1429.194</v>
      </c>
      <c r="F231" s="81">
        <v>1598</v>
      </c>
      <c r="G231" s="11">
        <f t="shared" si="7"/>
        <v>168.80600000000004</v>
      </c>
      <c r="H231" s="11">
        <f>IFERROR(IF(Yearending&gt;B230,'5. Historical demand'!F231-'5. Historical demand'!C231-'5. Historical demand'!D231,""),"")</f>
        <v>88</v>
      </c>
      <c r="I231" s="11">
        <f t="shared" si="8"/>
        <v>80.80600000000004</v>
      </c>
    </row>
    <row r="232" spans="2:9" x14ac:dyDescent="0.2">
      <c r="B232" s="192">
        <f t="shared" si="6"/>
        <v>45663</v>
      </c>
      <c r="C232" s="81">
        <v>1510</v>
      </c>
      <c r="D232" s="81"/>
      <c r="E232" s="81">
        <v>1417.9829999999999</v>
      </c>
      <c r="F232" s="81">
        <v>1598</v>
      </c>
      <c r="G232" s="11">
        <f t="shared" si="7"/>
        <v>180.01700000000005</v>
      </c>
      <c r="H232" s="11">
        <f>IFERROR(IF(Yearending&gt;B231,'5. Historical demand'!F232-'5. Historical demand'!C232-'5. Historical demand'!D232,""),"")</f>
        <v>88</v>
      </c>
      <c r="I232" s="11">
        <f t="shared" si="8"/>
        <v>92.017000000000053</v>
      </c>
    </row>
    <row r="233" spans="2:9" x14ac:dyDescent="0.2">
      <c r="B233" s="192">
        <f t="shared" si="6"/>
        <v>45664</v>
      </c>
      <c r="C233" s="81">
        <v>1510</v>
      </c>
      <c r="D233" s="81"/>
      <c r="E233" s="81">
        <v>1442.5350000000001</v>
      </c>
      <c r="F233" s="81">
        <v>1598</v>
      </c>
      <c r="G233" s="11">
        <f t="shared" si="7"/>
        <v>155.46499999999992</v>
      </c>
      <c r="H233" s="11">
        <f>IFERROR(IF(Yearending&gt;B232,'5. Historical demand'!F233-'5. Historical demand'!C233-'5. Historical demand'!D233,""),"")</f>
        <v>88</v>
      </c>
      <c r="I233" s="11">
        <f t="shared" si="8"/>
        <v>67.464999999999918</v>
      </c>
    </row>
    <row r="234" spans="2:9" x14ac:dyDescent="0.2">
      <c r="B234" s="192">
        <f t="shared" si="6"/>
        <v>45665</v>
      </c>
      <c r="C234" s="81">
        <v>1510</v>
      </c>
      <c r="D234" s="81"/>
      <c r="E234" s="81">
        <v>1435.3340000000001</v>
      </c>
      <c r="F234" s="81">
        <v>1598</v>
      </c>
      <c r="G234" s="11">
        <f t="shared" si="7"/>
        <v>162.66599999999994</v>
      </c>
      <c r="H234" s="11">
        <f>IFERROR(IF(Yearending&gt;B233,'5. Historical demand'!F234-'5. Historical demand'!C234-'5. Historical demand'!D234,""),"")</f>
        <v>88</v>
      </c>
      <c r="I234" s="11">
        <f t="shared" si="8"/>
        <v>74.66599999999994</v>
      </c>
    </row>
    <row r="235" spans="2:9" x14ac:dyDescent="0.2">
      <c r="B235" s="192">
        <f t="shared" si="6"/>
        <v>45666</v>
      </c>
      <c r="C235" s="81">
        <v>1510</v>
      </c>
      <c r="D235" s="81"/>
      <c r="E235" s="81">
        <v>1354.809</v>
      </c>
      <c r="F235" s="81">
        <v>1598</v>
      </c>
      <c r="G235" s="11">
        <f t="shared" si="7"/>
        <v>243.19100000000003</v>
      </c>
      <c r="H235" s="11">
        <f>IFERROR(IF(Yearending&gt;B234,'5. Historical demand'!F235-'5. Historical demand'!C235-'5. Historical demand'!D235,""),"")</f>
        <v>88</v>
      </c>
      <c r="I235" s="11">
        <f t="shared" si="8"/>
        <v>155.19100000000003</v>
      </c>
    </row>
    <row r="236" spans="2:9" x14ac:dyDescent="0.2">
      <c r="B236" s="192">
        <f t="shared" ref="B236:B299" si="9">IFERROR(IF(Yearending&gt;B235, B235+1, ""),"")</f>
        <v>45667</v>
      </c>
      <c r="C236" s="81">
        <v>1510</v>
      </c>
      <c r="D236" s="81"/>
      <c r="E236" s="81">
        <v>1473.1220000000001</v>
      </c>
      <c r="F236" s="81">
        <v>1598</v>
      </c>
      <c r="G236" s="11">
        <f t="shared" ref="G236:G299" si="10">IFERROR(IF(Yearending&gt;B235,F236-E236,""),"")</f>
        <v>124.87799999999993</v>
      </c>
      <c r="H236" s="11">
        <f>IFERROR(IF(Yearending&gt;B235,'5. Historical demand'!F236-'5. Historical demand'!C236-'5. Historical demand'!D236,""),"")</f>
        <v>88</v>
      </c>
      <c r="I236" s="11">
        <f t="shared" ref="I236:I299" si="11">IFERROR(IF(Yearending&gt;B235,C236+D236-E236,""),"")</f>
        <v>36.877999999999929</v>
      </c>
    </row>
    <row r="237" spans="2:9" x14ac:dyDescent="0.2">
      <c r="B237" s="192">
        <f t="shared" si="9"/>
        <v>45668</v>
      </c>
      <c r="C237" s="81">
        <v>1510</v>
      </c>
      <c r="D237" s="81"/>
      <c r="E237" s="81">
        <v>1429.424</v>
      </c>
      <c r="F237" s="81">
        <v>1598</v>
      </c>
      <c r="G237" s="11">
        <f t="shared" si="10"/>
        <v>168.57600000000002</v>
      </c>
      <c r="H237" s="11">
        <f>IFERROR(IF(Yearending&gt;B236,'5. Historical demand'!F237-'5. Historical demand'!C237-'5. Historical demand'!D237,""),"")</f>
        <v>88</v>
      </c>
      <c r="I237" s="11">
        <f t="shared" si="11"/>
        <v>80.576000000000022</v>
      </c>
    </row>
    <row r="238" spans="2:9" x14ac:dyDescent="0.2">
      <c r="B238" s="192">
        <f t="shared" si="9"/>
        <v>45669</v>
      </c>
      <c r="C238" s="81">
        <v>1510</v>
      </c>
      <c r="D238" s="81"/>
      <c r="E238" s="81">
        <v>1424.8810000000001</v>
      </c>
      <c r="F238" s="81">
        <v>1598</v>
      </c>
      <c r="G238" s="11">
        <f t="shared" si="10"/>
        <v>173.11899999999991</v>
      </c>
      <c r="H238" s="11">
        <f>IFERROR(IF(Yearending&gt;B237,'5. Historical demand'!F238-'5. Historical demand'!C238-'5. Historical demand'!D238,""),"")</f>
        <v>88</v>
      </c>
      <c r="I238" s="11">
        <f t="shared" si="11"/>
        <v>85.118999999999915</v>
      </c>
    </row>
    <row r="239" spans="2:9" x14ac:dyDescent="0.2">
      <c r="B239" s="192">
        <f t="shared" si="9"/>
        <v>45670</v>
      </c>
      <c r="C239" s="81">
        <v>1510</v>
      </c>
      <c r="D239" s="81"/>
      <c r="E239" s="81">
        <v>1397.79</v>
      </c>
      <c r="F239" s="81">
        <v>1598</v>
      </c>
      <c r="G239" s="11">
        <f t="shared" si="10"/>
        <v>200.21000000000004</v>
      </c>
      <c r="H239" s="11">
        <f>IFERROR(IF(Yearending&gt;B238,'5. Historical demand'!F239-'5. Historical demand'!C239-'5. Historical demand'!D239,""),"")</f>
        <v>88</v>
      </c>
      <c r="I239" s="11">
        <f t="shared" si="11"/>
        <v>112.21000000000004</v>
      </c>
    </row>
    <row r="240" spans="2:9" x14ac:dyDescent="0.2">
      <c r="B240" s="192">
        <f t="shared" si="9"/>
        <v>45671</v>
      </c>
      <c r="C240" s="81">
        <v>1510</v>
      </c>
      <c r="D240" s="81"/>
      <c r="E240" s="81">
        <v>1356.7149999999999</v>
      </c>
      <c r="F240" s="81">
        <v>1598</v>
      </c>
      <c r="G240" s="11">
        <f t="shared" si="10"/>
        <v>241.28500000000008</v>
      </c>
      <c r="H240" s="11">
        <f>IFERROR(IF(Yearending&gt;B239,'5. Historical demand'!F240-'5. Historical demand'!C240-'5. Historical demand'!D240,""),"")</f>
        <v>88</v>
      </c>
      <c r="I240" s="11">
        <f t="shared" si="11"/>
        <v>153.28500000000008</v>
      </c>
    </row>
    <row r="241" spans="2:9" x14ac:dyDescent="0.2">
      <c r="B241" s="192">
        <f t="shared" si="9"/>
        <v>45672</v>
      </c>
      <c r="C241" s="81">
        <v>1510</v>
      </c>
      <c r="D241" s="81"/>
      <c r="E241" s="81">
        <v>1316.7570000000001</v>
      </c>
      <c r="F241" s="81">
        <v>1598</v>
      </c>
      <c r="G241" s="11">
        <f t="shared" si="10"/>
        <v>281.24299999999994</v>
      </c>
      <c r="H241" s="11">
        <f>IFERROR(IF(Yearending&gt;B240,'5. Historical demand'!F241-'5. Historical demand'!C241-'5. Historical demand'!D241,""),"")</f>
        <v>88</v>
      </c>
      <c r="I241" s="11">
        <f t="shared" si="11"/>
        <v>193.24299999999994</v>
      </c>
    </row>
    <row r="242" spans="2:9" x14ac:dyDescent="0.2">
      <c r="B242" s="192">
        <f t="shared" si="9"/>
        <v>45673</v>
      </c>
      <c r="C242" s="81">
        <v>1510</v>
      </c>
      <c r="D242" s="81"/>
      <c r="E242" s="81">
        <v>1186.7380000000001</v>
      </c>
      <c r="F242" s="81">
        <v>1598</v>
      </c>
      <c r="G242" s="11">
        <f t="shared" si="10"/>
        <v>411.26199999999994</v>
      </c>
      <c r="H242" s="11">
        <f>IFERROR(IF(Yearending&gt;B241,'5. Historical demand'!F242-'5. Historical demand'!C242-'5. Historical demand'!D242,""),"")</f>
        <v>88</v>
      </c>
      <c r="I242" s="11">
        <f t="shared" si="11"/>
        <v>323.26199999999994</v>
      </c>
    </row>
    <row r="243" spans="2:9" x14ac:dyDescent="0.2">
      <c r="B243" s="192">
        <f t="shared" si="9"/>
        <v>45674</v>
      </c>
      <c r="C243" s="81">
        <v>1510</v>
      </c>
      <c r="D243" s="81"/>
      <c r="E243" s="81">
        <v>1423.6010000000001</v>
      </c>
      <c r="F243" s="81">
        <v>1598</v>
      </c>
      <c r="G243" s="11">
        <f t="shared" si="10"/>
        <v>174.39899999999989</v>
      </c>
      <c r="H243" s="11">
        <f>IFERROR(IF(Yearending&gt;B242,'5. Historical demand'!F243-'5. Historical demand'!C243-'5. Historical demand'!D243,""),"")</f>
        <v>88</v>
      </c>
      <c r="I243" s="11">
        <f t="shared" si="11"/>
        <v>86.398999999999887</v>
      </c>
    </row>
    <row r="244" spans="2:9" x14ac:dyDescent="0.2">
      <c r="B244" s="192">
        <f t="shared" si="9"/>
        <v>45675</v>
      </c>
      <c r="C244" s="81">
        <v>1510</v>
      </c>
      <c r="D244" s="81"/>
      <c r="E244" s="81">
        <v>1403.6210000000001</v>
      </c>
      <c r="F244" s="81">
        <v>1598</v>
      </c>
      <c r="G244" s="11">
        <f t="shared" si="10"/>
        <v>194.37899999999991</v>
      </c>
      <c r="H244" s="11">
        <f>IFERROR(IF(Yearending&gt;B243,'5. Historical demand'!F244-'5. Historical demand'!C244-'5. Historical demand'!D244,""),"")</f>
        <v>88</v>
      </c>
      <c r="I244" s="11">
        <f t="shared" si="11"/>
        <v>106.37899999999991</v>
      </c>
    </row>
    <row r="245" spans="2:9" x14ac:dyDescent="0.2">
      <c r="B245" s="192">
        <f t="shared" si="9"/>
        <v>45676</v>
      </c>
      <c r="C245" s="81">
        <v>1510</v>
      </c>
      <c r="D245" s="81"/>
      <c r="E245" s="81">
        <v>1459.136</v>
      </c>
      <c r="F245" s="81">
        <v>1598</v>
      </c>
      <c r="G245" s="11">
        <f t="shared" si="10"/>
        <v>138.86400000000003</v>
      </c>
      <c r="H245" s="11">
        <f>IFERROR(IF(Yearending&gt;B244,'5. Historical demand'!F245-'5. Historical demand'!C245-'5. Historical demand'!D245,""),"")</f>
        <v>88</v>
      </c>
      <c r="I245" s="11">
        <f t="shared" si="11"/>
        <v>50.864000000000033</v>
      </c>
    </row>
    <row r="246" spans="2:9" x14ac:dyDescent="0.2">
      <c r="B246" s="192">
        <f t="shared" si="9"/>
        <v>45677</v>
      </c>
      <c r="C246" s="81">
        <v>1510</v>
      </c>
      <c r="D246" s="81"/>
      <c r="E246" s="81">
        <v>1408.943</v>
      </c>
      <c r="F246" s="81">
        <v>1598</v>
      </c>
      <c r="G246" s="11">
        <f t="shared" si="10"/>
        <v>189.05700000000002</v>
      </c>
      <c r="H246" s="11">
        <f>IFERROR(IF(Yearending&gt;B245,'5. Historical demand'!F246-'5. Historical demand'!C246-'5. Historical demand'!D246,""),"")</f>
        <v>88</v>
      </c>
      <c r="I246" s="11">
        <f t="shared" si="11"/>
        <v>101.05700000000002</v>
      </c>
    </row>
    <row r="247" spans="2:9" x14ac:dyDescent="0.2">
      <c r="B247" s="192">
        <f t="shared" si="9"/>
        <v>45678</v>
      </c>
      <c r="C247" s="81">
        <v>1510</v>
      </c>
      <c r="D247" s="81"/>
      <c r="E247" s="81">
        <v>1387.1659999999999</v>
      </c>
      <c r="F247" s="81">
        <v>1598</v>
      </c>
      <c r="G247" s="11">
        <f t="shared" si="10"/>
        <v>210.83400000000006</v>
      </c>
      <c r="H247" s="11">
        <f>IFERROR(IF(Yearending&gt;B246,'5. Historical demand'!F247-'5. Historical demand'!C247-'5. Historical demand'!D247,""),"")</f>
        <v>88</v>
      </c>
      <c r="I247" s="11">
        <f t="shared" si="11"/>
        <v>122.83400000000006</v>
      </c>
    </row>
    <row r="248" spans="2:9" x14ac:dyDescent="0.2">
      <c r="B248" s="192">
        <f t="shared" si="9"/>
        <v>45679</v>
      </c>
      <c r="C248" s="81">
        <v>1510</v>
      </c>
      <c r="D248" s="81"/>
      <c r="E248" s="81">
        <v>1327.8240000000001</v>
      </c>
      <c r="F248" s="81">
        <v>1598</v>
      </c>
      <c r="G248" s="11">
        <f t="shared" si="10"/>
        <v>270.17599999999993</v>
      </c>
      <c r="H248" s="11">
        <f>IFERROR(IF(Yearending&gt;B247,'5. Historical demand'!F248-'5. Historical demand'!C248-'5. Historical demand'!D248,""),"")</f>
        <v>88</v>
      </c>
      <c r="I248" s="11">
        <f t="shared" si="11"/>
        <v>182.17599999999993</v>
      </c>
    </row>
    <row r="249" spans="2:9" x14ac:dyDescent="0.2">
      <c r="B249" s="192">
        <f t="shared" si="9"/>
        <v>45680</v>
      </c>
      <c r="C249" s="81">
        <v>1510</v>
      </c>
      <c r="D249" s="81"/>
      <c r="E249" s="81">
        <v>1217.3920000000001</v>
      </c>
      <c r="F249" s="81">
        <v>1598</v>
      </c>
      <c r="G249" s="11">
        <f t="shared" si="10"/>
        <v>380.60799999999995</v>
      </c>
      <c r="H249" s="11">
        <f>IFERROR(IF(Yearending&gt;B248,'5. Historical demand'!F249-'5. Historical demand'!C249-'5. Historical demand'!D249,""),"")</f>
        <v>88</v>
      </c>
      <c r="I249" s="11">
        <f t="shared" si="11"/>
        <v>292.60799999999995</v>
      </c>
    </row>
    <row r="250" spans="2:9" x14ac:dyDescent="0.2">
      <c r="B250" s="192">
        <f t="shared" si="9"/>
        <v>45681</v>
      </c>
      <c r="C250" s="81">
        <v>1510</v>
      </c>
      <c r="D250" s="81"/>
      <c r="E250" s="81">
        <v>1290.0840000000001</v>
      </c>
      <c r="F250" s="81">
        <v>1598</v>
      </c>
      <c r="G250" s="11">
        <f t="shared" si="10"/>
        <v>307.91599999999994</v>
      </c>
      <c r="H250" s="11">
        <f>IFERROR(IF(Yearending&gt;B249,'5. Historical demand'!F250-'5. Historical demand'!C250-'5. Historical demand'!D250,""),"")</f>
        <v>88</v>
      </c>
      <c r="I250" s="11">
        <f t="shared" si="11"/>
        <v>219.91599999999994</v>
      </c>
    </row>
    <row r="251" spans="2:9" x14ac:dyDescent="0.2">
      <c r="B251" s="192">
        <f t="shared" si="9"/>
        <v>45682</v>
      </c>
      <c r="C251" s="81">
        <v>1510</v>
      </c>
      <c r="D251" s="81"/>
      <c r="E251" s="81">
        <v>1438.1289999999999</v>
      </c>
      <c r="F251" s="81">
        <v>1598</v>
      </c>
      <c r="G251" s="11">
        <f t="shared" si="10"/>
        <v>159.87100000000009</v>
      </c>
      <c r="H251" s="11">
        <f>IFERROR(IF(Yearending&gt;B250,'5. Historical demand'!F251-'5. Historical demand'!C251-'5. Historical demand'!D251,""),"")</f>
        <v>88</v>
      </c>
      <c r="I251" s="11">
        <f t="shared" si="11"/>
        <v>71.871000000000095</v>
      </c>
    </row>
    <row r="252" spans="2:9" x14ac:dyDescent="0.2">
      <c r="B252" s="192">
        <f t="shared" si="9"/>
        <v>45683</v>
      </c>
      <c r="C252" s="81">
        <v>1510</v>
      </c>
      <c r="D252" s="81"/>
      <c r="E252" s="81">
        <v>1433.06</v>
      </c>
      <c r="F252" s="81">
        <v>1598</v>
      </c>
      <c r="G252" s="11">
        <f t="shared" si="10"/>
        <v>164.94000000000005</v>
      </c>
      <c r="H252" s="11">
        <f>IFERROR(IF(Yearending&gt;B251,'5. Historical demand'!F252-'5. Historical demand'!C252-'5. Historical demand'!D252,""),"")</f>
        <v>88</v>
      </c>
      <c r="I252" s="11">
        <f t="shared" si="11"/>
        <v>76.940000000000055</v>
      </c>
    </row>
    <row r="253" spans="2:9" x14ac:dyDescent="0.2">
      <c r="B253" s="192">
        <f t="shared" si="9"/>
        <v>45684</v>
      </c>
      <c r="C253" s="81">
        <v>1510</v>
      </c>
      <c r="D253" s="81"/>
      <c r="E253" s="81">
        <v>1449.2940000000001</v>
      </c>
      <c r="F253" s="81">
        <v>1598</v>
      </c>
      <c r="G253" s="11">
        <f t="shared" si="10"/>
        <v>148.7059999999999</v>
      </c>
      <c r="H253" s="11">
        <f>IFERROR(IF(Yearending&gt;B252,'5. Historical demand'!F253-'5. Historical demand'!C253-'5. Historical demand'!D253,""),"")</f>
        <v>88</v>
      </c>
      <c r="I253" s="11">
        <f t="shared" si="11"/>
        <v>60.705999999999904</v>
      </c>
    </row>
    <row r="254" spans="2:9" x14ac:dyDescent="0.2">
      <c r="B254" s="192">
        <f t="shared" si="9"/>
        <v>45685</v>
      </c>
      <c r="C254" s="81">
        <v>1510</v>
      </c>
      <c r="D254" s="81"/>
      <c r="E254" s="81">
        <v>1433.5540000000001</v>
      </c>
      <c r="F254" s="81">
        <v>1598</v>
      </c>
      <c r="G254" s="11">
        <f t="shared" si="10"/>
        <v>164.44599999999991</v>
      </c>
      <c r="H254" s="11">
        <f>IFERROR(IF(Yearending&gt;B253,'5. Historical demand'!F254-'5. Historical demand'!C254-'5. Historical demand'!D254,""),"")</f>
        <v>88</v>
      </c>
      <c r="I254" s="11">
        <f t="shared" si="11"/>
        <v>76.445999999999913</v>
      </c>
    </row>
    <row r="255" spans="2:9" x14ac:dyDescent="0.2">
      <c r="B255" s="192">
        <f t="shared" si="9"/>
        <v>45686</v>
      </c>
      <c r="C255" s="81">
        <v>1510</v>
      </c>
      <c r="D255" s="81"/>
      <c r="E255" s="81">
        <v>1245.4000000000001</v>
      </c>
      <c r="F255" s="81">
        <v>1598</v>
      </c>
      <c r="G255" s="11">
        <f t="shared" si="10"/>
        <v>352.59999999999991</v>
      </c>
      <c r="H255" s="11">
        <f>IFERROR(IF(Yearending&gt;B254,'5. Historical demand'!F255-'5. Historical demand'!C255-'5. Historical demand'!D255,""),"")</f>
        <v>88</v>
      </c>
      <c r="I255" s="11">
        <f t="shared" si="11"/>
        <v>264.59999999999991</v>
      </c>
    </row>
    <row r="256" spans="2:9" x14ac:dyDescent="0.2">
      <c r="B256" s="192">
        <f t="shared" si="9"/>
        <v>45687</v>
      </c>
      <c r="C256" s="81">
        <v>1510</v>
      </c>
      <c r="D256" s="81"/>
      <c r="E256" s="81">
        <v>1341.1179999999999</v>
      </c>
      <c r="F256" s="81">
        <v>1598</v>
      </c>
      <c r="G256" s="11">
        <f t="shared" si="10"/>
        <v>256.88200000000006</v>
      </c>
      <c r="H256" s="11">
        <f>IFERROR(IF(Yearending&gt;B255,'5. Historical demand'!F256-'5. Historical demand'!C256-'5. Historical demand'!D256,""),"")</f>
        <v>88</v>
      </c>
      <c r="I256" s="11">
        <f t="shared" si="11"/>
        <v>168.88200000000006</v>
      </c>
    </row>
    <row r="257" spans="2:9" x14ac:dyDescent="0.2">
      <c r="B257" s="192">
        <f t="shared" si="9"/>
        <v>45688</v>
      </c>
      <c r="C257" s="81">
        <v>1510</v>
      </c>
      <c r="D257" s="81"/>
      <c r="E257" s="81">
        <v>1334.232</v>
      </c>
      <c r="F257" s="81">
        <v>1598</v>
      </c>
      <c r="G257" s="11">
        <f t="shared" si="10"/>
        <v>263.76800000000003</v>
      </c>
      <c r="H257" s="11">
        <f>IFERROR(IF(Yearending&gt;B256,'5. Historical demand'!F257-'5. Historical demand'!C257-'5. Historical demand'!D257,""),"")</f>
        <v>88</v>
      </c>
      <c r="I257" s="11">
        <f t="shared" si="11"/>
        <v>175.76800000000003</v>
      </c>
    </row>
    <row r="258" spans="2:9" x14ac:dyDescent="0.2">
      <c r="B258" s="192">
        <f t="shared" si="9"/>
        <v>45689</v>
      </c>
      <c r="C258" s="81">
        <v>1510</v>
      </c>
      <c r="D258" s="81"/>
      <c r="E258" s="81">
        <v>1340.961</v>
      </c>
      <c r="F258" s="81">
        <v>1598</v>
      </c>
      <c r="G258" s="11">
        <f t="shared" si="10"/>
        <v>257.03899999999999</v>
      </c>
      <c r="H258" s="11">
        <f>IFERROR(IF(Yearending&gt;B257,'5. Historical demand'!F258-'5. Historical demand'!C258-'5. Historical demand'!D258,""),"")</f>
        <v>88</v>
      </c>
      <c r="I258" s="11">
        <f t="shared" si="11"/>
        <v>169.03899999999999</v>
      </c>
    </row>
    <row r="259" spans="2:9" x14ac:dyDescent="0.2">
      <c r="B259" s="192">
        <f t="shared" si="9"/>
        <v>45690</v>
      </c>
      <c r="C259" s="81">
        <v>1510</v>
      </c>
      <c r="D259" s="81"/>
      <c r="E259" s="81">
        <v>1414.972</v>
      </c>
      <c r="F259" s="81">
        <v>1598</v>
      </c>
      <c r="G259" s="11">
        <f t="shared" si="10"/>
        <v>183.02800000000002</v>
      </c>
      <c r="H259" s="11">
        <f>IFERROR(IF(Yearending&gt;B258,'5. Historical demand'!F259-'5. Historical demand'!C259-'5. Historical demand'!D259,""),"")</f>
        <v>88</v>
      </c>
      <c r="I259" s="11">
        <f t="shared" si="11"/>
        <v>95.02800000000002</v>
      </c>
    </row>
    <row r="260" spans="2:9" x14ac:dyDescent="0.2">
      <c r="B260" s="192">
        <f t="shared" si="9"/>
        <v>45691</v>
      </c>
      <c r="C260" s="81">
        <v>1510</v>
      </c>
      <c r="D260" s="81"/>
      <c r="E260" s="81">
        <v>1351.482</v>
      </c>
      <c r="F260" s="81">
        <v>1598</v>
      </c>
      <c r="G260" s="11">
        <f t="shared" si="10"/>
        <v>246.51800000000003</v>
      </c>
      <c r="H260" s="11">
        <f>IFERROR(IF(Yearending&gt;B259,'5. Historical demand'!F260-'5. Historical demand'!C260-'5. Historical demand'!D260,""),"")</f>
        <v>88</v>
      </c>
      <c r="I260" s="11">
        <f t="shared" si="11"/>
        <v>158.51800000000003</v>
      </c>
    </row>
    <row r="261" spans="2:9" x14ac:dyDescent="0.2">
      <c r="B261" s="192">
        <f t="shared" si="9"/>
        <v>45692</v>
      </c>
      <c r="C261" s="81">
        <v>1510</v>
      </c>
      <c r="D261" s="81"/>
      <c r="E261" s="81">
        <v>1306.873</v>
      </c>
      <c r="F261" s="81">
        <v>1598</v>
      </c>
      <c r="G261" s="11">
        <f t="shared" si="10"/>
        <v>291.12699999999995</v>
      </c>
      <c r="H261" s="11">
        <f>IFERROR(IF(Yearending&gt;B260,'5. Historical demand'!F261-'5. Historical demand'!C261-'5. Historical demand'!D261,""),"")</f>
        <v>88</v>
      </c>
      <c r="I261" s="11">
        <f t="shared" si="11"/>
        <v>203.12699999999995</v>
      </c>
    </row>
    <row r="262" spans="2:9" x14ac:dyDescent="0.2">
      <c r="B262" s="192">
        <f t="shared" si="9"/>
        <v>45693</v>
      </c>
      <c r="C262" s="81">
        <v>1510</v>
      </c>
      <c r="D262" s="81"/>
      <c r="E262" s="81">
        <v>1473.2329999999999</v>
      </c>
      <c r="F262" s="81">
        <v>1598</v>
      </c>
      <c r="G262" s="11">
        <f t="shared" si="10"/>
        <v>124.76700000000005</v>
      </c>
      <c r="H262" s="11">
        <f>IFERROR(IF(Yearending&gt;B261,'5. Historical demand'!F262-'5. Historical demand'!C262-'5. Historical demand'!D262,""),"")</f>
        <v>88</v>
      </c>
      <c r="I262" s="11">
        <f t="shared" si="11"/>
        <v>36.767000000000053</v>
      </c>
    </row>
    <row r="263" spans="2:9" x14ac:dyDescent="0.2">
      <c r="B263" s="192">
        <f t="shared" si="9"/>
        <v>45694</v>
      </c>
      <c r="C263" s="81">
        <v>1510</v>
      </c>
      <c r="D263" s="81"/>
      <c r="E263" s="81">
        <v>1248.1500000000001</v>
      </c>
      <c r="F263" s="81">
        <v>1598</v>
      </c>
      <c r="G263" s="11">
        <f t="shared" si="10"/>
        <v>349.84999999999991</v>
      </c>
      <c r="H263" s="11">
        <f>IFERROR(IF(Yearending&gt;B262,'5. Historical demand'!F263-'5. Historical demand'!C263-'5. Historical demand'!D263,""),"")</f>
        <v>88</v>
      </c>
      <c r="I263" s="11">
        <f t="shared" si="11"/>
        <v>261.84999999999991</v>
      </c>
    </row>
    <row r="264" spans="2:9" x14ac:dyDescent="0.2">
      <c r="B264" s="192">
        <f t="shared" si="9"/>
        <v>45695</v>
      </c>
      <c r="C264" s="81">
        <v>1510</v>
      </c>
      <c r="D264" s="81"/>
      <c r="E264" s="81">
        <v>1449.636</v>
      </c>
      <c r="F264" s="81">
        <v>1598</v>
      </c>
      <c r="G264" s="11">
        <f t="shared" si="10"/>
        <v>148.36400000000003</v>
      </c>
      <c r="H264" s="11">
        <f>IFERROR(IF(Yearending&gt;B263,'5. Historical demand'!F264-'5. Historical demand'!C264-'5. Historical demand'!D264,""),"")</f>
        <v>88</v>
      </c>
      <c r="I264" s="11">
        <f t="shared" si="11"/>
        <v>60.364000000000033</v>
      </c>
    </row>
    <row r="265" spans="2:9" x14ac:dyDescent="0.2">
      <c r="B265" s="192">
        <f t="shared" si="9"/>
        <v>45696</v>
      </c>
      <c r="C265" s="81">
        <v>1510</v>
      </c>
      <c r="D265" s="81"/>
      <c r="E265" s="81">
        <v>1455.3340000000001</v>
      </c>
      <c r="F265" s="81">
        <v>1598</v>
      </c>
      <c r="G265" s="11">
        <f t="shared" si="10"/>
        <v>142.66599999999994</v>
      </c>
      <c r="H265" s="11">
        <f>IFERROR(IF(Yearending&gt;B264,'5. Historical demand'!F265-'5. Historical demand'!C265-'5. Historical demand'!D265,""),"")</f>
        <v>88</v>
      </c>
      <c r="I265" s="11">
        <f t="shared" si="11"/>
        <v>54.66599999999994</v>
      </c>
    </row>
    <row r="266" spans="2:9" x14ac:dyDescent="0.2">
      <c r="B266" s="192">
        <f t="shared" si="9"/>
        <v>45697</v>
      </c>
      <c r="C266" s="81">
        <v>1510</v>
      </c>
      <c r="D266" s="81"/>
      <c r="E266" s="81">
        <v>1464.999</v>
      </c>
      <c r="F266" s="81">
        <v>1598</v>
      </c>
      <c r="G266" s="11">
        <f t="shared" si="10"/>
        <v>133.00099999999998</v>
      </c>
      <c r="H266" s="11">
        <f>IFERROR(IF(Yearending&gt;B265,'5. Historical demand'!F266-'5. Historical demand'!C266-'5. Historical demand'!D266,""),"")</f>
        <v>88</v>
      </c>
      <c r="I266" s="11">
        <f t="shared" si="11"/>
        <v>45.000999999999976</v>
      </c>
    </row>
    <row r="267" spans="2:9" x14ac:dyDescent="0.2">
      <c r="B267" s="192">
        <f t="shared" si="9"/>
        <v>45698</v>
      </c>
      <c r="C267" s="81">
        <v>1510</v>
      </c>
      <c r="D267" s="81"/>
      <c r="E267" s="81">
        <v>1442.1759999999999</v>
      </c>
      <c r="F267" s="81">
        <v>1598</v>
      </c>
      <c r="G267" s="11">
        <f t="shared" si="10"/>
        <v>155.82400000000007</v>
      </c>
      <c r="H267" s="11">
        <f>IFERROR(IF(Yearending&gt;B266,'5. Historical demand'!F267-'5. Historical demand'!C267-'5. Historical demand'!D267,""),"")</f>
        <v>88</v>
      </c>
      <c r="I267" s="11">
        <f t="shared" si="11"/>
        <v>67.824000000000069</v>
      </c>
    </row>
    <row r="268" spans="2:9" x14ac:dyDescent="0.2">
      <c r="B268" s="192">
        <f t="shared" si="9"/>
        <v>45699</v>
      </c>
      <c r="C268" s="81">
        <v>1510</v>
      </c>
      <c r="D268" s="81"/>
      <c r="E268" s="81">
        <v>1436.357</v>
      </c>
      <c r="F268" s="81">
        <v>1598</v>
      </c>
      <c r="G268" s="11">
        <f t="shared" si="10"/>
        <v>161.64300000000003</v>
      </c>
      <c r="H268" s="11">
        <f>IFERROR(IF(Yearending&gt;B267,'5. Historical demand'!F268-'5. Historical demand'!C268-'5. Historical demand'!D268,""),"")</f>
        <v>88</v>
      </c>
      <c r="I268" s="11">
        <f t="shared" si="11"/>
        <v>73.643000000000029</v>
      </c>
    </row>
    <row r="269" spans="2:9" x14ac:dyDescent="0.2">
      <c r="B269" s="192">
        <f t="shared" si="9"/>
        <v>45700</v>
      </c>
      <c r="C269" s="81">
        <v>1510</v>
      </c>
      <c r="D269" s="81"/>
      <c r="E269" s="81">
        <v>1413.9829999999999</v>
      </c>
      <c r="F269" s="81">
        <v>1598</v>
      </c>
      <c r="G269" s="11">
        <f t="shared" si="10"/>
        <v>184.01700000000005</v>
      </c>
      <c r="H269" s="11">
        <f>IFERROR(IF(Yearending&gt;B268,'5. Historical demand'!F269-'5. Historical demand'!C269-'5. Historical demand'!D269,""),"")</f>
        <v>88</v>
      </c>
      <c r="I269" s="11">
        <f t="shared" si="11"/>
        <v>96.017000000000053</v>
      </c>
    </row>
    <row r="270" spans="2:9" x14ac:dyDescent="0.2">
      <c r="B270" s="192">
        <f t="shared" si="9"/>
        <v>45701</v>
      </c>
      <c r="C270" s="81">
        <v>1510</v>
      </c>
      <c r="D270" s="81"/>
      <c r="E270" s="81">
        <v>1406.2380000000001</v>
      </c>
      <c r="F270" s="81">
        <v>1598</v>
      </c>
      <c r="G270" s="11">
        <f t="shared" si="10"/>
        <v>191.76199999999994</v>
      </c>
      <c r="H270" s="11">
        <f>IFERROR(IF(Yearending&gt;B269,'5. Historical demand'!F270-'5. Historical demand'!C270-'5. Historical demand'!D270,""),"")</f>
        <v>88</v>
      </c>
      <c r="I270" s="11">
        <f t="shared" si="11"/>
        <v>103.76199999999994</v>
      </c>
    </row>
    <row r="271" spans="2:9" x14ac:dyDescent="0.2">
      <c r="B271" s="192">
        <f t="shared" si="9"/>
        <v>45702</v>
      </c>
      <c r="C271" s="81">
        <v>1510</v>
      </c>
      <c r="D271" s="81"/>
      <c r="E271" s="81">
        <v>1412.508</v>
      </c>
      <c r="F271" s="81">
        <v>1598</v>
      </c>
      <c r="G271" s="11">
        <f t="shared" si="10"/>
        <v>185.49199999999996</v>
      </c>
      <c r="H271" s="11">
        <f>IFERROR(IF(Yearending&gt;B270,'5. Historical demand'!F271-'5. Historical demand'!C271-'5. Historical demand'!D271,""),"")</f>
        <v>88</v>
      </c>
      <c r="I271" s="11">
        <f t="shared" si="11"/>
        <v>97.491999999999962</v>
      </c>
    </row>
    <row r="272" spans="2:9" x14ac:dyDescent="0.2">
      <c r="B272" s="192">
        <f t="shared" si="9"/>
        <v>45703</v>
      </c>
      <c r="C272" s="81">
        <v>1510</v>
      </c>
      <c r="D272" s="81"/>
      <c r="E272" s="81">
        <v>1420.93</v>
      </c>
      <c r="F272" s="81">
        <v>1598</v>
      </c>
      <c r="G272" s="11">
        <f t="shared" si="10"/>
        <v>177.06999999999994</v>
      </c>
      <c r="H272" s="11">
        <f>IFERROR(IF(Yearending&gt;B271,'5. Historical demand'!F272-'5. Historical demand'!C272-'5. Historical demand'!D272,""),"")</f>
        <v>88</v>
      </c>
      <c r="I272" s="11">
        <f t="shared" si="11"/>
        <v>89.069999999999936</v>
      </c>
    </row>
    <row r="273" spans="2:9" x14ac:dyDescent="0.2">
      <c r="B273" s="192">
        <f t="shared" si="9"/>
        <v>45704</v>
      </c>
      <c r="C273" s="81">
        <v>1510</v>
      </c>
      <c r="D273" s="81"/>
      <c r="E273" s="81">
        <v>1377.838</v>
      </c>
      <c r="F273" s="81">
        <v>1598</v>
      </c>
      <c r="G273" s="11">
        <f t="shared" si="10"/>
        <v>220.16200000000003</v>
      </c>
      <c r="H273" s="11">
        <f>IFERROR(IF(Yearending&gt;B272,'5. Historical demand'!F273-'5. Historical demand'!C273-'5. Historical demand'!D273,""),"")</f>
        <v>88</v>
      </c>
      <c r="I273" s="11">
        <f t="shared" si="11"/>
        <v>132.16200000000003</v>
      </c>
    </row>
    <row r="274" spans="2:9" x14ac:dyDescent="0.2">
      <c r="B274" s="192">
        <f t="shared" si="9"/>
        <v>45705</v>
      </c>
      <c r="C274" s="81">
        <v>1510</v>
      </c>
      <c r="D274" s="81"/>
      <c r="E274" s="81">
        <v>1459.9570000000001</v>
      </c>
      <c r="F274" s="81">
        <v>1598</v>
      </c>
      <c r="G274" s="11">
        <f t="shared" si="10"/>
        <v>138.04299999999989</v>
      </c>
      <c r="H274" s="11">
        <f>IFERROR(IF(Yearending&gt;B273,'5. Historical demand'!F274-'5. Historical demand'!C274-'5. Historical demand'!D274,""),"")</f>
        <v>88</v>
      </c>
      <c r="I274" s="11">
        <f t="shared" si="11"/>
        <v>50.042999999999893</v>
      </c>
    </row>
    <row r="275" spans="2:9" x14ac:dyDescent="0.2">
      <c r="B275" s="192">
        <f t="shared" si="9"/>
        <v>45706</v>
      </c>
      <c r="C275" s="81">
        <v>1510</v>
      </c>
      <c r="D275" s="81"/>
      <c r="E275" s="81">
        <v>1458.077</v>
      </c>
      <c r="F275" s="81">
        <v>1598</v>
      </c>
      <c r="G275" s="11">
        <f t="shared" si="10"/>
        <v>139.923</v>
      </c>
      <c r="H275" s="11">
        <f>IFERROR(IF(Yearending&gt;B274,'5. Historical demand'!F275-'5. Historical demand'!C275-'5. Historical demand'!D275,""),"")</f>
        <v>88</v>
      </c>
      <c r="I275" s="11">
        <f t="shared" si="11"/>
        <v>51.923000000000002</v>
      </c>
    </row>
    <row r="276" spans="2:9" x14ac:dyDescent="0.2">
      <c r="B276" s="192">
        <f t="shared" si="9"/>
        <v>45707</v>
      </c>
      <c r="C276" s="81">
        <v>1510</v>
      </c>
      <c r="D276" s="81"/>
      <c r="E276" s="81">
        <v>1469.0619999999999</v>
      </c>
      <c r="F276" s="81">
        <v>1598</v>
      </c>
      <c r="G276" s="11">
        <f t="shared" si="10"/>
        <v>128.9380000000001</v>
      </c>
      <c r="H276" s="11">
        <f>IFERROR(IF(Yearending&gt;B275,'5. Historical demand'!F276-'5. Historical demand'!C276-'5. Historical demand'!D276,""),"")</f>
        <v>88</v>
      </c>
      <c r="I276" s="11">
        <f t="shared" si="11"/>
        <v>40.938000000000102</v>
      </c>
    </row>
    <row r="277" spans="2:9" x14ac:dyDescent="0.2">
      <c r="B277" s="192">
        <f t="shared" si="9"/>
        <v>45708</v>
      </c>
      <c r="C277" s="81">
        <v>1510</v>
      </c>
      <c r="D277" s="81"/>
      <c r="E277" s="81">
        <v>1468.34</v>
      </c>
      <c r="F277" s="81">
        <v>1598</v>
      </c>
      <c r="G277" s="11">
        <f t="shared" si="10"/>
        <v>129.66000000000008</v>
      </c>
      <c r="H277" s="11">
        <f>IFERROR(IF(Yearending&gt;B276,'5. Historical demand'!F277-'5. Historical demand'!C277-'5. Historical demand'!D277,""),"")</f>
        <v>88</v>
      </c>
      <c r="I277" s="11">
        <f t="shared" si="11"/>
        <v>41.660000000000082</v>
      </c>
    </row>
    <row r="278" spans="2:9" x14ac:dyDescent="0.2">
      <c r="B278" s="192">
        <f t="shared" si="9"/>
        <v>45709</v>
      </c>
      <c r="C278" s="81">
        <v>1510</v>
      </c>
      <c r="D278" s="81"/>
      <c r="E278" s="81">
        <v>1298.3820000000001</v>
      </c>
      <c r="F278" s="81">
        <v>1598</v>
      </c>
      <c r="G278" s="11">
        <f t="shared" si="10"/>
        <v>299.61799999999994</v>
      </c>
      <c r="H278" s="11">
        <f>IFERROR(IF(Yearending&gt;B277,'5. Historical demand'!F278-'5. Historical demand'!C278-'5. Historical demand'!D278,""),"")</f>
        <v>88</v>
      </c>
      <c r="I278" s="11">
        <f t="shared" si="11"/>
        <v>211.61799999999994</v>
      </c>
    </row>
    <row r="279" spans="2:9" x14ac:dyDescent="0.2">
      <c r="B279" s="192">
        <f t="shared" si="9"/>
        <v>45710</v>
      </c>
      <c r="C279" s="81">
        <v>1510</v>
      </c>
      <c r="D279" s="81"/>
      <c r="E279" s="81">
        <v>1358.21</v>
      </c>
      <c r="F279" s="81">
        <v>1598</v>
      </c>
      <c r="G279" s="11">
        <f t="shared" si="10"/>
        <v>239.78999999999996</v>
      </c>
      <c r="H279" s="11">
        <f>IFERROR(IF(Yearending&gt;B278,'5. Historical demand'!F279-'5. Historical demand'!C279-'5. Historical demand'!D279,""),"")</f>
        <v>88</v>
      </c>
      <c r="I279" s="11">
        <f t="shared" si="11"/>
        <v>151.78999999999996</v>
      </c>
    </row>
    <row r="280" spans="2:9" x14ac:dyDescent="0.2">
      <c r="B280" s="192">
        <f t="shared" si="9"/>
        <v>45711</v>
      </c>
      <c r="C280" s="81">
        <v>1510</v>
      </c>
      <c r="D280" s="81"/>
      <c r="E280" s="81">
        <v>1390.2760000000001</v>
      </c>
      <c r="F280" s="81">
        <v>1598</v>
      </c>
      <c r="G280" s="11">
        <f t="shared" si="10"/>
        <v>207.72399999999993</v>
      </c>
      <c r="H280" s="11">
        <f>IFERROR(IF(Yearending&gt;B279,'5. Historical demand'!F280-'5. Historical demand'!C280-'5. Historical demand'!D280,""),"")</f>
        <v>88</v>
      </c>
      <c r="I280" s="11">
        <f t="shared" si="11"/>
        <v>119.72399999999993</v>
      </c>
    </row>
    <row r="281" spans="2:9" x14ac:dyDescent="0.2">
      <c r="B281" s="192">
        <f t="shared" si="9"/>
        <v>45712</v>
      </c>
      <c r="C281" s="81">
        <v>1510</v>
      </c>
      <c r="D281" s="81"/>
      <c r="E281" s="81">
        <v>1125.8219999999999</v>
      </c>
      <c r="F281" s="81">
        <v>1598</v>
      </c>
      <c r="G281" s="11">
        <f t="shared" si="10"/>
        <v>472.17800000000011</v>
      </c>
      <c r="H281" s="11">
        <f>IFERROR(IF(Yearending&gt;B280,'5. Historical demand'!F281-'5. Historical demand'!C281-'5. Historical demand'!D281,""),"")</f>
        <v>88</v>
      </c>
      <c r="I281" s="11">
        <f t="shared" si="11"/>
        <v>384.17800000000011</v>
      </c>
    </row>
    <row r="282" spans="2:9" x14ac:dyDescent="0.2">
      <c r="B282" s="192">
        <f t="shared" si="9"/>
        <v>45713</v>
      </c>
      <c r="C282" s="81">
        <v>1510</v>
      </c>
      <c r="D282" s="81"/>
      <c r="E282" s="81">
        <v>773.51300000000003</v>
      </c>
      <c r="F282" s="81">
        <v>1598</v>
      </c>
      <c r="G282" s="11">
        <f t="shared" si="10"/>
        <v>824.48699999999997</v>
      </c>
      <c r="H282" s="11">
        <f>IFERROR(IF(Yearending&gt;B281,'5. Historical demand'!F282-'5. Historical demand'!C282-'5. Historical demand'!D282,""),"")</f>
        <v>88</v>
      </c>
      <c r="I282" s="11">
        <f t="shared" si="11"/>
        <v>736.48699999999997</v>
      </c>
    </row>
    <row r="283" spans="2:9" x14ac:dyDescent="0.2">
      <c r="B283" s="192">
        <f t="shared" si="9"/>
        <v>45714</v>
      </c>
      <c r="C283" s="81">
        <v>1510</v>
      </c>
      <c r="D283" s="81"/>
      <c r="E283" s="81">
        <v>769.82899999999995</v>
      </c>
      <c r="F283" s="81">
        <v>1598</v>
      </c>
      <c r="G283" s="11">
        <f t="shared" si="10"/>
        <v>828.17100000000005</v>
      </c>
      <c r="H283" s="11">
        <f>IFERROR(IF(Yearending&gt;B282,'5. Historical demand'!F283-'5. Historical demand'!C283-'5. Historical demand'!D283,""),"")</f>
        <v>88</v>
      </c>
      <c r="I283" s="11">
        <f t="shared" si="11"/>
        <v>740.17100000000005</v>
      </c>
    </row>
    <row r="284" spans="2:9" x14ac:dyDescent="0.2">
      <c r="B284" s="192">
        <f t="shared" si="9"/>
        <v>45715</v>
      </c>
      <c r="C284" s="81">
        <v>1510</v>
      </c>
      <c r="D284" s="81"/>
      <c r="E284" s="81">
        <v>957.28099999999995</v>
      </c>
      <c r="F284" s="81">
        <v>1598</v>
      </c>
      <c r="G284" s="11">
        <f t="shared" si="10"/>
        <v>640.71900000000005</v>
      </c>
      <c r="H284" s="11">
        <f>IFERROR(IF(Yearending&gt;B283,'5. Historical demand'!F284-'5. Historical demand'!C284-'5. Historical demand'!D284,""),"")</f>
        <v>88</v>
      </c>
      <c r="I284" s="11">
        <f t="shared" si="11"/>
        <v>552.71900000000005</v>
      </c>
    </row>
    <row r="285" spans="2:9" x14ac:dyDescent="0.2">
      <c r="B285" s="192">
        <f t="shared" si="9"/>
        <v>45716</v>
      </c>
      <c r="C285" s="81">
        <v>1510</v>
      </c>
      <c r="D285" s="81"/>
      <c r="E285" s="81">
        <v>962.82799999999997</v>
      </c>
      <c r="F285" s="81">
        <v>1598</v>
      </c>
      <c r="G285" s="11">
        <f t="shared" si="10"/>
        <v>635.17200000000003</v>
      </c>
      <c r="H285" s="11">
        <f>IFERROR(IF(Yearending&gt;B284,'5. Historical demand'!F285-'5. Historical demand'!C285-'5. Historical demand'!D285,""),"")</f>
        <v>88</v>
      </c>
      <c r="I285" s="11">
        <f t="shared" si="11"/>
        <v>547.17200000000003</v>
      </c>
    </row>
    <row r="286" spans="2:9" x14ac:dyDescent="0.2">
      <c r="B286" s="192">
        <f t="shared" si="9"/>
        <v>45717</v>
      </c>
      <c r="C286" s="81">
        <v>1510</v>
      </c>
      <c r="D286" s="81"/>
      <c r="E286" s="81">
        <v>941.28800000000001</v>
      </c>
      <c r="F286" s="81">
        <v>1598</v>
      </c>
      <c r="G286" s="11">
        <f t="shared" si="10"/>
        <v>656.71199999999999</v>
      </c>
      <c r="H286" s="11">
        <f>IFERROR(IF(Yearending&gt;B285,'5. Historical demand'!F286-'5. Historical demand'!C286-'5. Historical demand'!D286,""),"")</f>
        <v>88</v>
      </c>
      <c r="I286" s="11">
        <f t="shared" si="11"/>
        <v>568.71199999999999</v>
      </c>
    </row>
    <row r="287" spans="2:9" x14ac:dyDescent="0.2">
      <c r="B287" s="192">
        <f t="shared" si="9"/>
        <v>45718</v>
      </c>
      <c r="C287" s="81">
        <v>1510</v>
      </c>
      <c r="D287" s="81"/>
      <c r="E287" s="81">
        <v>1177.3699999999999</v>
      </c>
      <c r="F287" s="81">
        <v>1598</v>
      </c>
      <c r="G287" s="11">
        <f t="shared" si="10"/>
        <v>420.63000000000011</v>
      </c>
      <c r="H287" s="11">
        <f>IFERROR(IF(Yearending&gt;B286,'5. Historical demand'!F287-'5. Historical demand'!C287-'5. Historical demand'!D287,""),"")</f>
        <v>88</v>
      </c>
      <c r="I287" s="11">
        <f t="shared" si="11"/>
        <v>332.63000000000011</v>
      </c>
    </row>
    <row r="288" spans="2:9" x14ac:dyDescent="0.2">
      <c r="B288" s="192">
        <f t="shared" si="9"/>
        <v>45719</v>
      </c>
      <c r="C288" s="81">
        <v>1510</v>
      </c>
      <c r="D288" s="81"/>
      <c r="E288" s="81">
        <v>1400.883</v>
      </c>
      <c r="F288" s="81">
        <v>1598</v>
      </c>
      <c r="G288" s="11">
        <f t="shared" si="10"/>
        <v>197.11699999999996</v>
      </c>
      <c r="H288" s="11">
        <f>IFERROR(IF(Yearending&gt;B287,'5. Historical demand'!F288-'5. Historical demand'!C288-'5. Historical demand'!D288,""),"")</f>
        <v>88</v>
      </c>
      <c r="I288" s="11">
        <f t="shared" si="11"/>
        <v>109.11699999999996</v>
      </c>
    </row>
    <row r="289" spans="2:9" x14ac:dyDescent="0.2">
      <c r="B289" s="192">
        <f t="shared" si="9"/>
        <v>45720</v>
      </c>
      <c r="C289" s="81">
        <v>1510</v>
      </c>
      <c r="D289" s="81"/>
      <c r="E289" s="81">
        <v>1453.386</v>
      </c>
      <c r="F289" s="81">
        <v>1598</v>
      </c>
      <c r="G289" s="11">
        <f t="shared" si="10"/>
        <v>144.61400000000003</v>
      </c>
      <c r="H289" s="11">
        <f>IFERROR(IF(Yearending&gt;B288,'5. Historical demand'!F289-'5. Historical demand'!C289-'5. Historical demand'!D289,""),"")</f>
        <v>88</v>
      </c>
      <c r="I289" s="11">
        <f t="shared" si="11"/>
        <v>56.614000000000033</v>
      </c>
    </row>
    <row r="290" spans="2:9" x14ac:dyDescent="0.2">
      <c r="B290" s="192">
        <f t="shared" si="9"/>
        <v>45721</v>
      </c>
      <c r="C290" s="81">
        <v>1510</v>
      </c>
      <c r="D290" s="81"/>
      <c r="E290" s="81">
        <v>1410.393</v>
      </c>
      <c r="F290" s="81">
        <v>1598</v>
      </c>
      <c r="G290" s="11">
        <f t="shared" si="10"/>
        <v>187.60699999999997</v>
      </c>
      <c r="H290" s="11">
        <f>IFERROR(IF(Yearending&gt;B289,'5. Historical demand'!F290-'5. Historical demand'!C290-'5. Historical demand'!D290,""),"")</f>
        <v>88</v>
      </c>
      <c r="I290" s="11">
        <f t="shared" si="11"/>
        <v>99.606999999999971</v>
      </c>
    </row>
    <row r="291" spans="2:9" x14ac:dyDescent="0.2">
      <c r="B291" s="192">
        <f t="shared" si="9"/>
        <v>45722</v>
      </c>
      <c r="C291" s="81">
        <v>1510</v>
      </c>
      <c r="D291" s="81"/>
      <c r="E291" s="81">
        <v>1367.877</v>
      </c>
      <c r="F291" s="81">
        <v>1598</v>
      </c>
      <c r="G291" s="11">
        <f t="shared" si="10"/>
        <v>230.12300000000005</v>
      </c>
      <c r="H291" s="11">
        <f>IFERROR(IF(Yearending&gt;B290,'5. Historical demand'!F291-'5. Historical demand'!C291-'5. Historical demand'!D291,""),"")</f>
        <v>88</v>
      </c>
      <c r="I291" s="11">
        <f t="shared" si="11"/>
        <v>142.12300000000005</v>
      </c>
    </row>
    <row r="292" spans="2:9" x14ac:dyDescent="0.2">
      <c r="B292" s="192">
        <f t="shared" si="9"/>
        <v>45723</v>
      </c>
      <c r="C292" s="81">
        <v>1510</v>
      </c>
      <c r="D292" s="81"/>
      <c r="E292" s="81">
        <v>1320.0309999999999</v>
      </c>
      <c r="F292" s="81">
        <v>1598</v>
      </c>
      <c r="G292" s="11">
        <f t="shared" si="10"/>
        <v>277.96900000000005</v>
      </c>
      <c r="H292" s="11">
        <f>IFERROR(IF(Yearending&gt;B291,'5. Historical demand'!F292-'5. Historical demand'!C292-'5. Historical demand'!D292,""),"")</f>
        <v>88</v>
      </c>
      <c r="I292" s="11">
        <f t="shared" si="11"/>
        <v>189.96900000000005</v>
      </c>
    </row>
    <row r="293" spans="2:9" x14ac:dyDescent="0.2">
      <c r="B293" s="192">
        <f t="shared" si="9"/>
        <v>45724</v>
      </c>
      <c r="C293" s="81">
        <v>1510</v>
      </c>
      <c r="D293" s="81"/>
      <c r="E293" s="81">
        <v>1266.2059999999999</v>
      </c>
      <c r="F293" s="81">
        <v>1598</v>
      </c>
      <c r="G293" s="11">
        <f t="shared" si="10"/>
        <v>331.7940000000001</v>
      </c>
      <c r="H293" s="11">
        <f>IFERROR(IF(Yearending&gt;B292,'5. Historical demand'!F293-'5. Historical demand'!C293-'5. Historical demand'!D293,""),"")</f>
        <v>88</v>
      </c>
      <c r="I293" s="11">
        <f t="shared" si="11"/>
        <v>243.7940000000001</v>
      </c>
    </row>
    <row r="294" spans="2:9" x14ac:dyDescent="0.2">
      <c r="B294" s="192">
        <f t="shared" si="9"/>
        <v>45725</v>
      </c>
      <c r="C294" s="81">
        <v>1510</v>
      </c>
      <c r="D294" s="81"/>
      <c r="E294" s="81">
        <v>1396.14</v>
      </c>
      <c r="F294" s="81">
        <v>1598</v>
      </c>
      <c r="G294" s="11">
        <f t="shared" si="10"/>
        <v>201.8599999999999</v>
      </c>
      <c r="H294" s="11">
        <f>IFERROR(IF(Yearending&gt;B293,'5. Historical demand'!F294-'5. Historical demand'!C294-'5. Historical demand'!D294,""),"")</f>
        <v>88</v>
      </c>
      <c r="I294" s="11">
        <f t="shared" si="11"/>
        <v>113.8599999999999</v>
      </c>
    </row>
    <row r="295" spans="2:9" x14ac:dyDescent="0.2">
      <c r="B295" s="192">
        <f t="shared" si="9"/>
        <v>45726</v>
      </c>
      <c r="C295" s="81">
        <v>1510</v>
      </c>
      <c r="D295" s="81"/>
      <c r="E295" s="81">
        <v>1470.7070000000001</v>
      </c>
      <c r="F295" s="81">
        <v>1598</v>
      </c>
      <c r="G295" s="11">
        <f t="shared" si="10"/>
        <v>127.29299999999989</v>
      </c>
      <c r="H295" s="11">
        <f>IFERROR(IF(Yearending&gt;B294,'5. Historical demand'!F295-'5. Historical demand'!C295-'5. Historical demand'!D295,""),"")</f>
        <v>88</v>
      </c>
      <c r="I295" s="11">
        <f t="shared" si="11"/>
        <v>39.292999999999893</v>
      </c>
    </row>
    <row r="296" spans="2:9" x14ac:dyDescent="0.2">
      <c r="B296" s="192">
        <f t="shared" si="9"/>
        <v>45727</v>
      </c>
      <c r="C296" s="81">
        <v>1510</v>
      </c>
      <c r="D296" s="81"/>
      <c r="E296" s="81">
        <v>1488.5989999999999</v>
      </c>
      <c r="F296" s="81">
        <v>1598</v>
      </c>
      <c r="G296" s="11">
        <f t="shared" si="10"/>
        <v>109.40100000000007</v>
      </c>
      <c r="H296" s="11">
        <f>IFERROR(IF(Yearending&gt;B295,'5. Historical demand'!F296-'5. Historical demand'!C296-'5. Historical demand'!D296,""),"")</f>
        <v>88</v>
      </c>
      <c r="I296" s="11">
        <f t="shared" si="11"/>
        <v>21.401000000000067</v>
      </c>
    </row>
    <row r="297" spans="2:9" x14ac:dyDescent="0.2">
      <c r="B297" s="192">
        <f t="shared" si="9"/>
        <v>45728</v>
      </c>
      <c r="C297" s="81">
        <v>1510</v>
      </c>
      <c r="D297" s="81"/>
      <c r="E297" s="81">
        <v>1473.309</v>
      </c>
      <c r="F297" s="81">
        <v>1598</v>
      </c>
      <c r="G297" s="11">
        <f t="shared" si="10"/>
        <v>124.69100000000003</v>
      </c>
      <c r="H297" s="11">
        <f>IFERROR(IF(Yearending&gt;B296,'5. Historical demand'!F297-'5. Historical demand'!C297-'5. Historical demand'!D297,""),"")</f>
        <v>88</v>
      </c>
      <c r="I297" s="11">
        <f t="shared" si="11"/>
        <v>36.691000000000031</v>
      </c>
    </row>
    <row r="298" spans="2:9" x14ac:dyDescent="0.2">
      <c r="B298" s="192">
        <f t="shared" si="9"/>
        <v>45729</v>
      </c>
      <c r="C298" s="81">
        <v>1510</v>
      </c>
      <c r="D298" s="81"/>
      <c r="E298" s="81">
        <v>1461.298</v>
      </c>
      <c r="F298" s="81">
        <v>1598</v>
      </c>
      <c r="G298" s="11">
        <f t="shared" si="10"/>
        <v>136.702</v>
      </c>
      <c r="H298" s="11">
        <f>IFERROR(IF(Yearending&gt;B297,'5. Historical demand'!F298-'5. Historical demand'!C298-'5. Historical demand'!D298,""),"")</f>
        <v>88</v>
      </c>
      <c r="I298" s="11">
        <f t="shared" si="11"/>
        <v>48.701999999999998</v>
      </c>
    </row>
    <row r="299" spans="2:9" x14ac:dyDescent="0.2">
      <c r="B299" s="192">
        <f t="shared" si="9"/>
        <v>45730</v>
      </c>
      <c r="C299" s="81">
        <v>1510</v>
      </c>
      <c r="D299" s="81"/>
      <c r="E299" s="81">
        <v>1367.203</v>
      </c>
      <c r="F299" s="81">
        <v>1598</v>
      </c>
      <c r="G299" s="11">
        <f t="shared" si="10"/>
        <v>230.79700000000003</v>
      </c>
      <c r="H299" s="11">
        <f>IFERROR(IF(Yearending&gt;B298,'5. Historical demand'!F299-'5. Historical demand'!C299-'5. Historical demand'!D299,""),"")</f>
        <v>88</v>
      </c>
      <c r="I299" s="11">
        <f t="shared" si="11"/>
        <v>142.79700000000003</v>
      </c>
    </row>
    <row r="300" spans="2:9" x14ac:dyDescent="0.2">
      <c r="B300" s="192">
        <f t="shared" ref="B300:B363" si="12">IFERROR(IF(Yearending&gt;B299, B299+1, ""),"")</f>
        <v>45731</v>
      </c>
      <c r="C300" s="81">
        <v>1510</v>
      </c>
      <c r="D300" s="81"/>
      <c r="E300" s="81">
        <v>1496.1949999999999</v>
      </c>
      <c r="F300" s="81">
        <v>1598</v>
      </c>
      <c r="G300" s="11">
        <f t="shared" ref="G300:G363" si="13">IFERROR(IF(Yearending&gt;B299,F300-E300,""),"")</f>
        <v>101.80500000000006</v>
      </c>
      <c r="H300" s="11">
        <f>IFERROR(IF(Yearending&gt;B299,'5. Historical demand'!F300-'5. Historical demand'!C300-'5. Historical demand'!D300,""),"")</f>
        <v>88</v>
      </c>
      <c r="I300" s="11">
        <f t="shared" ref="I300:I363" si="14">IFERROR(IF(Yearending&gt;B299,C300+D300-E300,""),"")</f>
        <v>13.805000000000064</v>
      </c>
    </row>
    <row r="301" spans="2:9" x14ac:dyDescent="0.2">
      <c r="B301" s="192">
        <f t="shared" si="12"/>
        <v>45732</v>
      </c>
      <c r="C301" s="81">
        <v>1510</v>
      </c>
      <c r="D301" s="81"/>
      <c r="E301" s="81">
        <v>1466.116</v>
      </c>
      <c r="F301" s="81">
        <v>1598</v>
      </c>
      <c r="G301" s="11">
        <f t="shared" si="13"/>
        <v>131.88400000000001</v>
      </c>
      <c r="H301" s="11">
        <f>IFERROR(IF(Yearending&gt;B300,'5. Historical demand'!F301-'5. Historical demand'!C301-'5. Historical demand'!D301,""),"")</f>
        <v>88</v>
      </c>
      <c r="I301" s="11">
        <f t="shared" si="14"/>
        <v>43.884000000000015</v>
      </c>
    </row>
    <row r="302" spans="2:9" x14ac:dyDescent="0.2">
      <c r="B302" s="192">
        <f t="shared" si="12"/>
        <v>45733</v>
      </c>
      <c r="C302" s="81">
        <v>1510</v>
      </c>
      <c r="D302" s="81"/>
      <c r="E302" s="81">
        <v>1441.11</v>
      </c>
      <c r="F302" s="81">
        <v>1598</v>
      </c>
      <c r="G302" s="11">
        <f t="shared" si="13"/>
        <v>156.8900000000001</v>
      </c>
      <c r="H302" s="11">
        <f>IFERROR(IF(Yearending&gt;B301,'5. Historical demand'!F302-'5. Historical demand'!C302-'5. Historical demand'!D302,""),"")</f>
        <v>88</v>
      </c>
      <c r="I302" s="11">
        <f t="shared" si="14"/>
        <v>68.8900000000001</v>
      </c>
    </row>
    <row r="303" spans="2:9" x14ac:dyDescent="0.2">
      <c r="B303" s="192">
        <f t="shared" si="12"/>
        <v>45734</v>
      </c>
      <c r="C303" s="81">
        <v>1510</v>
      </c>
      <c r="D303" s="81"/>
      <c r="E303" s="81">
        <v>1472.0129999999999</v>
      </c>
      <c r="F303" s="81">
        <v>1598</v>
      </c>
      <c r="G303" s="11">
        <f t="shared" si="13"/>
        <v>125.98700000000008</v>
      </c>
      <c r="H303" s="11">
        <f>IFERROR(IF(Yearending&gt;B302,'5. Historical demand'!F303-'5. Historical demand'!C303-'5. Historical demand'!D303,""),"")</f>
        <v>88</v>
      </c>
      <c r="I303" s="11">
        <f t="shared" si="14"/>
        <v>37.98700000000008</v>
      </c>
    </row>
    <row r="304" spans="2:9" x14ac:dyDescent="0.2">
      <c r="B304" s="192">
        <f t="shared" si="12"/>
        <v>45735</v>
      </c>
      <c r="C304" s="81">
        <v>1510</v>
      </c>
      <c r="D304" s="81"/>
      <c r="E304" s="81">
        <v>1484.22</v>
      </c>
      <c r="F304" s="81">
        <v>1598</v>
      </c>
      <c r="G304" s="11">
        <f t="shared" si="13"/>
        <v>113.77999999999997</v>
      </c>
      <c r="H304" s="11">
        <f>IFERROR(IF(Yearending&gt;B303,'5. Historical demand'!F304-'5. Historical demand'!C304-'5. Historical demand'!D304,""),"")</f>
        <v>88</v>
      </c>
      <c r="I304" s="11">
        <f t="shared" si="14"/>
        <v>25.779999999999973</v>
      </c>
    </row>
    <row r="305" spans="2:9" x14ac:dyDescent="0.2">
      <c r="B305" s="192">
        <f t="shared" si="12"/>
        <v>45736</v>
      </c>
      <c r="C305" s="81">
        <v>1510</v>
      </c>
      <c r="D305" s="81"/>
      <c r="E305" s="81">
        <v>1472.8989999999999</v>
      </c>
      <c r="F305" s="81">
        <v>1598</v>
      </c>
      <c r="G305" s="11">
        <f t="shared" si="13"/>
        <v>125.10100000000011</v>
      </c>
      <c r="H305" s="11">
        <f>IFERROR(IF(Yearending&gt;B304,'5. Historical demand'!F305-'5. Historical demand'!C305-'5. Historical demand'!D305,""),"")</f>
        <v>88</v>
      </c>
      <c r="I305" s="11">
        <f t="shared" si="14"/>
        <v>37.101000000000113</v>
      </c>
    </row>
    <row r="306" spans="2:9" x14ac:dyDescent="0.2">
      <c r="B306" s="192">
        <f t="shared" si="12"/>
        <v>45737</v>
      </c>
      <c r="C306" s="81">
        <v>1510</v>
      </c>
      <c r="D306" s="81"/>
      <c r="E306" s="81">
        <v>1462.058</v>
      </c>
      <c r="F306" s="81">
        <v>1598</v>
      </c>
      <c r="G306" s="11">
        <f t="shared" si="13"/>
        <v>135.94200000000001</v>
      </c>
      <c r="H306" s="11">
        <f>IFERROR(IF(Yearending&gt;B305,'5. Historical demand'!F306-'5. Historical demand'!C306-'5. Historical demand'!D306,""),"")</f>
        <v>88</v>
      </c>
      <c r="I306" s="11">
        <f t="shared" si="14"/>
        <v>47.942000000000007</v>
      </c>
    </row>
    <row r="307" spans="2:9" x14ac:dyDescent="0.2">
      <c r="B307" s="192">
        <f t="shared" si="12"/>
        <v>45738</v>
      </c>
      <c r="C307" s="81">
        <v>1510</v>
      </c>
      <c r="D307" s="81"/>
      <c r="E307" s="81">
        <v>1437.0340000000001</v>
      </c>
      <c r="F307" s="81">
        <v>1598</v>
      </c>
      <c r="G307" s="11">
        <f t="shared" si="13"/>
        <v>160.96599999999989</v>
      </c>
      <c r="H307" s="11">
        <f>IFERROR(IF(Yearending&gt;B306,'5. Historical demand'!F307-'5. Historical demand'!C307-'5. Historical demand'!D307,""),"")</f>
        <v>88</v>
      </c>
      <c r="I307" s="11">
        <f t="shared" si="14"/>
        <v>72.965999999999894</v>
      </c>
    </row>
    <row r="308" spans="2:9" x14ac:dyDescent="0.2">
      <c r="B308" s="192">
        <f t="shared" si="12"/>
        <v>45739</v>
      </c>
      <c r="C308" s="81">
        <v>1510</v>
      </c>
      <c r="D308" s="81"/>
      <c r="E308" s="81">
        <v>1441.0260000000001</v>
      </c>
      <c r="F308" s="81">
        <v>1598</v>
      </c>
      <c r="G308" s="11">
        <f t="shared" si="13"/>
        <v>156.97399999999993</v>
      </c>
      <c r="H308" s="11">
        <f>IFERROR(IF(Yearending&gt;B307,'5. Historical demand'!F308-'5. Historical demand'!C308-'5. Historical demand'!D308,""),"")</f>
        <v>88</v>
      </c>
      <c r="I308" s="11">
        <f t="shared" si="14"/>
        <v>68.973999999999933</v>
      </c>
    </row>
    <row r="309" spans="2:9" x14ac:dyDescent="0.2">
      <c r="B309" s="192">
        <f t="shared" si="12"/>
        <v>45740</v>
      </c>
      <c r="C309" s="81">
        <v>1510</v>
      </c>
      <c r="D309" s="81"/>
      <c r="E309" s="81">
        <v>1478.492</v>
      </c>
      <c r="F309" s="81">
        <v>1598</v>
      </c>
      <c r="G309" s="11">
        <f t="shared" si="13"/>
        <v>119.50800000000004</v>
      </c>
      <c r="H309" s="11">
        <f>IFERROR(IF(Yearending&gt;B308,'5. Historical demand'!F309-'5. Historical demand'!C309-'5. Historical demand'!D309,""),"")</f>
        <v>88</v>
      </c>
      <c r="I309" s="11">
        <f t="shared" si="14"/>
        <v>31.508000000000038</v>
      </c>
    </row>
    <row r="310" spans="2:9" x14ac:dyDescent="0.2">
      <c r="B310" s="192">
        <f t="shared" si="12"/>
        <v>45741</v>
      </c>
      <c r="C310" s="81">
        <v>1510</v>
      </c>
      <c r="D310" s="81"/>
      <c r="E310" s="81">
        <v>1474.193</v>
      </c>
      <c r="F310" s="81">
        <v>1598</v>
      </c>
      <c r="G310" s="11">
        <f t="shared" si="13"/>
        <v>123.80700000000002</v>
      </c>
      <c r="H310" s="11">
        <f>IFERROR(IF(Yearending&gt;B309,'5. Historical demand'!F310-'5. Historical demand'!C310-'5. Historical demand'!D310,""),"")</f>
        <v>88</v>
      </c>
      <c r="I310" s="11">
        <f t="shared" si="14"/>
        <v>35.807000000000016</v>
      </c>
    </row>
    <row r="311" spans="2:9" x14ac:dyDescent="0.2">
      <c r="B311" s="192">
        <f t="shared" si="12"/>
        <v>45742</v>
      </c>
      <c r="C311" s="81">
        <v>1510</v>
      </c>
      <c r="D311" s="81"/>
      <c r="E311" s="81">
        <v>1464.5840000000001</v>
      </c>
      <c r="F311" s="81">
        <v>1598</v>
      </c>
      <c r="G311" s="11">
        <f t="shared" si="13"/>
        <v>133.41599999999994</v>
      </c>
      <c r="H311" s="11">
        <f>IFERROR(IF(Yearending&gt;B310,'5. Historical demand'!F311-'5. Historical demand'!C311-'5. Historical demand'!D311,""),"")</f>
        <v>88</v>
      </c>
      <c r="I311" s="11">
        <f t="shared" si="14"/>
        <v>45.41599999999994</v>
      </c>
    </row>
    <row r="312" spans="2:9" x14ac:dyDescent="0.2">
      <c r="B312" s="192">
        <f t="shared" si="12"/>
        <v>45743</v>
      </c>
      <c r="C312" s="81">
        <v>1510</v>
      </c>
      <c r="D312" s="81"/>
      <c r="E312" s="81">
        <v>1462.3910000000001</v>
      </c>
      <c r="F312" s="81">
        <v>1598</v>
      </c>
      <c r="G312" s="11">
        <f t="shared" si="13"/>
        <v>135.60899999999992</v>
      </c>
      <c r="H312" s="11">
        <f>IFERROR(IF(Yearending&gt;B311,'5. Historical demand'!F312-'5. Historical demand'!C312-'5. Historical demand'!D312,""),"")</f>
        <v>88</v>
      </c>
      <c r="I312" s="11">
        <f t="shared" si="14"/>
        <v>47.608999999999924</v>
      </c>
    </row>
    <row r="313" spans="2:9" x14ac:dyDescent="0.2">
      <c r="B313" s="192">
        <f t="shared" si="12"/>
        <v>45744</v>
      </c>
      <c r="C313" s="81">
        <v>1510</v>
      </c>
      <c r="D313" s="81"/>
      <c r="E313" s="81">
        <v>1466.9659999999999</v>
      </c>
      <c r="F313" s="81">
        <v>1598</v>
      </c>
      <c r="G313" s="11">
        <f t="shared" si="13"/>
        <v>131.03400000000011</v>
      </c>
      <c r="H313" s="11">
        <f>IFERROR(IF(Yearending&gt;B312,'5. Historical demand'!F313-'5. Historical demand'!C313-'5. Historical demand'!D313,""),"")</f>
        <v>88</v>
      </c>
      <c r="I313" s="11">
        <f t="shared" si="14"/>
        <v>43.034000000000106</v>
      </c>
    </row>
    <row r="314" spans="2:9" x14ac:dyDescent="0.2">
      <c r="B314" s="192">
        <f t="shared" si="12"/>
        <v>45745</v>
      </c>
      <c r="C314" s="81">
        <v>1510</v>
      </c>
      <c r="D314" s="81"/>
      <c r="E314" s="81">
        <v>1440.5139999999999</v>
      </c>
      <c r="F314" s="81">
        <v>1598</v>
      </c>
      <c r="G314" s="11">
        <f t="shared" si="13"/>
        <v>157.4860000000001</v>
      </c>
      <c r="H314" s="11">
        <f>IFERROR(IF(Yearending&gt;B313,'5. Historical demand'!F314-'5. Historical demand'!C314-'5. Historical demand'!D314,""),"")</f>
        <v>88</v>
      </c>
      <c r="I314" s="11">
        <f t="shared" si="14"/>
        <v>69.486000000000104</v>
      </c>
    </row>
    <row r="315" spans="2:9" x14ac:dyDescent="0.2">
      <c r="B315" s="192">
        <f t="shared" si="12"/>
        <v>45746</v>
      </c>
      <c r="C315" s="81">
        <v>1510</v>
      </c>
      <c r="D315" s="81"/>
      <c r="E315" s="81">
        <v>1403.2860000000001</v>
      </c>
      <c r="F315" s="81">
        <v>1598</v>
      </c>
      <c r="G315" s="11">
        <f t="shared" si="13"/>
        <v>194.71399999999994</v>
      </c>
      <c r="H315" s="11">
        <f>IFERROR(IF(Yearending&gt;B314,'5. Historical demand'!F315-'5. Historical demand'!C315-'5. Historical demand'!D315,""),"")</f>
        <v>88</v>
      </c>
      <c r="I315" s="11">
        <f t="shared" si="14"/>
        <v>106.71399999999994</v>
      </c>
    </row>
    <row r="316" spans="2:9" x14ac:dyDescent="0.2">
      <c r="B316" s="192">
        <f t="shared" si="12"/>
        <v>45747</v>
      </c>
      <c r="C316" s="81">
        <v>1510</v>
      </c>
      <c r="D316" s="81"/>
      <c r="E316" s="81">
        <v>1464.319</v>
      </c>
      <c r="F316" s="81">
        <v>1598</v>
      </c>
      <c r="G316" s="11">
        <f t="shared" si="13"/>
        <v>133.68100000000004</v>
      </c>
      <c r="H316" s="11">
        <f>IFERROR(IF(Yearending&gt;B315,'5. Historical demand'!F316-'5. Historical demand'!C316-'5. Historical demand'!D316,""),"")</f>
        <v>88</v>
      </c>
      <c r="I316" s="11">
        <f t="shared" si="14"/>
        <v>45.68100000000004</v>
      </c>
    </row>
    <row r="317" spans="2:9" x14ac:dyDescent="0.2">
      <c r="B317" s="192">
        <f t="shared" si="12"/>
        <v>45748</v>
      </c>
      <c r="C317" s="81">
        <v>1510</v>
      </c>
      <c r="D317" s="81"/>
      <c r="E317" s="81">
        <v>1456.0409999999999</v>
      </c>
      <c r="F317" s="81">
        <v>1598</v>
      </c>
      <c r="G317" s="11">
        <f t="shared" si="13"/>
        <v>141.95900000000006</v>
      </c>
      <c r="H317" s="11">
        <f>IFERROR(IF(Yearending&gt;B316,'5. Historical demand'!F317-'5. Historical demand'!C317-'5. Historical demand'!D317,""),"")</f>
        <v>88</v>
      </c>
      <c r="I317" s="11">
        <f t="shared" si="14"/>
        <v>53.95900000000006</v>
      </c>
    </row>
    <row r="318" spans="2:9" x14ac:dyDescent="0.2">
      <c r="B318" s="192">
        <f t="shared" si="12"/>
        <v>45749</v>
      </c>
      <c r="C318" s="81">
        <v>1510</v>
      </c>
      <c r="D318" s="81"/>
      <c r="E318" s="81">
        <v>1388.769</v>
      </c>
      <c r="F318" s="81">
        <v>1598</v>
      </c>
      <c r="G318" s="11">
        <f t="shared" si="13"/>
        <v>209.23099999999999</v>
      </c>
      <c r="H318" s="11">
        <f>IFERROR(IF(Yearending&gt;B317,'5. Historical demand'!F318-'5. Historical demand'!C318-'5. Historical demand'!D318,""),"")</f>
        <v>88</v>
      </c>
      <c r="I318" s="11">
        <f t="shared" si="14"/>
        <v>121.23099999999999</v>
      </c>
    </row>
    <row r="319" spans="2:9" x14ac:dyDescent="0.2">
      <c r="B319" s="192">
        <f t="shared" si="12"/>
        <v>45750</v>
      </c>
      <c r="C319" s="81">
        <v>1510</v>
      </c>
      <c r="D319" s="81"/>
      <c r="E319" s="81">
        <v>1409.107</v>
      </c>
      <c r="F319" s="81">
        <v>1598</v>
      </c>
      <c r="G319" s="11">
        <f t="shared" si="13"/>
        <v>188.89300000000003</v>
      </c>
      <c r="H319" s="11">
        <f>IFERROR(IF(Yearending&gt;B318,'5. Historical demand'!F319-'5. Historical demand'!C319-'5. Historical demand'!D319,""),"")</f>
        <v>88</v>
      </c>
      <c r="I319" s="11">
        <f t="shared" si="14"/>
        <v>100.89300000000003</v>
      </c>
    </row>
    <row r="320" spans="2:9" x14ac:dyDescent="0.2">
      <c r="B320" s="192">
        <f t="shared" si="12"/>
        <v>45751</v>
      </c>
      <c r="C320" s="81">
        <v>1510</v>
      </c>
      <c r="D320" s="81"/>
      <c r="E320" s="81">
        <v>1432.203</v>
      </c>
      <c r="F320" s="81">
        <v>1598</v>
      </c>
      <c r="G320" s="11">
        <f t="shared" si="13"/>
        <v>165.79700000000003</v>
      </c>
      <c r="H320" s="11">
        <f>IFERROR(IF(Yearending&gt;B319,'5. Historical demand'!F320-'5. Historical demand'!C320-'5. Historical demand'!D320,""),"")</f>
        <v>88</v>
      </c>
      <c r="I320" s="11">
        <f t="shared" si="14"/>
        <v>77.797000000000025</v>
      </c>
    </row>
    <row r="321" spans="2:9" x14ac:dyDescent="0.2">
      <c r="B321" s="192">
        <f t="shared" si="12"/>
        <v>45752</v>
      </c>
      <c r="C321" s="81">
        <v>1510</v>
      </c>
      <c r="D321" s="81"/>
      <c r="E321" s="81">
        <v>1435.681</v>
      </c>
      <c r="F321" s="81">
        <v>1598</v>
      </c>
      <c r="G321" s="11">
        <f t="shared" si="13"/>
        <v>162.31899999999996</v>
      </c>
      <c r="H321" s="11">
        <f>IFERROR(IF(Yearending&gt;B320,'5. Historical demand'!F321-'5. Historical demand'!C321-'5. Historical demand'!D321,""),"")</f>
        <v>88</v>
      </c>
      <c r="I321" s="11">
        <f t="shared" si="14"/>
        <v>74.31899999999996</v>
      </c>
    </row>
    <row r="322" spans="2:9" x14ac:dyDescent="0.2">
      <c r="B322" s="192">
        <f t="shared" si="12"/>
        <v>45753</v>
      </c>
      <c r="C322" s="81">
        <v>1510</v>
      </c>
      <c r="D322" s="81"/>
      <c r="E322" s="81">
        <v>1469.7170000000001</v>
      </c>
      <c r="F322" s="81">
        <v>1598</v>
      </c>
      <c r="G322" s="11">
        <f t="shared" si="13"/>
        <v>128.2829999999999</v>
      </c>
      <c r="H322" s="11">
        <f>IFERROR(IF(Yearending&gt;B321,'5. Historical demand'!F322-'5. Historical demand'!C322-'5. Historical demand'!D322,""),"")</f>
        <v>88</v>
      </c>
      <c r="I322" s="11">
        <f t="shared" si="14"/>
        <v>40.282999999999902</v>
      </c>
    </row>
    <row r="323" spans="2:9" x14ac:dyDescent="0.2">
      <c r="B323" s="192">
        <f t="shared" si="12"/>
        <v>45754</v>
      </c>
      <c r="C323" s="81">
        <v>1510</v>
      </c>
      <c r="D323" s="81"/>
      <c r="E323" s="81">
        <v>1464.9690000000001</v>
      </c>
      <c r="F323" s="81">
        <v>1598</v>
      </c>
      <c r="G323" s="11">
        <f t="shared" si="13"/>
        <v>133.03099999999995</v>
      </c>
      <c r="H323" s="11">
        <f>IFERROR(IF(Yearending&gt;B322,'5. Historical demand'!F323-'5. Historical demand'!C323-'5. Historical demand'!D323,""),"")</f>
        <v>88</v>
      </c>
      <c r="I323" s="11">
        <f t="shared" si="14"/>
        <v>45.030999999999949</v>
      </c>
    </row>
    <row r="324" spans="2:9" x14ac:dyDescent="0.2">
      <c r="B324" s="192">
        <f t="shared" si="12"/>
        <v>45755</v>
      </c>
      <c r="C324" s="81">
        <v>1510</v>
      </c>
      <c r="D324" s="81"/>
      <c r="E324" s="81">
        <v>1446.5930000000001</v>
      </c>
      <c r="F324" s="81">
        <v>1598</v>
      </c>
      <c r="G324" s="11">
        <f t="shared" si="13"/>
        <v>151.40699999999993</v>
      </c>
      <c r="H324" s="11">
        <f>IFERROR(IF(Yearending&gt;B323,'5. Historical demand'!F324-'5. Historical demand'!C324-'5. Historical demand'!D324,""),"")</f>
        <v>88</v>
      </c>
      <c r="I324" s="11">
        <f t="shared" si="14"/>
        <v>63.406999999999925</v>
      </c>
    </row>
    <row r="325" spans="2:9" x14ac:dyDescent="0.2">
      <c r="B325" s="192">
        <f t="shared" si="12"/>
        <v>45756</v>
      </c>
      <c r="C325" s="81">
        <v>1510</v>
      </c>
      <c r="D325" s="81"/>
      <c r="E325" s="81">
        <v>1438.346</v>
      </c>
      <c r="F325" s="81">
        <v>1598</v>
      </c>
      <c r="G325" s="11">
        <f t="shared" si="13"/>
        <v>159.654</v>
      </c>
      <c r="H325" s="11">
        <f>IFERROR(IF(Yearending&gt;B324,'5. Historical demand'!F325-'5. Historical demand'!C325-'5. Historical demand'!D325,""),"")</f>
        <v>88</v>
      </c>
      <c r="I325" s="11">
        <f t="shared" si="14"/>
        <v>71.653999999999996</v>
      </c>
    </row>
    <row r="326" spans="2:9" x14ac:dyDescent="0.2">
      <c r="B326" s="192">
        <f t="shared" si="12"/>
        <v>45757</v>
      </c>
      <c r="C326" s="81">
        <v>1510</v>
      </c>
      <c r="D326" s="81"/>
      <c r="E326" s="81">
        <v>1106.175</v>
      </c>
      <c r="F326" s="81">
        <v>1598</v>
      </c>
      <c r="G326" s="11">
        <f t="shared" si="13"/>
        <v>491.82500000000005</v>
      </c>
      <c r="H326" s="11">
        <f>IFERROR(IF(Yearending&gt;B325,'5. Historical demand'!F326-'5. Historical demand'!C326-'5. Historical demand'!D326,""),"")</f>
        <v>88</v>
      </c>
      <c r="I326" s="11">
        <f t="shared" si="14"/>
        <v>403.82500000000005</v>
      </c>
    </row>
    <row r="327" spans="2:9" x14ac:dyDescent="0.2">
      <c r="B327" s="192">
        <f t="shared" si="12"/>
        <v>45758</v>
      </c>
      <c r="C327" s="81">
        <v>1510</v>
      </c>
      <c r="D327" s="81"/>
      <c r="E327" s="81">
        <v>1457.0340000000001</v>
      </c>
      <c r="F327" s="81">
        <v>1598</v>
      </c>
      <c r="G327" s="11">
        <f t="shared" si="13"/>
        <v>140.96599999999989</v>
      </c>
      <c r="H327" s="11">
        <f>IFERROR(IF(Yearending&gt;B326,'5. Historical demand'!F327-'5. Historical demand'!C327-'5. Historical demand'!D327,""),"")</f>
        <v>88</v>
      </c>
      <c r="I327" s="11">
        <f t="shared" si="14"/>
        <v>52.965999999999894</v>
      </c>
    </row>
    <row r="328" spans="2:9" x14ac:dyDescent="0.2">
      <c r="B328" s="192">
        <f t="shared" si="12"/>
        <v>45759</v>
      </c>
      <c r="C328" s="81">
        <v>1510</v>
      </c>
      <c r="D328" s="81"/>
      <c r="E328" s="81">
        <v>1471.6220000000001</v>
      </c>
      <c r="F328" s="81">
        <v>1598</v>
      </c>
      <c r="G328" s="11">
        <f t="shared" si="13"/>
        <v>126.37799999999993</v>
      </c>
      <c r="H328" s="11">
        <f>IFERROR(IF(Yearending&gt;B327,'5. Historical demand'!F328-'5. Historical demand'!C328-'5. Historical demand'!D328,""),"")</f>
        <v>88</v>
      </c>
      <c r="I328" s="11">
        <f t="shared" si="14"/>
        <v>38.377999999999929</v>
      </c>
    </row>
    <row r="329" spans="2:9" x14ac:dyDescent="0.2">
      <c r="B329" s="192">
        <f t="shared" si="12"/>
        <v>45760</v>
      </c>
      <c r="C329" s="81">
        <v>1510</v>
      </c>
      <c r="D329" s="81"/>
      <c r="E329" s="81">
        <v>1488.4069999999999</v>
      </c>
      <c r="F329" s="81">
        <v>1598</v>
      </c>
      <c r="G329" s="11">
        <f t="shared" si="13"/>
        <v>109.59300000000007</v>
      </c>
      <c r="H329" s="11">
        <f>IFERROR(IF(Yearending&gt;B328,'5. Historical demand'!F329-'5. Historical demand'!C329-'5. Historical demand'!D329,""),"")</f>
        <v>88</v>
      </c>
      <c r="I329" s="11">
        <f t="shared" si="14"/>
        <v>21.593000000000075</v>
      </c>
    </row>
    <row r="330" spans="2:9" x14ac:dyDescent="0.2">
      <c r="B330" s="192">
        <f t="shared" si="12"/>
        <v>45761</v>
      </c>
      <c r="C330" s="81">
        <v>1510</v>
      </c>
      <c r="D330" s="81"/>
      <c r="E330" s="81">
        <v>1473.498</v>
      </c>
      <c r="F330" s="81">
        <v>1598</v>
      </c>
      <c r="G330" s="11">
        <f t="shared" si="13"/>
        <v>124.50199999999995</v>
      </c>
      <c r="H330" s="11">
        <f>IFERROR(IF(Yearending&gt;B329,'5. Historical demand'!F330-'5. Historical demand'!C330-'5. Historical demand'!D330,""),"")</f>
        <v>88</v>
      </c>
      <c r="I330" s="11">
        <f t="shared" si="14"/>
        <v>36.501999999999953</v>
      </c>
    </row>
    <row r="331" spans="2:9" x14ac:dyDescent="0.2">
      <c r="B331" s="192">
        <f t="shared" si="12"/>
        <v>45762</v>
      </c>
      <c r="C331" s="81">
        <v>1510</v>
      </c>
      <c r="D331" s="81"/>
      <c r="E331" s="81">
        <v>1494.356</v>
      </c>
      <c r="F331" s="81">
        <v>1598</v>
      </c>
      <c r="G331" s="11">
        <f t="shared" si="13"/>
        <v>103.64400000000001</v>
      </c>
      <c r="H331" s="11">
        <f>IFERROR(IF(Yearending&gt;B330,'5. Historical demand'!F331-'5. Historical demand'!C331-'5. Historical demand'!D331,""),"")</f>
        <v>88</v>
      </c>
      <c r="I331" s="11">
        <f t="shared" si="14"/>
        <v>15.644000000000005</v>
      </c>
    </row>
    <row r="332" spans="2:9" x14ac:dyDescent="0.2">
      <c r="B332" s="192">
        <f t="shared" si="12"/>
        <v>45763</v>
      </c>
      <c r="C332" s="81">
        <v>1510</v>
      </c>
      <c r="D332" s="81"/>
      <c r="E332" s="81">
        <v>1281.4059999999999</v>
      </c>
      <c r="F332" s="81">
        <v>1598</v>
      </c>
      <c r="G332" s="11">
        <f t="shared" si="13"/>
        <v>316.59400000000005</v>
      </c>
      <c r="H332" s="11">
        <f>IFERROR(IF(Yearending&gt;B331,'5. Historical demand'!F332-'5. Historical demand'!C332-'5. Historical demand'!D332,""),"")</f>
        <v>88</v>
      </c>
      <c r="I332" s="11">
        <f t="shared" si="14"/>
        <v>228.59400000000005</v>
      </c>
    </row>
    <row r="333" spans="2:9" x14ac:dyDescent="0.2">
      <c r="B333" s="192">
        <f t="shared" si="12"/>
        <v>45764</v>
      </c>
      <c r="C333" s="81">
        <v>1510</v>
      </c>
      <c r="D333" s="81"/>
      <c r="E333" s="81">
        <v>1326.2760000000001</v>
      </c>
      <c r="F333" s="81">
        <v>1598</v>
      </c>
      <c r="G333" s="11">
        <f t="shared" si="13"/>
        <v>271.72399999999993</v>
      </c>
      <c r="H333" s="11">
        <f>IFERROR(IF(Yearending&gt;B332,'5. Historical demand'!F333-'5. Historical demand'!C333-'5. Historical demand'!D333,""),"")</f>
        <v>88</v>
      </c>
      <c r="I333" s="11">
        <f t="shared" si="14"/>
        <v>183.72399999999993</v>
      </c>
    </row>
    <row r="334" spans="2:9" x14ac:dyDescent="0.2">
      <c r="B334" s="192">
        <f t="shared" si="12"/>
        <v>45765</v>
      </c>
      <c r="C334" s="81">
        <v>1510</v>
      </c>
      <c r="D334" s="81"/>
      <c r="E334" s="81">
        <v>1502.29</v>
      </c>
      <c r="F334" s="81">
        <v>1598</v>
      </c>
      <c r="G334" s="11">
        <f t="shared" si="13"/>
        <v>95.710000000000036</v>
      </c>
      <c r="H334" s="11">
        <f>IFERROR(IF(Yearending&gt;B333,'5. Historical demand'!F334-'5. Historical demand'!C334-'5. Historical demand'!D334,""),"")</f>
        <v>88</v>
      </c>
      <c r="I334" s="11">
        <f t="shared" si="14"/>
        <v>7.7100000000000364</v>
      </c>
    </row>
    <row r="335" spans="2:9" x14ac:dyDescent="0.2">
      <c r="B335" s="192">
        <f t="shared" si="12"/>
        <v>45766</v>
      </c>
      <c r="C335" s="81">
        <v>1510</v>
      </c>
      <c r="D335" s="81"/>
      <c r="E335" s="81">
        <v>1491.5070000000001</v>
      </c>
      <c r="F335" s="81">
        <v>1598</v>
      </c>
      <c r="G335" s="11">
        <f t="shared" si="13"/>
        <v>106.49299999999994</v>
      </c>
      <c r="H335" s="11">
        <f>IFERROR(IF(Yearending&gt;B334,'5. Historical demand'!F335-'5. Historical demand'!C335-'5. Historical demand'!D335,""),"")</f>
        <v>88</v>
      </c>
      <c r="I335" s="11">
        <f t="shared" si="14"/>
        <v>18.492999999999938</v>
      </c>
    </row>
    <row r="336" spans="2:9" x14ac:dyDescent="0.2">
      <c r="B336" s="192">
        <f t="shared" si="12"/>
        <v>45767</v>
      </c>
      <c r="C336" s="81">
        <v>1510</v>
      </c>
      <c r="D336" s="81"/>
      <c r="E336" s="81">
        <v>1480.6189999999999</v>
      </c>
      <c r="F336" s="81">
        <v>1598</v>
      </c>
      <c r="G336" s="11">
        <f t="shared" si="13"/>
        <v>117.38100000000009</v>
      </c>
      <c r="H336" s="11">
        <f>IFERROR(IF(Yearending&gt;B335,'5. Historical demand'!F336-'5. Historical demand'!C336-'5. Historical demand'!D336,""),"")</f>
        <v>88</v>
      </c>
      <c r="I336" s="11">
        <f t="shared" si="14"/>
        <v>29.381000000000085</v>
      </c>
    </row>
    <row r="337" spans="2:9" x14ac:dyDescent="0.2">
      <c r="B337" s="192">
        <f t="shared" si="12"/>
        <v>45768</v>
      </c>
      <c r="C337" s="81">
        <v>1510</v>
      </c>
      <c r="D337" s="81"/>
      <c r="E337" s="81">
        <v>1500.402</v>
      </c>
      <c r="F337" s="81">
        <v>1598</v>
      </c>
      <c r="G337" s="11">
        <f t="shared" si="13"/>
        <v>97.597999999999956</v>
      </c>
      <c r="H337" s="11">
        <f>IFERROR(IF(Yearending&gt;B336,'5. Historical demand'!F337-'5. Historical demand'!C337-'5. Historical demand'!D337,""),"")</f>
        <v>88</v>
      </c>
      <c r="I337" s="11">
        <f t="shared" si="14"/>
        <v>9.5979999999999563</v>
      </c>
    </row>
    <row r="338" spans="2:9" x14ac:dyDescent="0.2">
      <c r="B338" s="192">
        <f t="shared" si="12"/>
        <v>45769</v>
      </c>
      <c r="C338" s="81">
        <v>1510</v>
      </c>
      <c r="D338" s="81"/>
      <c r="E338" s="81">
        <v>1498.6410000000001</v>
      </c>
      <c r="F338" s="81">
        <v>1598</v>
      </c>
      <c r="G338" s="11">
        <f t="shared" si="13"/>
        <v>99.358999999999924</v>
      </c>
      <c r="H338" s="11">
        <f>IFERROR(IF(Yearending&gt;B337,'5. Historical demand'!F338-'5. Historical demand'!C338-'5. Historical demand'!D338,""),"")</f>
        <v>88</v>
      </c>
      <c r="I338" s="11">
        <f t="shared" si="14"/>
        <v>11.358999999999924</v>
      </c>
    </row>
    <row r="339" spans="2:9" x14ac:dyDescent="0.2">
      <c r="B339" s="192">
        <f t="shared" si="12"/>
        <v>45770</v>
      </c>
      <c r="C339" s="81">
        <v>1510</v>
      </c>
      <c r="D339" s="81"/>
      <c r="E339" s="81">
        <v>1513.2650000000001</v>
      </c>
      <c r="F339" s="81">
        <v>1598</v>
      </c>
      <c r="G339" s="11">
        <f t="shared" si="13"/>
        <v>84.7349999999999</v>
      </c>
      <c r="H339" s="11">
        <f>IFERROR(IF(Yearending&gt;B338,'5. Historical demand'!F339-'5. Historical demand'!C339-'5. Historical demand'!D339,""),"")</f>
        <v>88</v>
      </c>
      <c r="I339" s="11">
        <f t="shared" si="14"/>
        <v>-3.2650000000001</v>
      </c>
    </row>
    <row r="340" spans="2:9" x14ac:dyDescent="0.2">
      <c r="B340" s="192">
        <f t="shared" si="12"/>
        <v>45771</v>
      </c>
      <c r="C340" s="81">
        <v>1510</v>
      </c>
      <c r="D340" s="81"/>
      <c r="E340" s="81">
        <v>1505.6310000000001</v>
      </c>
      <c r="F340" s="81">
        <v>1598</v>
      </c>
      <c r="G340" s="11">
        <f t="shared" si="13"/>
        <v>92.368999999999915</v>
      </c>
      <c r="H340" s="11">
        <f>IFERROR(IF(Yearending&gt;B339,'5. Historical demand'!F340-'5. Historical demand'!C340-'5. Historical demand'!D340,""),"")</f>
        <v>88</v>
      </c>
      <c r="I340" s="11">
        <f t="shared" si="14"/>
        <v>4.3689999999999145</v>
      </c>
    </row>
    <row r="341" spans="2:9" x14ac:dyDescent="0.2">
      <c r="B341" s="192">
        <f t="shared" si="12"/>
        <v>45772</v>
      </c>
      <c r="C341" s="81">
        <v>1510</v>
      </c>
      <c r="D341" s="81"/>
      <c r="E341" s="81">
        <v>1490.1320000000001</v>
      </c>
      <c r="F341" s="81">
        <v>1598</v>
      </c>
      <c r="G341" s="11">
        <f t="shared" si="13"/>
        <v>107.86799999999994</v>
      </c>
      <c r="H341" s="11">
        <f>IFERROR(IF(Yearending&gt;B340,'5. Historical demand'!F341-'5. Historical demand'!C341-'5. Historical demand'!D341,""),"")</f>
        <v>88</v>
      </c>
      <c r="I341" s="11">
        <f t="shared" si="14"/>
        <v>19.867999999999938</v>
      </c>
    </row>
    <row r="342" spans="2:9" x14ac:dyDescent="0.2">
      <c r="B342" s="192">
        <f t="shared" si="12"/>
        <v>45773</v>
      </c>
      <c r="C342" s="81">
        <v>1510</v>
      </c>
      <c r="D342" s="81"/>
      <c r="E342" s="81">
        <v>1491.16</v>
      </c>
      <c r="F342" s="81">
        <v>1598</v>
      </c>
      <c r="G342" s="11">
        <f t="shared" si="13"/>
        <v>106.83999999999992</v>
      </c>
      <c r="H342" s="11">
        <f>IFERROR(IF(Yearending&gt;B341,'5. Historical demand'!F342-'5. Historical demand'!C342-'5. Historical demand'!D342,""),"")</f>
        <v>88</v>
      </c>
      <c r="I342" s="11">
        <f t="shared" si="14"/>
        <v>18.839999999999918</v>
      </c>
    </row>
    <row r="343" spans="2:9" x14ac:dyDescent="0.2">
      <c r="B343" s="192">
        <f t="shared" si="12"/>
        <v>45774</v>
      </c>
      <c r="C343" s="81">
        <v>1510</v>
      </c>
      <c r="D343" s="81"/>
      <c r="E343" s="81">
        <v>1475.7829999999999</v>
      </c>
      <c r="F343" s="81">
        <v>1598</v>
      </c>
      <c r="G343" s="11">
        <f t="shared" si="13"/>
        <v>122.2170000000001</v>
      </c>
      <c r="H343" s="11">
        <f>IFERROR(IF(Yearending&gt;B342,'5. Historical demand'!F343-'5. Historical demand'!C343-'5. Historical demand'!D343,""),"")</f>
        <v>88</v>
      </c>
      <c r="I343" s="11">
        <f t="shared" si="14"/>
        <v>34.217000000000098</v>
      </c>
    </row>
    <row r="344" spans="2:9" x14ac:dyDescent="0.2">
      <c r="B344" s="192">
        <f t="shared" si="12"/>
        <v>45775</v>
      </c>
      <c r="C344" s="81">
        <v>1510</v>
      </c>
      <c r="D344" s="81"/>
      <c r="E344" s="81">
        <v>1473.9559999999999</v>
      </c>
      <c r="F344" s="81">
        <v>1598</v>
      </c>
      <c r="G344" s="11">
        <f t="shared" si="13"/>
        <v>124.0440000000001</v>
      </c>
      <c r="H344" s="11">
        <f>IFERROR(IF(Yearending&gt;B343,'5. Historical demand'!F344-'5. Historical demand'!C344-'5. Historical demand'!D344,""),"")</f>
        <v>88</v>
      </c>
      <c r="I344" s="11">
        <f t="shared" si="14"/>
        <v>36.044000000000096</v>
      </c>
    </row>
    <row r="345" spans="2:9" x14ac:dyDescent="0.2">
      <c r="B345" s="192">
        <f t="shared" si="12"/>
        <v>45776</v>
      </c>
      <c r="C345" s="81">
        <v>1510</v>
      </c>
      <c r="D345" s="81"/>
      <c r="E345" s="81">
        <v>1480.559</v>
      </c>
      <c r="F345" s="81">
        <v>1598</v>
      </c>
      <c r="G345" s="11">
        <f t="shared" si="13"/>
        <v>117.44100000000003</v>
      </c>
      <c r="H345" s="11">
        <f>IFERROR(IF(Yearending&gt;B344,'5. Historical demand'!F345-'5. Historical demand'!C345-'5. Historical demand'!D345,""),"")</f>
        <v>88</v>
      </c>
      <c r="I345" s="11">
        <f t="shared" si="14"/>
        <v>29.441000000000031</v>
      </c>
    </row>
    <row r="346" spans="2:9" x14ac:dyDescent="0.2">
      <c r="B346" s="192">
        <f t="shared" si="12"/>
        <v>45777</v>
      </c>
      <c r="C346" s="81">
        <v>1510</v>
      </c>
      <c r="D346" s="81"/>
      <c r="E346" s="81">
        <v>1463.5740000000001</v>
      </c>
      <c r="F346" s="81">
        <v>1598</v>
      </c>
      <c r="G346" s="11">
        <f t="shared" si="13"/>
        <v>134.42599999999993</v>
      </c>
      <c r="H346" s="11">
        <f>IFERROR(IF(Yearending&gt;B345,'5. Historical demand'!F346-'5. Historical demand'!C346-'5. Historical demand'!D346,""),"")</f>
        <v>88</v>
      </c>
      <c r="I346" s="11">
        <f t="shared" si="14"/>
        <v>46.425999999999931</v>
      </c>
    </row>
    <row r="347" spans="2:9" x14ac:dyDescent="0.2">
      <c r="B347" s="192">
        <f t="shared" si="12"/>
        <v>45778</v>
      </c>
      <c r="C347" s="81">
        <v>1510</v>
      </c>
      <c r="D347" s="81"/>
      <c r="E347" s="81">
        <v>1478.0840000000001</v>
      </c>
      <c r="F347" s="81">
        <v>1598</v>
      </c>
      <c r="G347" s="11">
        <f t="shared" si="13"/>
        <v>119.91599999999994</v>
      </c>
      <c r="H347" s="11">
        <f>IFERROR(IF(Yearending&gt;B346,'5. Historical demand'!F347-'5. Historical demand'!C347-'5. Historical demand'!D347,""),"")</f>
        <v>88</v>
      </c>
      <c r="I347" s="11">
        <f t="shared" si="14"/>
        <v>31.91599999999994</v>
      </c>
    </row>
    <row r="348" spans="2:9" x14ac:dyDescent="0.2">
      <c r="B348" s="192">
        <f t="shared" si="12"/>
        <v>45779</v>
      </c>
      <c r="C348" s="81">
        <v>1510</v>
      </c>
      <c r="D348" s="81"/>
      <c r="E348" s="81">
        <v>1492.645</v>
      </c>
      <c r="F348" s="81">
        <v>1598</v>
      </c>
      <c r="G348" s="11">
        <f t="shared" si="13"/>
        <v>105.35500000000002</v>
      </c>
      <c r="H348" s="11">
        <f>IFERROR(IF(Yearending&gt;B347,'5. Historical demand'!F348-'5. Historical demand'!C348-'5. Historical demand'!D348,""),"")</f>
        <v>88</v>
      </c>
      <c r="I348" s="11">
        <f t="shared" si="14"/>
        <v>17.355000000000018</v>
      </c>
    </row>
    <row r="349" spans="2:9" x14ac:dyDescent="0.2">
      <c r="B349" s="192">
        <f t="shared" si="12"/>
        <v>45780</v>
      </c>
      <c r="C349" s="81">
        <v>1510</v>
      </c>
      <c r="D349" s="81"/>
      <c r="E349" s="81">
        <v>1496.549</v>
      </c>
      <c r="F349" s="81">
        <v>1598</v>
      </c>
      <c r="G349" s="11">
        <f t="shared" si="13"/>
        <v>101.45100000000002</v>
      </c>
      <c r="H349" s="11">
        <f>IFERROR(IF(Yearending&gt;B348,'5. Historical demand'!F349-'5. Historical demand'!C349-'5. Historical demand'!D349,""),"")</f>
        <v>88</v>
      </c>
      <c r="I349" s="11">
        <f t="shared" si="14"/>
        <v>13.451000000000022</v>
      </c>
    </row>
    <row r="350" spans="2:9" x14ac:dyDescent="0.2">
      <c r="B350" s="192">
        <f t="shared" si="12"/>
        <v>45781</v>
      </c>
      <c r="C350" s="81">
        <v>1510</v>
      </c>
      <c r="D350" s="81"/>
      <c r="E350" s="81">
        <v>1509.0889999999999</v>
      </c>
      <c r="F350" s="81">
        <v>1598</v>
      </c>
      <c r="G350" s="11">
        <f t="shared" si="13"/>
        <v>88.911000000000058</v>
      </c>
      <c r="H350" s="11">
        <f>IFERROR(IF(Yearending&gt;B349,'5. Historical demand'!F350-'5. Historical demand'!C350-'5. Historical demand'!D350,""),"")</f>
        <v>88</v>
      </c>
      <c r="I350" s="11">
        <f t="shared" si="14"/>
        <v>0.91100000000005821</v>
      </c>
    </row>
    <row r="351" spans="2:9" x14ac:dyDescent="0.2">
      <c r="B351" s="192">
        <f t="shared" si="12"/>
        <v>45782</v>
      </c>
      <c r="C351" s="81">
        <v>1510</v>
      </c>
      <c r="D351" s="81"/>
      <c r="E351" s="81">
        <v>1510.4</v>
      </c>
      <c r="F351" s="81">
        <v>1598</v>
      </c>
      <c r="G351" s="11">
        <f t="shared" si="13"/>
        <v>87.599999999999909</v>
      </c>
      <c r="H351" s="11">
        <f>IFERROR(IF(Yearending&gt;B350,'5. Historical demand'!F351-'5. Historical demand'!C351-'5. Historical demand'!D351,""),"")</f>
        <v>88</v>
      </c>
      <c r="I351" s="11">
        <f t="shared" si="14"/>
        <v>-0.40000000000009095</v>
      </c>
    </row>
    <row r="352" spans="2:9" x14ac:dyDescent="0.2">
      <c r="B352" s="192">
        <f t="shared" si="12"/>
        <v>45783</v>
      </c>
      <c r="C352" s="81">
        <v>1510</v>
      </c>
      <c r="D352" s="81"/>
      <c r="E352" s="81">
        <v>1501.6510000000001</v>
      </c>
      <c r="F352" s="81">
        <v>1598</v>
      </c>
      <c r="G352" s="11">
        <f t="shared" si="13"/>
        <v>96.348999999999933</v>
      </c>
      <c r="H352" s="11">
        <f>IFERROR(IF(Yearending&gt;B351,'5. Historical demand'!F352-'5. Historical demand'!C352-'5. Historical demand'!D352,""),"")</f>
        <v>88</v>
      </c>
      <c r="I352" s="11">
        <f t="shared" si="14"/>
        <v>8.3489999999999327</v>
      </c>
    </row>
    <row r="353" spans="2:9" x14ac:dyDescent="0.2">
      <c r="B353" s="192">
        <f t="shared" si="12"/>
        <v>45784</v>
      </c>
      <c r="C353" s="81">
        <v>1510</v>
      </c>
      <c r="D353" s="81"/>
      <c r="E353" s="81">
        <v>1517.2460000000001</v>
      </c>
      <c r="F353" s="81">
        <v>1598</v>
      </c>
      <c r="G353" s="11">
        <f t="shared" si="13"/>
        <v>80.753999999999905</v>
      </c>
      <c r="H353" s="11">
        <f>IFERROR(IF(Yearending&gt;B352,'5. Historical demand'!F353-'5. Historical demand'!C353-'5. Historical demand'!D353,""),"")</f>
        <v>88</v>
      </c>
      <c r="I353" s="11">
        <f t="shared" si="14"/>
        <v>-7.2460000000000946</v>
      </c>
    </row>
    <row r="354" spans="2:9" x14ac:dyDescent="0.2">
      <c r="B354" s="192">
        <f t="shared" si="12"/>
        <v>45785</v>
      </c>
      <c r="C354" s="81">
        <v>1510</v>
      </c>
      <c r="D354" s="81"/>
      <c r="E354" s="81">
        <v>1504.5329999999999</v>
      </c>
      <c r="F354" s="81">
        <v>1598</v>
      </c>
      <c r="G354" s="11">
        <f t="shared" si="13"/>
        <v>93.467000000000098</v>
      </c>
      <c r="H354" s="11">
        <f>IFERROR(IF(Yearending&gt;B353,'5. Historical demand'!F354-'5. Historical demand'!C354-'5. Historical demand'!D354,""),"")</f>
        <v>88</v>
      </c>
      <c r="I354" s="11">
        <f t="shared" si="14"/>
        <v>5.4670000000000982</v>
      </c>
    </row>
    <row r="355" spans="2:9" x14ac:dyDescent="0.2">
      <c r="B355" s="192">
        <f t="shared" si="12"/>
        <v>45786</v>
      </c>
      <c r="C355" s="81">
        <v>1510</v>
      </c>
      <c r="D355" s="81"/>
      <c r="E355" s="81">
        <v>1510.5329999999999</v>
      </c>
      <c r="F355" s="81">
        <v>1598</v>
      </c>
      <c r="G355" s="11">
        <f t="shared" si="13"/>
        <v>87.467000000000098</v>
      </c>
      <c r="H355" s="11">
        <f>IFERROR(IF(Yearending&gt;B354,'5. Historical demand'!F355-'5. Historical demand'!C355-'5. Historical demand'!D355,""),"")</f>
        <v>88</v>
      </c>
      <c r="I355" s="11">
        <f t="shared" si="14"/>
        <v>-0.53299999999990177</v>
      </c>
    </row>
    <row r="356" spans="2:9" x14ac:dyDescent="0.2">
      <c r="B356" s="192">
        <f t="shared" si="12"/>
        <v>45787</v>
      </c>
      <c r="C356" s="81">
        <v>1510</v>
      </c>
      <c r="D356" s="81"/>
      <c r="E356" s="81">
        <v>1168.0070000000001</v>
      </c>
      <c r="F356" s="81">
        <v>1598</v>
      </c>
      <c r="G356" s="11">
        <f t="shared" si="13"/>
        <v>429.99299999999994</v>
      </c>
      <c r="H356" s="11">
        <f>IFERROR(IF(Yearending&gt;B355,'5. Historical demand'!F356-'5. Historical demand'!C356-'5. Historical demand'!D356,""),"")</f>
        <v>88</v>
      </c>
      <c r="I356" s="11">
        <f t="shared" si="14"/>
        <v>341.99299999999994</v>
      </c>
    </row>
    <row r="357" spans="2:9" x14ac:dyDescent="0.2">
      <c r="B357" s="192">
        <f t="shared" si="12"/>
        <v>45788</v>
      </c>
      <c r="C357" s="81">
        <v>1510</v>
      </c>
      <c r="D357" s="81"/>
      <c r="E357" s="81">
        <v>1410.7529999999999</v>
      </c>
      <c r="F357" s="81">
        <v>1598</v>
      </c>
      <c r="G357" s="11">
        <f t="shared" si="13"/>
        <v>187.24700000000007</v>
      </c>
      <c r="H357" s="11">
        <f>IFERROR(IF(Yearending&gt;B356,'5. Historical demand'!F357-'5. Historical demand'!C357-'5. Historical demand'!D357,""),"")</f>
        <v>88</v>
      </c>
      <c r="I357" s="11">
        <f t="shared" si="14"/>
        <v>99.247000000000071</v>
      </c>
    </row>
    <row r="358" spans="2:9" x14ac:dyDescent="0.2">
      <c r="B358" s="192">
        <f t="shared" si="12"/>
        <v>45789</v>
      </c>
      <c r="C358" s="81">
        <v>1510</v>
      </c>
      <c r="D358" s="81"/>
      <c r="E358" s="81">
        <v>1518.6510000000001</v>
      </c>
      <c r="F358" s="81">
        <v>1598</v>
      </c>
      <c r="G358" s="11">
        <f t="shared" si="13"/>
        <v>79.348999999999933</v>
      </c>
      <c r="H358" s="11">
        <f>IFERROR(IF(Yearending&gt;B357,'5. Historical demand'!F358-'5. Historical demand'!C358-'5. Historical demand'!D358,""),"")</f>
        <v>88</v>
      </c>
      <c r="I358" s="11">
        <f t="shared" si="14"/>
        <v>-8.6510000000000673</v>
      </c>
    </row>
    <row r="359" spans="2:9" x14ac:dyDescent="0.2">
      <c r="B359" s="192">
        <f t="shared" si="12"/>
        <v>45790</v>
      </c>
      <c r="C359" s="81">
        <v>1510</v>
      </c>
      <c r="D359" s="81"/>
      <c r="E359" s="81">
        <v>1499.944</v>
      </c>
      <c r="F359" s="81">
        <v>1598</v>
      </c>
      <c r="G359" s="11">
        <f t="shared" si="13"/>
        <v>98.05600000000004</v>
      </c>
      <c r="H359" s="11">
        <f>IFERROR(IF(Yearending&gt;B358,'5. Historical demand'!F359-'5. Historical demand'!C359-'5. Historical demand'!D359,""),"")</f>
        <v>88</v>
      </c>
      <c r="I359" s="11">
        <f t="shared" si="14"/>
        <v>10.05600000000004</v>
      </c>
    </row>
    <row r="360" spans="2:9" x14ac:dyDescent="0.2">
      <c r="B360" s="192">
        <f t="shared" si="12"/>
        <v>45791</v>
      </c>
      <c r="C360" s="81">
        <v>1510</v>
      </c>
      <c r="D360" s="81"/>
      <c r="E360" s="81">
        <v>1460.249</v>
      </c>
      <c r="F360" s="81">
        <v>1598</v>
      </c>
      <c r="G360" s="11">
        <f t="shared" si="13"/>
        <v>137.75099999999998</v>
      </c>
      <c r="H360" s="11">
        <f>IFERROR(IF(Yearending&gt;B359,'5. Historical demand'!F360-'5. Historical demand'!C360-'5. Historical demand'!D360,""),"")</f>
        <v>88</v>
      </c>
      <c r="I360" s="11">
        <f t="shared" si="14"/>
        <v>49.750999999999976</v>
      </c>
    </row>
    <row r="361" spans="2:9" x14ac:dyDescent="0.2">
      <c r="B361" s="192">
        <f t="shared" si="12"/>
        <v>45792</v>
      </c>
      <c r="C361" s="81">
        <v>1510</v>
      </c>
      <c r="D361" s="81"/>
      <c r="E361" s="81">
        <v>1463.547</v>
      </c>
      <c r="F361" s="81">
        <v>1598</v>
      </c>
      <c r="G361" s="11">
        <f t="shared" si="13"/>
        <v>134.45299999999997</v>
      </c>
      <c r="H361" s="11">
        <f>IFERROR(IF(Yearending&gt;B360,'5. Historical demand'!F361-'5. Historical demand'!C361-'5. Historical demand'!D361,""),"")</f>
        <v>88</v>
      </c>
      <c r="I361" s="11">
        <f t="shared" si="14"/>
        <v>46.452999999999975</v>
      </c>
    </row>
    <row r="362" spans="2:9" x14ac:dyDescent="0.2">
      <c r="B362" s="192">
        <f t="shared" si="12"/>
        <v>45793</v>
      </c>
      <c r="C362" s="81">
        <v>1510</v>
      </c>
      <c r="D362" s="81"/>
      <c r="E362" s="81">
        <v>944.24199999999996</v>
      </c>
      <c r="F362" s="81">
        <v>1598</v>
      </c>
      <c r="G362" s="11">
        <f t="shared" si="13"/>
        <v>653.75800000000004</v>
      </c>
      <c r="H362" s="11">
        <f>IFERROR(IF(Yearending&gt;B361,'5. Historical demand'!F362-'5. Historical demand'!C362-'5. Historical demand'!D362,""),"")</f>
        <v>88</v>
      </c>
      <c r="I362" s="11">
        <f t="shared" si="14"/>
        <v>565.75800000000004</v>
      </c>
    </row>
    <row r="363" spans="2:9" x14ac:dyDescent="0.2">
      <c r="B363" s="192">
        <f t="shared" si="12"/>
        <v>45794</v>
      </c>
      <c r="C363" s="81">
        <v>1510</v>
      </c>
      <c r="D363" s="81"/>
      <c r="E363" s="81">
        <v>762.279</v>
      </c>
      <c r="F363" s="81">
        <v>1598</v>
      </c>
      <c r="G363" s="11">
        <f t="shared" si="13"/>
        <v>835.721</v>
      </c>
      <c r="H363" s="11">
        <f>IFERROR(IF(Yearending&gt;B362,'5. Historical demand'!F363-'5. Historical demand'!C363-'5. Historical demand'!D363,""),"")</f>
        <v>88</v>
      </c>
      <c r="I363" s="11">
        <f t="shared" si="14"/>
        <v>747.721</v>
      </c>
    </row>
    <row r="364" spans="2:9" x14ac:dyDescent="0.2">
      <c r="B364" s="192">
        <f t="shared" ref="B364:B408" si="15">IFERROR(IF(Yearending&gt;B363, B363+1, ""),"")</f>
        <v>45795</v>
      </c>
      <c r="C364" s="81">
        <v>1510</v>
      </c>
      <c r="D364" s="81"/>
      <c r="E364" s="81">
        <v>769.31700000000001</v>
      </c>
      <c r="F364" s="81">
        <v>1598</v>
      </c>
      <c r="G364" s="11">
        <f t="shared" ref="G364:G408" si="16">IFERROR(IF(Yearending&gt;B363,F364-E364,""),"")</f>
        <v>828.68299999999999</v>
      </c>
      <c r="H364" s="11">
        <f>IFERROR(IF(Yearending&gt;B363,'5. Historical demand'!F364-'5. Historical demand'!C364-'5. Historical demand'!D364,""),"")</f>
        <v>88</v>
      </c>
      <c r="I364" s="11">
        <f t="shared" ref="I364:I408" si="17">IFERROR(IF(Yearending&gt;B363,C364+D364-E364,""),"")</f>
        <v>740.68299999999999</v>
      </c>
    </row>
    <row r="365" spans="2:9" x14ac:dyDescent="0.2">
      <c r="B365" s="192">
        <f t="shared" si="15"/>
        <v>45796</v>
      </c>
      <c r="C365" s="81">
        <v>1510</v>
      </c>
      <c r="D365" s="81"/>
      <c r="E365" s="81">
        <v>767.05799999999999</v>
      </c>
      <c r="F365" s="81">
        <v>1598</v>
      </c>
      <c r="G365" s="11">
        <f t="shared" si="16"/>
        <v>830.94200000000001</v>
      </c>
      <c r="H365" s="11">
        <f>IFERROR(IF(Yearending&gt;B364,'5. Historical demand'!F365-'5. Historical demand'!C365-'5. Historical demand'!D365,""),"")</f>
        <v>88</v>
      </c>
      <c r="I365" s="11">
        <f t="shared" si="17"/>
        <v>742.94200000000001</v>
      </c>
    </row>
    <row r="366" spans="2:9" x14ac:dyDescent="0.2">
      <c r="B366" s="192">
        <f t="shared" si="15"/>
        <v>45797</v>
      </c>
      <c r="C366" s="81">
        <v>1510</v>
      </c>
      <c r="D366" s="81"/>
      <c r="E366" s="81">
        <v>762.06799999999998</v>
      </c>
      <c r="F366" s="81">
        <v>1598</v>
      </c>
      <c r="G366" s="11">
        <f t="shared" si="16"/>
        <v>835.93200000000002</v>
      </c>
      <c r="H366" s="11">
        <f>IFERROR(IF(Yearending&gt;B365,'5. Historical demand'!F366-'5. Historical demand'!C366-'5. Historical demand'!D366,""),"")</f>
        <v>88</v>
      </c>
      <c r="I366" s="11">
        <f t="shared" si="17"/>
        <v>747.93200000000002</v>
      </c>
    </row>
    <row r="367" spans="2:9" x14ac:dyDescent="0.2">
      <c r="B367" s="192">
        <f t="shared" si="15"/>
        <v>45798</v>
      </c>
      <c r="C367" s="81">
        <v>1510</v>
      </c>
      <c r="D367" s="81"/>
      <c r="E367" s="81">
        <v>767.62599999999998</v>
      </c>
      <c r="F367" s="81">
        <v>1598</v>
      </c>
      <c r="G367" s="11">
        <f t="shared" si="16"/>
        <v>830.37400000000002</v>
      </c>
      <c r="H367" s="11">
        <f>IFERROR(IF(Yearending&gt;B366,'5. Historical demand'!F367-'5. Historical demand'!C367-'5. Historical demand'!D367,""),"")</f>
        <v>88</v>
      </c>
      <c r="I367" s="11">
        <f t="shared" si="17"/>
        <v>742.37400000000002</v>
      </c>
    </row>
    <row r="368" spans="2:9" x14ac:dyDescent="0.2">
      <c r="B368" s="192">
        <f t="shared" si="15"/>
        <v>45799</v>
      </c>
      <c r="C368" s="81">
        <v>1510</v>
      </c>
      <c r="D368" s="81"/>
      <c r="E368" s="81">
        <v>760.87599999999998</v>
      </c>
      <c r="F368" s="81">
        <v>1598</v>
      </c>
      <c r="G368" s="11">
        <f t="shared" si="16"/>
        <v>837.12400000000002</v>
      </c>
      <c r="H368" s="11">
        <f>IFERROR(IF(Yearending&gt;B367,'5. Historical demand'!F368-'5. Historical demand'!C368-'5. Historical demand'!D368,""),"")</f>
        <v>88</v>
      </c>
      <c r="I368" s="11">
        <f t="shared" si="17"/>
        <v>749.12400000000002</v>
      </c>
    </row>
    <row r="369" spans="2:9" x14ac:dyDescent="0.2">
      <c r="B369" s="192">
        <f t="shared" si="15"/>
        <v>45800</v>
      </c>
      <c r="C369" s="81">
        <v>1510</v>
      </c>
      <c r="D369" s="81"/>
      <c r="E369" s="81">
        <v>762.53200000000004</v>
      </c>
      <c r="F369" s="81">
        <v>1598</v>
      </c>
      <c r="G369" s="11">
        <f t="shared" si="16"/>
        <v>835.46799999999996</v>
      </c>
      <c r="H369" s="11">
        <f>IFERROR(IF(Yearending&gt;B368,'5. Historical demand'!F369-'5. Historical demand'!C369-'5. Historical demand'!D369,""),"")</f>
        <v>88</v>
      </c>
      <c r="I369" s="11">
        <f t="shared" si="17"/>
        <v>747.46799999999996</v>
      </c>
    </row>
    <row r="370" spans="2:9" x14ac:dyDescent="0.2">
      <c r="B370" s="192">
        <f t="shared" si="15"/>
        <v>45801</v>
      </c>
      <c r="C370" s="81">
        <v>1510</v>
      </c>
      <c r="D370" s="81"/>
      <c r="E370" s="81">
        <v>731.26499999999999</v>
      </c>
      <c r="F370" s="81">
        <v>1598</v>
      </c>
      <c r="G370" s="11">
        <f t="shared" si="16"/>
        <v>866.73500000000001</v>
      </c>
      <c r="H370" s="11">
        <f>IFERROR(IF(Yearending&gt;B369,'5. Historical demand'!F370-'5. Historical demand'!C370-'5. Historical demand'!D370,""),"")</f>
        <v>88</v>
      </c>
      <c r="I370" s="11">
        <f t="shared" si="17"/>
        <v>778.73500000000001</v>
      </c>
    </row>
    <row r="371" spans="2:9" x14ac:dyDescent="0.2">
      <c r="B371" s="192">
        <f t="shared" si="15"/>
        <v>45802</v>
      </c>
      <c r="C371" s="81">
        <v>1510</v>
      </c>
      <c r="D371" s="81"/>
      <c r="E371" s="81">
        <v>655.03200000000004</v>
      </c>
      <c r="F371" s="81">
        <v>1598</v>
      </c>
      <c r="G371" s="11">
        <f t="shared" si="16"/>
        <v>942.96799999999996</v>
      </c>
      <c r="H371" s="11">
        <f>IFERROR(IF(Yearending&gt;B370,'5. Historical demand'!F371-'5. Historical demand'!C371-'5. Historical demand'!D371,""),"")</f>
        <v>88</v>
      </c>
      <c r="I371" s="11">
        <f t="shared" si="17"/>
        <v>854.96799999999996</v>
      </c>
    </row>
    <row r="372" spans="2:9" x14ac:dyDescent="0.2">
      <c r="B372" s="192">
        <f t="shared" si="15"/>
        <v>45803</v>
      </c>
      <c r="C372" s="81">
        <v>1510</v>
      </c>
      <c r="D372" s="81"/>
      <c r="E372" s="81">
        <v>754.899</v>
      </c>
      <c r="F372" s="81">
        <v>1598</v>
      </c>
      <c r="G372" s="11">
        <f t="shared" si="16"/>
        <v>843.101</v>
      </c>
      <c r="H372" s="11">
        <f>IFERROR(IF(Yearending&gt;B371,'5. Historical demand'!F372-'5. Historical demand'!C372-'5. Historical demand'!D372,""),"")</f>
        <v>88</v>
      </c>
      <c r="I372" s="11">
        <f t="shared" si="17"/>
        <v>755.101</v>
      </c>
    </row>
    <row r="373" spans="2:9" x14ac:dyDescent="0.2">
      <c r="B373" s="192">
        <f t="shared" si="15"/>
        <v>45804</v>
      </c>
      <c r="C373" s="81">
        <v>1510</v>
      </c>
      <c r="D373" s="81"/>
      <c r="E373" s="81">
        <v>750.80499999999995</v>
      </c>
      <c r="F373" s="81">
        <v>1598</v>
      </c>
      <c r="G373" s="11">
        <f t="shared" si="16"/>
        <v>847.19500000000005</v>
      </c>
      <c r="H373" s="11">
        <f>IFERROR(IF(Yearending&gt;B372,'5. Historical demand'!F373-'5. Historical demand'!C373-'5. Historical demand'!D373,""),"")</f>
        <v>88</v>
      </c>
      <c r="I373" s="11">
        <f t="shared" si="17"/>
        <v>759.19500000000005</v>
      </c>
    </row>
    <row r="374" spans="2:9" x14ac:dyDescent="0.2">
      <c r="B374" s="192">
        <f t="shared" si="15"/>
        <v>45805</v>
      </c>
      <c r="C374" s="81">
        <v>1510</v>
      </c>
      <c r="D374" s="81"/>
      <c r="E374" s="81">
        <v>422.90499999999997</v>
      </c>
      <c r="F374" s="81">
        <v>1598</v>
      </c>
      <c r="G374" s="11">
        <f t="shared" si="16"/>
        <v>1175.095</v>
      </c>
      <c r="H374" s="11">
        <f>IFERROR(IF(Yearending&gt;B373,'5. Historical demand'!F374-'5. Historical demand'!C374-'5. Historical demand'!D374,""),"")</f>
        <v>88</v>
      </c>
      <c r="I374" s="11">
        <f t="shared" si="17"/>
        <v>1087.095</v>
      </c>
    </row>
    <row r="375" spans="2:9" x14ac:dyDescent="0.2">
      <c r="B375" s="192">
        <f t="shared" si="15"/>
        <v>45806</v>
      </c>
      <c r="C375" s="81">
        <v>1510</v>
      </c>
      <c r="D375" s="81"/>
      <c r="E375" s="81">
        <v>763.66399999999999</v>
      </c>
      <c r="F375" s="81">
        <v>1598</v>
      </c>
      <c r="G375" s="11">
        <f t="shared" si="16"/>
        <v>834.33600000000001</v>
      </c>
      <c r="H375" s="11">
        <f>IFERROR(IF(Yearending&gt;B374,'5. Historical demand'!F375-'5. Historical demand'!C375-'5. Historical demand'!D375,""),"")</f>
        <v>88</v>
      </c>
      <c r="I375" s="11">
        <f t="shared" si="17"/>
        <v>746.33600000000001</v>
      </c>
    </row>
    <row r="376" spans="2:9" x14ac:dyDescent="0.2">
      <c r="B376" s="192">
        <f t="shared" si="15"/>
        <v>45807</v>
      </c>
      <c r="C376" s="81">
        <v>1510</v>
      </c>
      <c r="D376" s="81"/>
      <c r="E376" s="81">
        <v>781.08299999999997</v>
      </c>
      <c r="F376" s="81">
        <v>1598</v>
      </c>
      <c r="G376" s="11">
        <f t="shared" si="16"/>
        <v>816.91700000000003</v>
      </c>
      <c r="H376" s="11">
        <f>IFERROR(IF(Yearending&gt;B375,'5. Historical demand'!F376-'5. Historical demand'!C376-'5. Historical demand'!D376,""),"")</f>
        <v>88</v>
      </c>
      <c r="I376" s="11">
        <f t="shared" si="17"/>
        <v>728.91700000000003</v>
      </c>
    </row>
    <row r="377" spans="2:9" x14ac:dyDescent="0.2">
      <c r="B377" s="192">
        <f t="shared" si="15"/>
        <v>45808</v>
      </c>
      <c r="C377" s="81">
        <v>1510</v>
      </c>
      <c r="D377" s="81"/>
      <c r="E377" s="81">
        <v>771.52</v>
      </c>
      <c r="F377" s="81">
        <v>1598</v>
      </c>
      <c r="G377" s="11">
        <f t="shared" si="16"/>
        <v>826.48</v>
      </c>
      <c r="H377" s="11">
        <f>IFERROR(IF(Yearending&gt;B376,'5. Historical demand'!F377-'5. Historical demand'!C377-'5. Historical demand'!D377,""),"")</f>
        <v>88</v>
      </c>
      <c r="I377" s="11">
        <f t="shared" si="17"/>
        <v>738.48</v>
      </c>
    </row>
    <row r="378" spans="2:9" x14ac:dyDescent="0.2">
      <c r="B378" s="192">
        <f t="shared" si="15"/>
        <v>45809</v>
      </c>
      <c r="C378" s="81">
        <v>1510</v>
      </c>
      <c r="D378" s="81"/>
      <c r="E378" s="81">
        <v>766.66099999999994</v>
      </c>
      <c r="F378" s="81">
        <v>1598</v>
      </c>
      <c r="G378" s="11">
        <f t="shared" si="16"/>
        <v>831.33900000000006</v>
      </c>
      <c r="H378" s="11">
        <f>IFERROR(IF(Yearending&gt;B377,'5. Historical demand'!F378-'5. Historical demand'!C378-'5. Historical demand'!D378,""),"")</f>
        <v>88</v>
      </c>
      <c r="I378" s="11">
        <f t="shared" si="17"/>
        <v>743.33900000000006</v>
      </c>
    </row>
    <row r="379" spans="2:9" x14ac:dyDescent="0.2">
      <c r="B379" s="192">
        <f t="shared" si="15"/>
        <v>45810</v>
      </c>
      <c r="C379" s="81">
        <v>1510</v>
      </c>
      <c r="D379" s="81"/>
      <c r="E379" s="81">
        <v>759.33699999999999</v>
      </c>
      <c r="F379" s="81">
        <v>1598</v>
      </c>
      <c r="G379" s="11">
        <f t="shared" si="16"/>
        <v>838.66300000000001</v>
      </c>
      <c r="H379" s="11">
        <f>IFERROR(IF(Yearending&gt;B378,'5. Historical demand'!F379-'5. Historical demand'!C379-'5. Historical demand'!D379,""),"")</f>
        <v>88</v>
      </c>
      <c r="I379" s="11">
        <f t="shared" si="17"/>
        <v>750.66300000000001</v>
      </c>
    </row>
    <row r="380" spans="2:9" x14ac:dyDescent="0.2">
      <c r="B380" s="192">
        <f t="shared" si="15"/>
        <v>45811</v>
      </c>
      <c r="C380" s="81">
        <v>1510</v>
      </c>
      <c r="D380" s="81"/>
      <c r="E380" s="81">
        <v>768.83799999999997</v>
      </c>
      <c r="F380" s="81">
        <v>1598</v>
      </c>
      <c r="G380" s="11">
        <f t="shared" si="16"/>
        <v>829.16200000000003</v>
      </c>
      <c r="H380" s="11">
        <f>IFERROR(IF(Yearending&gt;B379,'5. Historical demand'!F380-'5. Historical demand'!C380-'5. Historical demand'!D380,""),"")</f>
        <v>88</v>
      </c>
      <c r="I380" s="11">
        <f t="shared" si="17"/>
        <v>741.16200000000003</v>
      </c>
    </row>
    <row r="381" spans="2:9" x14ac:dyDescent="0.2">
      <c r="B381" s="192">
        <f t="shared" si="15"/>
        <v>45812</v>
      </c>
      <c r="C381" s="81">
        <v>1510</v>
      </c>
      <c r="D381" s="81"/>
      <c r="E381" s="81">
        <v>777.68200000000002</v>
      </c>
      <c r="F381" s="81">
        <v>1598</v>
      </c>
      <c r="G381" s="11">
        <f t="shared" si="16"/>
        <v>820.31799999999998</v>
      </c>
      <c r="H381" s="11">
        <f>IFERROR(IF(Yearending&gt;B380,'5. Historical demand'!F381-'5. Historical demand'!C381-'5. Historical demand'!D381,""),"")</f>
        <v>88</v>
      </c>
      <c r="I381" s="11">
        <f t="shared" si="17"/>
        <v>732.31799999999998</v>
      </c>
    </row>
    <row r="382" spans="2:9" x14ac:dyDescent="0.2">
      <c r="B382" s="192">
        <f t="shared" si="15"/>
        <v>45813</v>
      </c>
      <c r="C382" s="81">
        <v>1510</v>
      </c>
      <c r="D382" s="81"/>
      <c r="E382" s="81">
        <v>779.71900000000005</v>
      </c>
      <c r="F382" s="81">
        <v>1598</v>
      </c>
      <c r="G382" s="11">
        <f t="shared" si="16"/>
        <v>818.28099999999995</v>
      </c>
      <c r="H382" s="11">
        <f>IFERROR(IF(Yearending&gt;B381,'5. Historical demand'!F382-'5. Historical demand'!C382-'5. Historical demand'!D382,""),"")</f>
        <v>88</v>
      </c>
      <c r="I382" s="11">
        <f t="shared" si="17"/>
        <v>730.28099999999995</v>
      </c>
    </row>
    <row r="383" spans="2:9" x14ac:dyDescent="0.2">
      <c r="B383" s="192">
        <f t="shared" si="15"/>
        <v>45814</v>
      </c>
      <c r="C383" s="81">
        <v>1510</v>
      </c>
      <c r="D383" s="81"/>
      <c r="E383" s="81">
        <v>776.42499999999995</v>
      </c>
      <c r="F383" s="81">
        <v>1598</v>
      </c>
      <c r="G383" s="11">
        <f t="shared" si="16"/>
        <v>821.57500000000005</v>
      </c>
      <c r="H383" s="11">
        <f>IFERROR(IF(Yearending&gt;B382,'5. Historical demand'!F383-'5. Historical demand'!C383-'5. Historical demand'!D383,""),"")</f>
        <v>88</v>
      </c>
      <c r="I383" s="11">
        <f t="shared" si="17"/>
        <v>733.57500000000005</v>
      </c>
    </row>
    <row r="384" spans="2:9" x14ac:dyDescent="0.2">
      <c r="B384" s="192">
        <f t="shared" si="15"/>
        <v>45815</v>
      </c>
      <c r="C384" s="81">
        <v>1510</v>
      </c>
      <c r="D384" s="81"/>
      <c r="E384" s="81">
        <v>613.67399999999998</v>
      </c>
      <c r="F384" s="81">
        <v>1598</v>
      </c>
      <c r="G384" s="11">
        <f t="shared" si="16"/>
        <v>984.32600000000002</v>
      </c>
      <c r="H384" s="11">
        <f>IFERROR(IF(Yearending&gt;B383,'5. Historical demand'!F384-'5. Historical demand'!C384-'5. Historical demand'!D384,""),"")</f>
        <v>88</v>
      </c>
      <c r="I384" s="11">
        <f t="shared" si="17"/>
        <v>896.32600000000002</v>
      </c>
    </row>
    <row r="385" spans="2:9" x14ac:dyDescent="0.2">
      <c r="B385" s="192">
        <f t="shared" si="15"/>
        <v>45816</v>
      </c>
      <c r="C385" s="81">
        <v>1510</v>
      </c>
      <c r="D385" s="81"/>
      <c r="E385" s="81">
        <v>640.63699999999994</v>
      </c>
      <c r="F385" s="81">
        <v>1598</v>
      </c>
      <c r="G385" s="11">
        <f t="shared" si="16"/>
        <v>957.36300000000006</v>
      </c>
      <c r="H385" s="11">
        <f>IFERROR(IF(Yearending&gt;B384,'5. Historical demand'!F385-'5. Historical demand'!C385-'5. Historical demand'!D385,""),"")</f>
        <v>88</v>
      </c>
      <c r="I385" s="11">
        <f t="shared" si="17"/>
        <v>869.36300000000006</v>
      </c>
    </row>
    <row r="386" spans="2:9" x14ac:dyDescent="0.2">
      <c r="B386" s="192">
        <f t="shared" si="15"/>
        <v>45817</v>
      </c>
      <c r="C386" s="81">
        <v>1510</v>
      </c>
      <c r="D386" s="81"/>
      <c r="E386" s="81">
        <v>776.90099999999995</v>
      </c>
      <c r="F386" s="81">
        <v>1598</v>
      </c>
      <c r="G386" s="11">
        <f t="shared" si="16"/>
        <v>821.09900000000005</v>
      </c>
      <c r="H386" s="11">
        <f>IFERROR(IF(Yearending&gt;B385,'5. Historical demand'!F386-'5. Historical demand'!C386-'5. Historical demand'!D386,""),"")</f>
        <v>88</v>
      </c>
      <c r="I386" s="11">
        <f t="shared" si="17"/>
        <v>733.09900000000005</v>
      </c>
    </row>
    <row r="387" spans="2:9" x14ac:dyDescent="0.2">
      <c r="B387" s="192">
        <f t="shared" si="15"/>
        <v>45818</v>
      </c>
      <c r="C387" s="81">
        <v>1510</v>
      </c>
      <c r="D387" s="81"/>
      <c r="E387" s="81">
        <v>796.048</v>
      </c>
      <c r="F387" s="81">
        <v>1598</v>
      </c>
      <c r="G387" s="11">
        <f t="shared" si="16"/>
        <v>801.952</v>
      </c>
      <c r="H387" s="11">
        <f>IFERROR(IF(Yearending&gt;B386,'5. Historical demand'!F387-'5. Historical demand'!C387-'5. Historical demand'!D387,""),"")</f>
        <v>88</v>
      </c>
      <c r="I387" s="11">
        <f t="shared" si="17"/>
        <v>713.952</v>
      </c>
    </row>
    <row r="388" spans="2:9" x14ac:dyDescent="0.2">
      <c r="B388" s="192">
        <f t="shared" si="15"/>
        <v>45819</v>
      </c>
      <c r="C388" s="81">
        <v>1510</v>
      </c>
      <c r="D388" s="81"/>
      <c r="E388" s="81">
        <v>1110.2619999999999</v>
      </c>
      <c r="F388" s="81">
        <v>1598</v>
      </c>
      <c r="G388" s="11">
        <f t="shared" si="16"/>
        <v>487.73800000000006</v>
      </c>
      <c r="H388" s="11">
        <f>IFERROR(IF(Yearending&gt;B387,'5. Historical demand'!F388-'5. Historical demand'!C388-'5. Historical demand'!D388,""),"")</f>
        <v>88</v>
      </c>
      <c r="I388" s="11">
        <f t="shared" si="17"/>
        <v>399.73800000000006</v>
      </c>
    </row>
    <row r="389" spans="2:9" x14ac:dyDescent="0.2">
      <c r="B389" s="192">
        <f t="shared" si="15"/>
        <v>45820</v>
      </c>
      <c r="C389" s="81">
        <v>1510</v>
      </c>
      <c r="D389" s="81"/>
      <c r="E389" s="81">
        <v>1360.2180000000001</v>
      </c>
      <c r="F389" s="81">
        <v>1598</v>
      </c>
      <c r="G389" s="11">
        <f t="shared" si="16"/>
        <v>237.78199999999993</v>
      </c>
      <c r="H389" s="11">
        <f>IFERROR(IF(Yearending&gt;B388,'5. Historical demand'!F389-'5. Historical demand'!C389-'5. Historical demand'!D389,""),"")</f>
        <v>88</v>
      </c>
      <c r="I389" s="11">
        <f t="shared" si="17"/>
        <v>149.78199999999993</v>
      </c>
    </row>
    <row r="390" spans="2:9" x14ac:dyDescent="0.2">
      <c r="B390" s="192">
        <f t="shared" si="15"/>
        <v>45821</v>
      </c>
      <c r="C390" s="81">
        <v>1510</v>
      </c>
      <c r="D390" s="81"/>
      <c r="E390" s="81">
        <v>1082.846</v>
      </c>
      <c r="F390" s="81">
        <v>1598</v>
      </c>
      <c r="G390" s="11">
        <f t="shared" si="16"/>
        <v>515.154</v>
      </c>
      <c r="H390" s="11">
        <f>IFERROR(IF(Yearending&gt;B389,'5. Historical demand'!F390-'5. Historical demand'!C390-'5. Historical demand'!D390,""),"")</f>
        <v>88</v>
      </c>
      <c r="I390" s="11">
        <f t="shared" si="17"/>
        <v>427.154</v>
      </c>
    </row>
    <row r="391" spans="2:9" x14ac:dyDescent="0.2">
      <c r="B391" s="192">
        <f t="shared" si="15"/>
        <v>45822</v>
      </c>
      <c r="C391" s="81">
        <v>1510</v>
      </c>
      <c r="D391" s="81"/>
      <c r="E391" s="81">
        <v>1442.2090000000001</v>
      </c>
      <c r="F391" s="81">
        <v>1598</v>
      </c>
      <c r="G391" s="11">
        <f t="shared" si="16"/>
        <v>155.79099999999994</v>
      </c>
      <c r="H391" s="11">
        <f>IFERROR(IF(Yearending&gt;B390,'5. Historical demand'!F391-'5. Historical demand'!C391-'5. Historical demand'!D391,""),"")</f>
        <v>88</v>
      </c>
      <c r="I391" s="11">
        <f t="shared" si="17"/>
        <v>67.79099999999994</v>
      </c>
    </row>
    <row r="392" spans="2:9" x14ac:dyDescent="0.2">
      <c r="B392" s="192">
        <f t="shared" si="15"/>
        <v>45823</v>
      </c>
      <c r="C392" s="81">
        <v>1510</v>
      </c>
      <c r="D392" s="81"/>
      <c r="E392" s="81">
        <v>1375.9590000000001</v>
      </c>
      <c r="F392" s="81">
        <v>1598</v>
      </c>
      <c r="G392" s="11">
        <f t="shared" si="16"/>
        <v>222.04099999999994</v>
      </c>
      <c r="H392" s="11">
        <f>IFERROR(IF(Yearending&gt;B391,'5. Historical demand'!F392-'5. Historical demand'!C392-'5. Historical demand'!D392,""),"")</f>
        <v>88</v>
      </c>
      <c r="I392" s="11">
        <f t="shared" si="17"/>
        <v>134.04099999999994</v>
      </c>
    </row>
    <row r="393" spans="2:9" x14ac:dyDescent="0.2">
      <c r="B393" s="192">
        <f t="shared" si="15"/>
        <v>45824</v>
      </c>
      <c r="C393" s="81">
        <v>1510</v>
      </c>
      <c r="D393" s="81"/>
      <c r="E393" s="81">
        <v>1460.61</v>
      </c>
      <c r="F393" s="81">
        <v>1598</v>
      </c>
      <c r="G393" s="11">
        <f t="shared" si="16"/>
        <v>137.3900000000001</v>
      </c>
      <c r="H393" s="11">
        <f>IFERROR(IF(Yearending&gt;B392,'5. Historical demand'!F393-'5. Historical demand'!C393-'5. Historical demand'!D393,""),"")</f>
        <v>88</v>
      </c>
      <c r="I393" s="11">
        <f t="shared" si="17"/>
        <v>49.3900000000001</v>
      </c>
    </row>
    <row r="394" spans="2:9" x14ac:dyDescent="0.2">
      <c r="B394" s="192">
        <f t="shared" si="15"/>
        <v>45825</v>
      </c>
      <c r="C394" s="81">
        <v>1510</v>
      </c>
      <c r="D394" s="81"/>
      <c r="E394" s="81">
        <v>1438.0730000000001</v>
      </c>
      <c r="F394" s="81">
        <v>1598</v>
      </c>
      <c r="G394" s="11">
        <f t="shared" si="16"/>
        <v>159.92699999999991</v>
      </c>
      <c r="H394" s="11">
        <f>IFERROR(IF(Yearending&gt;B393,'5. Historical demand'!F394-'5. Historical demand'!C394-'5. Historical demand'!D394,""),"")</f>
        <v>88</v>
      </c>
      <c r="I394" s="11">
        <f t="shared" si="17"/>
        <v>71.926999999999907</v>
      </c>
    </row>
    <row r="395" spans="2:9" x14ac:dyDescent="0.2">
      <c r="B395" s="192">
        <f t="shared" si="15"/>
        <v>45826</v>
      </c>
      <c r="C395" s="81">
        <v>1510</v>
      </c>
      <c r="D395" s="81"/>
      <c r="E395" s="81">
        <v>1408.5170000000001</v>
      </c>
      <c r="F395" s="81">
        <v>1598</v>
      </c>
      <c r="G395" s="11">
        <f t="shared" si="16"/>
        <v>189.48299999999995</v>
      </c>
      <c r="H395" s="11">
        <f>IFERROR(IF(Yearending&gt;B394,'5. Historical demand'!F395-'5. Historical demand'!C395-'5. Historical demand'!D395,""),"")</f>
        <v>88</v>
      </c>
      <c r="I395" s="11">
        <f t="shared" si="17"/>
        <v>101.48299999999995</v>
      </c>
    </row>
    <row r="396" spans="2:9" x14ac:dyDescent="0.2">
      <c r="B396" s="192">
        <f t="shared" si="15"/>
        <v>45827</v>
      </c>
      <c r="C396" s="81">
        <v>1510</v>
      </c>
      <c r="D396" s="81"/>
      <c r="E396" s="81">
        <v>1385.0940000000001</v>
      </c>
      <c r="F396" s="81">
        <v>1598</v>
      </c>
      <c r="G396" s="11">
        <f t="shared" si="16"/>
        <v>212.90599999999995</v>
      </c>
      <c r="H396" s="11">
        <f>IFERROR(IF(Yearending&gt;B395,'5. Historical demand'!F396-'5. Historical demand'!C396-'5. Historical demand'!D396,""),"")</f>
        <v>88</v>
      </c>
      <c r="I396" s="11">
        <f t="shared" si="17"/>
        <v>124.90599999999995</v>
      </c>
    </row>
    <row r="397" spans="2:9" x14ac:dyDescent="0.2">
      <c r="B397" s="192">
        <f t="shared" si="15"/>
        <v>45828</v>
      </c>
      <c r="C397" s="81">
        <v>1510</v>
      </c>
      <c r="D397" s="81"/>
      <c r="E397" s="81">
        <v>1428.6769999999999</v>
      </c>
      <c r="F397" s="81">
        <v>1598</v>
      </c>
      <c r="G397" s="11">
        <f t="shared" si="16"/>
        <v>169.32300000000009</v>
      </c>
      <c r="H397" s="11">
        <f>IFERROR(IF(Yearending&gt;B396,'5. Historical demand'!F397-'5. Historical demand'!C397-'5. Historical demand'!D397,""),"")</f>
        <v>88</v>
      </c>
      <c r="I397" s="11">
        <f t="shared" si="17"/>
        <v>81.323000000000093</v>
      </c>
    </row>
    <row r="398" spans="2:9" x14ac:dyDescent="0.2">
      <c r="B398" s="192">
        <f t="shared" si="15"/>
        <v>45829</v>
      </c>
      <c r="C398" s="81">
        <v>1510</v>
      </c>
      <c r="D398" s="81"/>
      <c r="E398" s="81">
        <v>1300.5509999999999</v>
      </c>
      <c r="F398" s="81">
        <v>1598</v>
      </c>
      <c r="G398" s="11">
        <f t="shared" si="16"/>
        <v>297.44900000000007</v>
      </c>
      <c r="H398" s="11">
        <f>IFERROR(IF(Yearending&gt;B397,'5. Historical demand'!F398-'5. Historical demand'!C398-'5. Historical demand'!D398,""),"")</f>
        <v>88</v>
      </c>
      <c r="I398" s="11">
        <f t="shared" si="17"/>
        <v>209.44900000000007</v>
      </c>
    </row>
    <row r="399" spans="2:9" x14ac:dyDescent="0.2">
      <c r="B399" s="192">
        <f t="shared" si="15"/>
        <v>45830</v>
      </c>
      <c r="C399" s="81">
        <v>1510</v>
      </c>
      <c r="D399" s="81"/>
      <c r="E399" s="81">
        <v>1436.1030000000001</v>
      </c>
      <c r="F399" s="81">
        <v>1598</v>
      </c>
      <c r="G399" s="11">
        <f t="shared" si="16"/>
        <v>161.89699999999993</v>
      </c>
      <c r="H399" s="11">
        <f>IFERROR(IF(Yearending&gt;B398,'5. Historical demand'!F399-'5. Historical demand'!C399-'5. Historical demand'!D399,""),"")</f>
        <v>88</v>
      </c>
      <c r="I399" s="11">
        <f t="shared" si="17"/>
        <v>73.896999999999935</v>
      </c>
    </row>
    <row r="400" spans="2:9" x14ac:dyDescent="0.2">
      <c r="B400" s="192">
        <f t="shared" si="15"/>
        <v>45831</v>
      </c>
      <c r="C400" s="81">
        <v>1510</v>
      </c>
      <c r="D400" s="81"/>
      <c r="E400" s="81">
        <v>1509.556</v>
      </c>
      <c r="F400" s="81">
        <v>1598</v>
      </c>
      <c r="G400" s="11">
        <f t="shared" si="16"/>
        <v>88.44399999999996</v>
      </c>
      <c r="H400" s="11">
        <f>IFERROR(IF(Yearending&gt;B399,'5. Historical demand'!F400-'5. Historical demand'!C400-'5. Historical demand'!D400,""),"")</f>
        <v>88</v>
      </c>
      <c r="I400" s="11">
        <f t="shared" si="17"/>
        <v>0.44399999999995998</v>
      </c>
    </row>
    <row r="401" spans="2:9" x14ac:dyDescent="0.2">
      <c r="B401" s="192">
        <f t="shared" si="15"/>
        <v>45832</v>
      </c>
      <c r="C401" s="81">
        <v>1510</v>
      </c>
      <c r="D401" s="81"/>
      <c r="E401" s="81">
        <v>1496.9369999999999</v>
      </c>
      <c r="F401" s="81">
        <v>1598</v>
      </c>
      <c r="G401" s="11">
        <f t="shared" si="16"/>
        <v>101.0630000000001</v>
      </c>
      <c r="H401" s="11">
        <f>IFERROR(IF(Yearending&gt;B400,'5. Historical demand'!F401-'5. Historical demand'!C401-'5. Historical demand'!D401,""),"")</f>
        <v>88</v>
      </c>
      <c r="I401" s="11">
        <f t="shared" si="17"/>
        <v>13.063000000000102</v>
      </c>
    </row>
    <row r="402" spans="2:9" x14ac:dyDescent="0.2">
      <c r="B402" s="192">
        <f t="shared" si="15"/>
        <v>45833</v>
      </c>
      <c r="C402" s="81">
        <v>1510</v>
      </c>
      <c r="D402" s="81"/>
      <c r="E402" s="81">
        <v>1472.046</v>
      </c>
      <c r="F402" s="81">
        <v>1598</v>
      </c>
      <c r="G402" s="11">
        <f t="shared" si="16"/>
        <v>125.95399999999995</v>
      </c>
      <c r="H402" s="11">
        <f>IFERROR(IF(Yearending&gt;B401,'5. Historical demand'!F402-'5. Historical demand'!C402-'5. Historical demand'!D402,""),"")</f>
        <v>88</v>
      </c>
      <c r="I402" s="11">
        <f t="shared" si="17"/>
        <v>37.953999999999951</v>
      </c>
    </row>
    <row r="403" spans="2:9" x14ac:dyDescent="0.2">
      <c r="B403" s="192">
        <f t="shared" si="15"/>
        <v>45834</v>
      </c>
      <c r="C403" s="81">
        <v>1510</v>
      </c>
      <c r="D403" s="81"/>
      <c r="E403" s="81">
        <v>1380.0129999999999</v>
      </c>
      <c r="F403" s="81">
        <v>1598</v>
      </c>
      <c r="G403" s="11">
        <f t="shared" si="16"/>
        <v>217.98700000000008</v>
      </c>
      <c r="H403" s="11">
        <f>IFERROR(IF(Yearending&gt;B402,'5. Historical demand'!F403-'5. Historical demand'!C403-'5. Historical demand'!D403,""),"")</f>
        <v>88</v>
      </c>
      <c r="I403" s="11">
        <f t="shared" si="17"/>
        <v>129.98700000000008</v>
      </c>
    </row>
    <row r="404" spans="2:9" x14ac:dyDescent="0.2">
      <c r="B404" s="192">
        <f t="shared" si="15"/>
        <v>45835</v>
      </c>
      <c r="C404" s="81">
        <v>1510</v>
      </c>
      <c r="D404" s="81"/>
      <c r="E404" s="81">
        <v>1307.7360000000001</v>
      </c>
      <c r="F404" s="81">
        <v>1598</v>
      </c>
      <c r="G404" s="11">
        <f t="shared" si="16"/>
        <v>290.2639999999999</v>
      </c>
      <c r="H404" s="11">
        <f>IFERROR(IF(Yearending&gt;B403,'5. Historical demand'!F404-'5. Historical demand'!C404-'5. Historical demand'!D404,""),"")</f>
        <v>88</v>
      </c>
      <c r="I404" s="11">
        <f t="shared" si="17"/>
        <v>202.2639999999999</v>
      </c>
    </row>
    <row r="405" spans="2:9" x14ac:dyDescent="0.2">
      <c r="B405" s="192">
        <f t="shared" si="15"/>
        <v>45836</v>
      </c>
      <c r="C405" s="81">
        <v>1510</v>
      </c>
      <c r="D405" s="81"/>
      <c r="E405" s="81">
        <v>1329.886</v>
      </c>
      <c r="F405" s="81">
        <v>1598</v>
      </c>
      <c r="G405" s="11">
        <f t="shared" si="16"/>
        <v>268.11400000000003</v>
      </c>
      <c r="H405" s="11">
        <f>IFERROR(IF(Yearending&gt;B404,'5. Historical demand'!F405-'5. Historical demand'!C405-'5. Historical demand'!D405,""),"")</f>
        <v>88</v>
      </c>
      <c r="I405" s="11">
        <f t="shared" si="17"/>
        <v>180.11400000000003</v>
      </c>
    </row>
    <row r="406" spans="2:9" x14ac:dyDescent="0.2">
      <c r="B406" s="192">
        <f t="shared" si="15"/>
        <v>45837</v>
      </c>
      <c r="C406" s="81">
        <v>1510</v>
      </c>
      <c r="D406" s="81"/>
      <c r="E406" s="81">
        <v>1344.575</v>
      </c>
      <c r="F406" s="81">
        <v>1598</v>
      </c>
      <c r="G406" s="11">
        <f t="shared" si="16"/>
        <v>253.42499999999995</v>
      </c>
      <c r="H406" s="11">
        <f>IFERROR(IF(Yearending&gt;B405,'5. Historical demand'!F406-'5. Historical demand'!C406-'5. Historical demand'!D406,""),"")</f>
        <v>88</v>
      </c>
      <c r="I406" s="11">
        <f t="shared" si="17"/>
        <v>165.42499999999995</v>
      </c>
    </row>
    <row r="407" spans="2:9" x14ac:dyDescent="0.2">
      <c r="B407" s="192">
        <f t="shared" si="15"/>
        <v>45838</v>
      </c>
      <c r="C407" s="81">
        <v>1510</v>
      </c>
      <c r="D407" s="81"/>
      <c r="E407" s="81">
        <v>1250.375</v>
      </c>
      <c r="F407" s="81">
        <v>1598</v>
      </c>
      <c r="G407" s="11">
        <f t="shared" si="16"/>
        <v>347.625</v>
      </c>
      <c r="H407" s="11">
        <f>IFERROR(IF(Yearending&gt;B406,'5. Historical demand'!F407-'5. Historical demand'!C407-'5. Historical demand'!D407,""),"")</f>
        <v>88</v>
      </c>
      <c r="I407" s="11">
        <f t="shared" si="17"/>
        <v>259.625</v>
      </c>
    </row>
    <row r="408" spans="2:9" x14ac:dyDescent="0.2">
      <c r="B408" s="192" t="str">
        <f t="shared" si="15"/>
        <v/>
      </c>
      <c r="C408" s="81"/>
      <c r="D408" s="81"/>
      <c r="E408" s="81"/>
      <c r="F408" s="81"/>
      <c r="G408" s="11" t="str">
        <f t="shared" si="16"/>
        <v/>
      </c>
      <c r="H408" s="11" t="str">
        <f>IFERROR(IF(Yearending&gt;B407,'5. Historical demand'!F408-'5. Historical demand'!C408-'5. Historical demand'!D408,""),"")</f>
        <v/>
      </c>
      <c r="I408" s="11"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7D366-061B-4D35-879E-CDADAFDAA4A3}">
  <sheetPr>
    <tabColor theme="5" tint="0.79998168889431442"/>
  </sheetPr>
  <dimension ref="A1"/>
  <sheetViews>
    <sheetView workbookViewId="0"/>
  </sheetViews>
  <sheetFormatPr defaultColWidth="9.28515625" defaultRowHeight="12.75" x14ac:dyDescent="0.2"/>
  <cols>
    <col min="1" max="16384" width="9.28515625" style="316"/>
  </cols>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107" zoomScaleNormal="100" workbookViewId="0">
      <pane xSplit="1" ySplit="13" topLeftCell="B14"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1.7109375" style="190" customWidth="1"/>
    <col min="2" max="2" width="57.7109375" style="190" customWidth="1"/>
    <col min="3" max="3" width="44.7109375" style="190" customWidth="1"/>
    <col min="4" max="11" width="39" style="190" customWidth="1"/>
    <col min="12" max="16384" width="9.28515625" style="190"/>
  </cols>
  <sheetData>
    <row r="1" spans="1:4" ht="20.25" x14ac:dyDescent="0.2">
      <c r="A1" s="191"/>
      <c r="B1" s="135" t="s">
        <v>53</v>
      </c>
      <c r="C1" s="135"/>
    </row>
    <row r="2" spans="1:4" ht="20.25" x14ac:dyDescent="0.2">
      <c r="A2" s="191"/>
      <c r="B2" s="135" t="str">
        <f>IF(Tradingname=0," ",Tradingname)</f>
        <v>APA WGP PTY LTD</v>
      </c>
      <c r="C2" s="135"/>
    </row>
    <row r="3" spans="1:4" ht="20.25" x14ac:dyDescent="0.3">
      <c r="B3" s="135" t="s">
        <v>30</v>
      </c>
      <c r="C3" s="99">
        <f>IF(Yearending=0, "0/01/2000", Yearending)</f>
        <v>45838</v>
      </c>
    </row>
    <row r="4" spans="1:4" ht="20.25" x14ac:dyDescent="0.2">
      <c r="B4" s="91" t="s">
        <v>402</v>
      </c>
      <c r="C4" s="91"/>
    </row>
    <row r="5" spans="1:4" x14ac:dyDescent="0.2">
      <c r="B5" s="190" t="s">
        <v>403</v>
      </c>
    </row>
    <row r="6" spans="1:4" ht="15.75" x14ac:dyDescent="0.25">
      <c r="B6" s="189"/>
    </row>
    <row r="7" spans="1:4" ht="12.75" customHeight="1" x14ac:dyDescent="0.2">
      <c r="B7" s="414" t="s">
        <v>404</v>
      </c>
      <c r="C7" s="414"/>
      <c r="D7" s="414"/>
    </row>
    <row r="8" spans="1:4" ht="12.75" customHeight="1" x14ac:dyDescent="0.2">
      <c r="B8" s="414"/>
      <c r="C8" s="414"/>
      <c r="D8" s="414"/>
    </row>
    <row r="9" spans="1:4" ht="12.75" customHeight="1" x14ac:dyDescent="0.2">
      <c r="B9" s="414"/>
      <c r="C9" s="414"/>
      <c r="D9" s="414"/>
    </row>
    <row r="10" spans="1:4" ht="12.75" customHeight="1" x14ac:dyDescent="0.2">
      <c r="B10" s="414"/>
      <c r="C10" s="414"/>
      <c r="D10" s="414"/>
    </row>
    <row r="11" spans="1:4" ht="12.75" customHeight="1" x14ac:dyDescent="0.2">
      <c r="B11" s="414"/>
      <c r="C11" s="414"/>
      <c r="D11" s="414"/>
    </row>
    <row r="12" spans="1:4" ht="12.75" customHeight="1" x14ac:dyDescent="0.2">
      <c r="B12" s="414"/>
      <c r="C12" s="414"/>
      <c r="D12" s="414"/>
    </row>
    <row r="13" spans="1:4" ht="12.75" customHeight="1" x14ac:dyDescent="0.2">
      <c r="B13" s="414"/>
      <c r="C13" s="414"/>
      <c r="D13" s="414"/>
    </row>
    <row r="16" spans="1:4" ht="12.75" customHeight="1" x14ac:dyDescent="0.25">
      <c r="B16" s="189" t="s">
        <v>405</v>
      </c>
    </row>
    <row r="17" spans="2:5" ht="12.75" customHeight="1" x14ac:dyDescent="0.25">
      <c r="B17" s="189"/>
    </row>
    <row r="18" spans="2:5" x14ac:dyDescent="0.2">
      <c r="B18" s="409" t="s">
        <v>406</v>
      </c>
      <c r="C18" s="411"/>
      <c r="D18" s="409" t="s">
        <v>407</v>
      </c>
      <c r="E18" s="411"/>
    </row>
    <row r="19" spans="2:5" x14ac:dyDescent="0.2">
      <c r="B19" s="435" t="s">
        <v>114</v>
      </c>
      <c r="C19" s="301" t="s">
        <v>408</v>
      </c>
      <c r="D19" s="439" t="s">
        <v>114</v>
      </c>
      <c r="E19" s="437" t="s">
        <v>164</v>
      </c>
    </row>
    <row r="20" spans="2:5" x14ac:dyDescent="0.2">
      <c r="B20" s="436"/>
      <c r="C20" s="111" t="s">
        <v>164</v>
      </c>
      <c r="D20" s="440"/>
      <c r="E20" s="438"/>
    </row>
    <row r="21" spans="2:5" x14ac:dyDescent="0.2">
      <c r="B21" s="112" t="s">
        <v>78</v>
      </c>
      <c r="C21" s="199">
        <v>0.99999986961287068</v>
      </c>
      <c r="D21" s="188" t="s">
        <v>409</v>
      </c>
      <c r="E21" s="199">
        <v>4.4600000000000001E-2</v>
      </c>
    </row>
    <row r="22" spans="2:5" x14ac:dyDescent="0.2">
      <c r="B22" s="112" t="s">
        <v>80</v>
      </c>
      <c r="C22" s="199">
        <v>0</v>
      </c>
      <c r="D22" s="188" t="s">
        <v>410</v>
      </c>
      <c r="E22" s="198">
        <v>0.6</v>
      </c>
    </row>
    <row r="23" spans="2:5" x14ac:dyDescent="0.2">
      <c r="B23" s="112" t="s">
        <v>81</v>
      </c>
      <c r="C23" s="199">
        <v>0</v>
      </c>
      <c r="D23" s="188" t="s">
        <v>411</v>
      </c>
      <c r="E23" s="198">
        <v>0.3</v>
      </c>
    </row>
    <row r="24" spans="2:5" x14ac:dyDescent="0.2">
      <c r="B24" s="112" t="s">
        <v>82</v>
      </c>
      <c r="C24" s="199">
        <v>0</v>
      </c>
      <c r="D24" s="188" t="s">
        <v>412</v>
      </c>
      <c r="E24" s="198">
        <v>0.56999999999999995</v>
      </c>
    </row>
    <row r="25" spans="2:5" x14ac:dyDescent="0.2">
      <c r="B25" s="194" t="s">
        <v>83</v>
      </c>
      <c r="C25" s="199">
        <v>0</v>
      </c>
      <c r="D25" s="187" t="s">
        <v>413</v>
      </c>
      <c r="E25" s="199">
        <v>4.99E-2</v>
      </c>
    </row>
    <row r="26" spans="2:5" x14ac:dyDescent="0.2">
      <c r="B26" s="112" t="s">
        <v>84</v>
      </c>
      <c r="C26" s="199">
        <v>1.3038712932781931E-7</v>
      </c>
      <c r="D26" s="14"/>
      <c r="E26" s="14"/>
    </row>
    <row r="27" spans="2:5" x14ac:dyDescent="0.2">
      <c r="B27" s="112" t="s">
        <v>85</v>
      </c>
      <c r="C27" s="199">
        <v>0</v>
      </c>
      <c r="D27" s="14"/>
      <c r="E27" s="14"/>
    </row>
    <row r="28" spans="2:5" x14ac:dyDescent="0.2">
      <c r="B28" s="112" t="s">
        <v>86</v>
      </c>
      <c r="C28" s="199">
        <v>0</v>
      </c>
      <c r="D28" s="14"/>
      <c r="E28" s="14"/>
    </row>
    <row r="29" spans="2:5" x14ac:dyDescent="0.2">
      <c r="B29" s="112" t="s">
        <v>88</v>
      </c>
      <c r="C29" s="199">
        <v>0</v>
      </c>
      <c r="D29" s="14"/>
      <c r="E29" s="14"/>
    </row>
    <row r="30" spans="2:5" x14ac:dyDescent="0.2">
      <c r="B30" s="112" t="s">
        <v>90</v>
      </c>
      <c r="C30" s="199">
        <v>0</v>
      </c>
      <c r="D30" s="14"/>
      <c r="E30" s="14"/>
    </row>
    <row r="31" spans="2:5" x14ac:dyDescent="0.2">
      <c r="B31" s="186" t="s">
        <v>56</v>
      </c>
      <c r="C31" s="118">
        <f>SUM(C21:C30)</f>
        <v>1</v>
      </c>
      <c r="D31" s="14"/>
      <c r="E31" s="14"/>
    </row>
    <row r="34" spans="2:8" ht="15.75" x14ac:dyDescent="0.25">
      <c r="B34" s="189" t="s">
        <v>414</v>
      </c>
      <c r="C34" s="189"/>
    </row>
    <row r="36" spans="2:8" x14ac:dyDescent="0.2">
      <c r="B36" s="185"/>
      <c r="C36" s="185"/>
      <c r="D36" s="185" t="s">
        <v>415</v>
      </c>
      <c r="E36" s="185" t="s">
        <v>416</v>
      </c>
      <c r="F36" s="185" t="s">
        <v>417</v>
      </c>
      <c r="G36" s="185" t="s">
        <v>74</v>
      </c>
      <c r="H36" s="185" t="s">
        <v>75</v>
      </c>
    </row>
    <row r="37" spans="2:8" x14ac:dyDescent="0.2">
      <c r="B37" s="433" t="s">
        <v>78</v>
      </c>
      <c r="C37" s="185" t="s">
        <v>76</v>
      </c>
      <c r="D37" s="184">
        <f>MIN(C64:D64)</f>
        <v>0.34364400124156197</v>
      </c>
      <c r="E37" s="184">
        <f>MIN(E64:G64)</f>
        <v>0</v>
      </c>
      <c r="F37" s="184">
        <f>MIN(H64,J64)+MIN(I64,K64)</f>
        <v>0.12341369659881796</v>
      </c>
      <c r="G37" s="184">
        <f t="shared" ref="G37:G56" si="0">SUM(D37:F37)</f>
        <v>0.46705769784037993</v>
      </c>
      <c r="H37" s="432" t="s">
        <v>79</v>
      </c>
    </row>
    <row r="38" spans="2:8" x14ac:dyDescent="0.2">
      <c r="B38" s="434"/>
      <c r="C38" s="185" t="s">
        <v>77</v>
      </c>
      <c r="D38" s="184">
        <f>MAX(C64:D64)</f>
        <v>0.34560019434615508</v>
      </c>
      <c r="E38" s="184">
        <f>MAX(E64:G64)</f>
        <v>0.24169427796364898</v>
      </c>
      <c r="F38" s="184">
        <f>MAX(H64,J64)+MAX(I64,K64)</f>
        <v>0.12341369659881796</v>
      </c>
      <c r="G38" s="184">
        <f t="shared" si="0"/>
        <v>0.71070816890862198</v>
      </c>
      <c r="H38" s="432"/>
    </row>
    <row r="39" spans="2:8" x14ac:dyDescent="0.2">
      <c r="B39" s="433" t="s">
        <v>80</v>
      </c>
      <c r="C39" s="185" t="s">
        <v>76</v>
      </c>
      <c r="D39" s="184">
        <f>MIN(C65:D65)</f>
        <v>0</v>
      </c>
      <c r="E39" s="184">
        <f>MIN(E65:G65)</f>
        <v>0</v>
      </c>
      <c r="F39" s="184">
        <f>MIN(H65,J65)+MIN(I65,K65)</f>
        <v>0</v>
      </c>
      <c r="G39" s="184">
        <f t="shared" si="0"/>
        <v>0</v>
      </c>
      <c r="H39" s="432" t="s">
        <v>79</v>
      </c>
    </row>
    <row r="40" spans="2:8" x14ac:dyDescent="0.2">
      <c r="B40" s="434"/>
      <c r="C40" s="185" t="s">
        <v>77</v>
      </c>
      <c r="D40" s="184">
        <f>MAX(C65:D65)</f>
        <v>0</v>
      </c>
      <c r="E40" s="184">
        <f>MAX(E65:G65)</f>
        <v>0</v>
      </c>
      <c r="F40" s="184">
        <f>MAX(H65,J65)+MAX(I65,K65)</f>
        <v>0</v>
      </c>
      <c r="G40" s="184">
        <f t="shared" si="0"/>
        <v>0</v>
      </c>
      <c r="H40" s="432"/>
    </row>
    <row r="41" spans="2:8" x14ac:dyDescent="0.2">
      <c r="B41" s="433" t="s">
        <v>81</v>
      </c>
      <c r="C41" s="185" t="s">
        <v>76</v>
      </c>
      <c r="D41" s="184">
        <f>MIN(C66:D66)</f>
        <v>0</v>
      </c>
      <c r="E41" s="184">
        <f>MIN(E66:G66)</f>
        <v>0</v>
      </c>
      <c r="F41" s="184">
        <f>MIN(H66,J66)+MIN(I66,K66)</f>
        <v>0</v>
      </c>
      <c r="G41" s="184">
        <f t="shared" si="0"/>
        <v>0</v>
      </c>
      <c r="H41" s="432" t="s">
        <v>79</v>
      </c>
    </row>
    <row r="42" spans="2:8" x14ac:dyDescent="0.2">
      <c r="B42" s="434"/>
      <c r="C42" s="185" t="s">
        <v>77</v>
      </c>
      <c r="D42" s="184">
        <f>MAX(C66:D66)</f>
        <v>0</v>
      </c>
      <c r="E42" s="184">
        <f>MAX(E66:G66)</f>
        <v>0</v>
      </c>
      <c r="F42" s="184">
        <f>MAX(H66,J66)+MAX(I66,K66)</f>
        <v>0</v>
      </c>
      <c r="G42" s="184">
        <f t="shared" si="0"/>
        <v>0</v>
      </c>
      <c r="H42" s="432"/>
    </row>
    <row r="43" spans="2:8" x14ac:dyDescent="0.2">
      <c r="B43" s="433" t="s">
        <v>82</v>
      </c>
      <c r="C43" s="185" t="s">
        <v>76</v>
      </c>
      <c r="D43" s="184">
        <f>MIN(C67:D67)</f>
        <v>0</v>
      </c>
      <c r="E43" s="184">
        <f>MIN(E67:G67)</f>
        <v>0</v>
      </c>
      <c r="F43" s="184">
        <f>MIN(H67,J67)+MIN(I67,K67)</f>
        <v>0</v>
      </c>
      <c r="G43" s="184">
        <f t="shared" si="0"/>
        <v>0</v>
      </c>
      <c r="H43" s="432" t="s">
        <v>79</v>
      </c>
    </row>
    <row r="44" spans="2:8" x14ac:dyDescent="0.2">
      <c r="B44" s="434"/>
      <c r="C44" s="185" t="s">
        <v>77</v>
      </c>
      <c r="D44" s="184">
        <f>MAX(C67:D67)</f>
        <v>0</v>
      </c>
      <c r="E44" s="184">
        <f>MAX(E67:G67)</f>
        <v>0</v>
      </c>
      <c r="F44" s="184">
        <f>MAX(H67,J67)+MAX(I67,K67)</f>
        <v>0</v>
      </c>
      <c r="G44" s="184">
        <f t="shared" si="0"/>
        <v>0</v>
      </c>
      <c r="H44" s="432"/>
    </row>
    <row r="45" spans="2:8" x14ac:dyDescent="0.2">
      <c r="B45" s="433" t="s">
        <v>83</v>
      </c>
      <c r="C45" s="185" t="s">
        <v>76</v>
      </c>
      <c r="D45" s="184">
        <f>MIN(C68:D68)</f>
        <v>0</v>
      </c>
      <c r="E45" s="184">
        <f>MIN(E68:G68)</f>
        <v>0</v>
      </c>
      <c r="F45" s="184">
        <f>MIN(H68,J68)+MIN(I68,K68)</f>
        <v>0</v>
      </c>
      <c r="G45" s="184">
        <f t="shared" si="0"/>
        <v>0</v>
      </c>
      <c r="H45" s="432" t="s">
        <v>79</v>
      </c>
    </row>
    <row r="46" spans="2:8" x14ac:dyDescent="0.2">
      <c r="B46" s="434"/>
      <c r="C46" s="185" t="s">
        <v>77</v>
      </c>
      <c r="D46" s="184">
        <f>MAX(C68:D68)</f>
        <v>0</v>
      </c>
      <c r="E46" s="184">
        <f>MAX(E68:G68)</f>
        <v>0</v>
      </c>
      <c r="F46" s="184">
        <f>MAX(H68,J68)+MAX(I68,K68)</f>
        <v>0</v>
      </c>
      <c r="G46" s="184">
        <f t="shared" si="0"/>
        <v>0</v>
      </c>
      <c r="H46" s="432"/>
    </row>
    <row r="47" spans="2:8" x14ac:dyDescent="0.2">
      <c r="B47" s="433" t="s">
        <v>84</v>
      </c>
      <c r="C47" s="185" t="s">
        <v>76</v>
      </c>
      <c r="D47" s="184">
        <f>MIN(C69:D69)</f>
        <v>0</v>
      </c>
      <c r="E47" s="184">
        <f>MIN(E69:G69)</f>
        <v>0</v>
      </c>
      <c r="F47" s="184">
        <f>MIN(H69,J69)+MIN(I69,K69)</f>
        <v>0</v>
      </c>
      <c r="G47" s="184">
        <f t="shared" si="0"/>
        <v>0</v>
      </c>
      <c r="H47" s="432" t="s">
        <v>79</v>
      </c>
    </row>
    <row r="48" spans="2:8" x14ac:dyDescent="0.2">
      <c r="B48" s="434"/>
      <c r="C48" s="185" t="s">
        <v>77</v>
      </c>
      <c r="D48" s="184">
        <f>MAX(C69:D69)</f>
        <v>0</v>
      </c>
      <c r="E48" s="184">
        <f>MAX(E69:G69)</f>
        <v>0</v>
      </c>
      <c r="F48" s="184">
        <f>MAX(H69,J69)+MAX(I69,K69)</f>
        <v>0</v>
      </c>
      <c r="G48" s="184">
        <f t="shared" si="0"/>
        <v>0</v>
      </c>
      <c r="H48" s="432"/>
    </row>
    <row r="49" spans="2:11" x14ac:dyDescent="0.2">
      <c r="B49" s="433" t="s">
        <v>85</v>
      </c>
      <c r="C49" s="185" t="s">
        <v>76</v>
      </c>
      <c r="D49" s="184">
        <f>MIN(C70:D70)</f>
        <v>0</v>
      </c>
      <c r="E49" s="184">
        <f>MIN(E70:G70)</f>
        <v>0</v>
      </c>
      <c r="F49" s="184">
        <f>MIN(H70,J70)+MIN(I70,K70)</f>
        <v>0</v>
      </c>
      <c r="G49" s="184">
        <f t="shared" si="0"/>
        <v>0</v>
      </c>
      <c r="H49" s="432" t="s">
        <v>79</v>
      </c>
    </row>
    <row r="50" spans="2:11" x14ac:dyDescent="0.2">
      <c r="B50" s="434"/>
      <c r="C50" s="185" t="s">
        <v>77</v>
      </c>
      <c r="D50" s="184">
        <f>MAX(C70:D70)</f>
        <v>0</v>
      </c>
      <c r="E50" s="184">
        <f>MAX(E70:G70)</f>
        <v>0</v>
      </c>
      <c r="F50" s="184">
        <f>MAX(H70,J70)+MAX(I70,K70)</f>
        <v>0</v>
      </c>
      <c r="G50" s="184">
        <f t="shared" si="0"/>
        <v>0</v>
      </c>
      <c r="H50" s="432"/>
    </row>
    <row r="51" spans="2:11" x14ac:dyDescent="0.2">
      <c r="B51" s="433" t="s">
        <v>86</v>
      </c>
      <c r="C51" s="185" t="s">
        <v>76</v>
      </c>
      <c r="D51" s="184">
        <f>MIN(C71:D71)</f>
        <v>0</v>
      </c>
      <c r="E51" s="184">
        <f>MIN(E71:G71)</f>
        <v>0</v>
      </c>
      <c r="F51" s="184">
        <f>MIN(H71,J71)+MIN(I71,K71)</f>
        <v>0</v>
      </c>
      <c r="G51" s="184">
        <f t="shared" si="0"/>
        <v>0</v>
      </c>
      <c r="H51" s="432" t="s">
        <v>87</v>
      </c>
    </row>
    <row r="52" spans="2:11" x14ac:dyDescent="0.2">
      <c r="B52" s="434"/>
      <c r="C52" s="185" t="s">
        <v>77</v>
      </c>
      <c r="D52" s="184">
        <f>MAX(C71:D71)</f>
        <v>0</v>
      </c>
      <c r="E52" s="184">
        <f>MAX(E71:G71)</f>
        <v>0</v>
      </c>
      <c r="F52" s="184">
        <f>MAX(H71,J71)+MAX(I71,K71)</f>
        <v>0</v>
      </c>
      <c r="G52" s="184">
        <f t="shared" si="0"/>
        <v>0</v>
      </c>
      <c r="H52" s="432"/>
    </row>
    <row r="53" spans="2:11" x14ac:dyDescent="0.2">
      <c r="B53" s="433" t="s">
        <v>88</v>
      </c>
      <c r="C53" s="185" t="s">
        <v>76</v>
      </c>
      <c r="D53" s="184">
        <f>MIN(C72:D72)</f>
        <v>0</v>
      </c>
      <c r="E53" s="184">
        <f>MIN(E72:G72)</f>
        <v>0</v>
      </c>
      <c r="F53" s="184">
        <f>MIN(H72,J72)+MIN(I72,K72)</f>
        <v>0</v>
      </c>
      <c r="G53" s="184">
        <f t="shared" si="0"/>
        <v>0</v>
      </c>
      <c r="H53" s="432" t="s">
        <v>89</v>
      </c>
    </row>
    <row r="54" spans="2:11" x14ac:dyDescent="0.2">
      <c r="B54" s="434"/>
      <c r="C54" s="185" t="s">
        <v>77</v>
      </c>
      <c r="D54" s="184">
        <f>MAX(C72:D72)</f>
        <v>0</v>
      </c>
      <c r="E54" s="184">
        <f>MAX(E72:G72)</f>
        <v>0</v>
      </c>
      <c r="F54" s="184">
        <f>MAX(H72,J72)+MAX(I72,K72)</f>
        <v>0</v>
      </c>
      <c r="G54" s="184">
        <f t="shared" si="0"/>
        <v>0</v>
      </c>
      <c r="H54" s="432"/>
    </row>
    <row r="55" spans="2:11" x14ac:dyDescent="0.2">
      <c r="B55" s="433" t="s">
        <v>90</v>
      </c>
      <c r="C55" s="185" t="s">
        <v>76</v>
      </c>
      <c r="D55" s="184">
        <f>MIN(C73:D73)</f>
        <v>0</v>
      </c>
      <c r="E55" s="184">
        <f>MIN(E73:G73)</f>
        <v>0</v>
      </c>
      <c r="F55" s="184">
        <f>MIN(H73,J73)+MIN(I73,K73)</f>
        <v>0</v>
      </c>
      <c r="G55" s="184">
        <f t="shared" si="0"/>
        <v>0</v>
      </c>
      <c r="H55" s="432"/>
    </row>
    <row r="56" spans="2:11" x14ac:dyDescent="0.2">
      <c r="B56" s="434"/>
      <c r="C56" s="185" t="s">
        <v>77</v>
      </c>
      <c r="D56" s="184">
        <f>MAX(C73:D73)</f>
        <v>0</v>
      </c>
      <c r="E56" s="184">
        <f>MAX(E73:G73)</f>
        <v>0</v>
      </c>
      <c r="F56" s="184">
        <f>MAX(H73,J73)+MAX(I73,K73)</f>
        <v>0</v>
      </c>
      <c r="G56" s="184">
        <f t="shared" si="0"/>
        <v>0</v>
      </c>
      <c r="H56" s="432"/>
    </row>
    <row r="59" spans="2:11" ht="15.75" x14ac:dyDescent="0.25">
      <c r="B59" s="189" t="s">
        <v>418</v>
      </c>
    </row>
    <row r="60" spans="2:11" ht="16.5" thickBot="1" x14ac:dyDescent="0.3">
      <c r="B60" s="183" t="s">
        <v>419</v>
      </c>
    </row>
    <row r="61" spans="2:11" s="181" customFormat="1" ht="13.5" thickBot="1" x14ac:dyDescent="0.25">
      <c r="B61" s="182"/>
      <c r="C61" s="446" t="s">
        <v>420</v>
      </c>
      <c r="D61" s="448"/>
      <c r="E61" s="446" t="s">
        <v>421</v>
      </c>
      <c r="F61" s="447"/>
      <c r="G61" s="448"/>
      <c r="H61" s="443" t="s">
        <v>422</v>
      </c>
      <c r="I61" s="444"/>
      <c r="J61" s="444"/>
      <c r="K61" s="445"/>
    </row>
    <row r="62" spans="2:11" s="181" customFormat="1" x14ac:dyDescent="0.2">
      <c r="B62" s="182"/>
      <c r="C62" s="449" t="s">
        <v>423</v>
      </c>
      <c r="D62" s="453" t="s">
        <v>424</v>
      </c>
      <c r="E62" s="449" t="s">
        <v>425</v>
      </c>
      <c r="F62" s="451" t="s">
        <v>426</v>
      </c>
      <c r="G62" s="453" t="s">
        <v>427</v>
      </c>
      <c r="H62" s="446" t="s">
        <v>428</v>
      </c>
      <c r="I62" s="448"/>
      <c r="J62" s="441" t="s">
        <v>429</v>
      </c>
      <c r="K62" s="442"/>
    </row>
    <row r="63" spans="2:11" s="181" customFormat="1" x14ac:dyDescent="0.2">
      <c r="B63" s="182"/>
      <c r="C63" s="450"/>
      <c r="D63" s="454"/>
      <c r="E63" s="450"/>
      <c r="F63" s="452"/>
      <c r="G63" s="454"/>
      <c r="H63" s="180" t="s">
        <v>430</v>
      </c>
      <c r="I63" s="219" t="s">
        <v>431</v>
      </c>
      <c r="J63" s="180" t="s">
        <v>430</v>
      </c>
      <c r="K63" s="219" t="s">
        <v>431</v>
      </c>
    </row>
    <row r="64" spans="2:11" x14ac:dyDescent="0.2">
      <c r="B64" s="112" t="s">
        <v>78</v>
      </c>
      <c r="C64" s="179">
        <f>INDEX($F$79:$G$88,MATCH($B64,$B$79:$B$88,0),MATCH(C$62,$F$78:$G$78,0))</f>
        <v>0.34560019434615508</v>
      </c>
      <c r="D64" s="178">
        <f>INDEX($F$79:$G$88,MATCH($B64,$B$79:$B$88,0),MATCH(D$62,$F$78:$G$78,0))</f>
        <v>0.34364400124156197</v>
      </c>
      <c r="E64" s="179">
        <f t="shared" ref="E64:F73" si="1">F104</f>
        <v>0.24169427796364898</v>
      </c>
      <c r="F64" s="177">
        <f t="shared" si="1"/>
        <v>0.24117130706684239</v>
      </c>
      <c r="G64" s="178">
        <f t="shared" ref="G64:G73" si="2">G116</f>
        <v>0</v>
      </c>
      <c r="H64" s="179" t="str">
        <f>I137</f>
        <v xml:space="preserve"> - </v>
      </c>
      <c r="I64" s="178" t="str">
        <f>J137</f>
        <v xml:space="preserve"> - </v>
      </c>
      <c r="J64" s="179">
        <f>I149</f>
        <v>0.11548229790726579</v>
      </c>
      <c r="K64" s="178">
        <f>J149</f>
        <v>7.9313986915521637E-3</v>
      </c>
    </row>
    <row r="65" spans="2:11" x14ac:dyDescent="0.2">
      <c r="B65" s="112" t="s">
        <v>80</v>
      </c>
      <c r="C65" s="179" t="str">
        <f t="shared" ref="C65:D73" si="3">INDEX($F$79:$G$88,MATCH($B65,$B$79:$B$88,0),MATCH(C$62,$F$78:$G$78,0))</f>
        <v xml:space="preserve"> -</v>
      </c>
      <c r="D65" s="178" t="str">
        <f t="shared" si="3"/>
        <v xml:space="preserve"> -</v>
      </c>
      <c r="E65" s="179" t="str">
        <f t="shared" si="1"/>
        <v xml:space="preserve"> - </v>
      </c>
      <c r="F65" s="177" t="str">
        <f t="shared" si="1"/>
        <v xml:space="preserve"> - </v>
      </c>
      <c r="G65" s="178" t="str">
        <f t="shared" si="2"/>
        <v xml:space="preserve"> - </v>
      </c>
      <c r="H65" s="179" t="str">
        <f t="shared" ref="H65:I73" si="4">I138</f>
        <v xml:space="preserve"> - </v>
      </c>
      <c r="I65" s="178" t="str">
        <f t="shared" si="4"/>
        <v xml:space="preserve"> - </v>
      </c>
      <c r="J65" s="179" t="str">
        <f t="shared" ref="J65:K73" si="5">I150</f>
        <v xml:space="preserve"> - </v>
      </c>
      <c r="K65" s="178" t="str">
        <f t="shared" si="5"/>
        <v xml:space="preserve"> - </v>
      </c>
    </row>
    <row r="66" spans="2:11" x14ac:dyDescent="0.2">
      <c r="B66" s="112" t="s">
        <v>81</v>
      </c>
      <c r="C66" s="179" t="str">
        <f t="shared" si="3"/>
        <v xml:space="preserve"> -</v>
      </c>
      <c r="D66" s="178" t="str">
        <f t="shared" si="3"/>
        <v xml:space="preserve"> -</v>
      </c>
      <c r="E66" s="179" t="str">
        <f t="shared" si="1"/>
        <v xml:space="preserve"> - </v>
      </c>
      <c r="F66" s="177" t="str">
        <f t="shared" si="1"/>
        <v xml:space="preserve"> - </v>
      </c>
      <c r="G66" s="178" t="str">
        <f t="shared" si="2"/>
        <v xml:space="preserve"> - </v>
      </c>
      <c r="H66" s="179" t="str">
        <f t="shared" si="4"/>
        <v xml:space="preserve"> - </v>
      </c>
      <c r="I66" s="178" t="str">
        <f t="shared" si="4"/>
        <v xml:space="preserve"> - </v>
      </c>
      <c r="J66" s="179" t="str">
        <f>I151</f>
        <v xml:space="preserve"> - </v>
      </c>
      <c r="K66" s="178" t="str">
        <f t="shared" si="5"/>
        <v xml:space="preserve"> - </v>
      </c>
    </row>
    <row r="67" spans="2:11" x14ac:dyDescent="0.2">
      <c r="B67" s="112" t="s">
        <v>82</v>
      </c>
      <c r="C67" s="179" t="str">
        <f t="shared" si="3"/>
        <v xml:space="preserve"> -</v>
      </c>
      <c r="D67" s="178" t="str">
        <f t="shared" si="3"/>
        <v xml:space="preserve"> -</v>
      </c>
      <c r="E67" s="179" t="str">
        <f t="shared" si="1"/>
        <v xml:space="preserve"> - </v>
      </c>
      <c r="F67" s="177" t="str">
        <f t="shared" si="1"/>
        <v xml:space="preserve"> - </v>
      </c>
      <c r="G67" s="178" t="str">
        <f t="shared" si="2"/>
        <v xml:space="preserve"> - </v>
      </c>
      <c r="H67" s="179" t="str">
        <f t="shared" si="4"/>
        <v xml:space="preserve"> - </v>
      </c>
      <c r="I67" s="178" t="str">
        <f t="shared" si="4"/>
        <v xml:space="preserve"> - </v>
      </c>
      <c r="J67" s="179" t="str">
        <f t="shared" si="5"/>
        <v xml:space="preserve"> - </v>
      </c>
      <c r="K67" s="178" t="str">
        <f t="shared" si="5"/>
        <v xml:space="preserve"> - </v>
      </c>
    </row>
    <row r="68" spans="2:11" x14ac:dyDescent="0.2">
      <c r="B68" s="194" t="s">
        <v>83</v>
      </c>
      <c r="C68" s="179" t="str">
        <f t="shared" si="3"/>
        <v xml:space="preserve"> -</v>
      </c>
      <c r="D68" s="178" t="str">
        <f t="shared" si="3"/>
        <v xml:space="preserve"> -</v>
      </c>
      <c r="E68" s="179" t="str">
        <f t="shared" si="1"/>
        <v xml:space="preserve"> - </v>
      </c>
      <c r="F68" s="177" t="str">
        <f t="shared" si="1"/>
        <v xml:space="preserve"> - </v>
      </c>
      <c r="G68" s="178" t="str">
        <f t="shared" si="2"/>
        <v xml:space="preserve"> - </v>
      </c>
      <c r="H68" s="179" t="str">
        <f t="shared" si="4"/>
        <v xml:space="preserve"> - </v>
      </c>
      <c r="I68" s="178" t="str">
        <f t="shared" si="4"/>
        <v xml:space="preserve"> - </v>
      </c>
      <c r="J68" s="179" t="str">
        <f t="shared" si="5"/>
        <v xml:space="preserve"> - </v>
      </c>
      <c r="K68" s="178" t="str">
        <f t="shared" si="5"/>
        <v xml:space="preserve"> - </v>
      </c>
    </row>
    <row r="69" spans="2:11" x14ac:dyDescent="0.2">
      <c r="B69" s="112" t="s">
        <v>84</v>
      </c>
      <c r="C69" s="179" t="str">
        <f t="shared" si="3"/>
        <v xml:space="preserve"> -</v>
      </c>
      <c r="D69" s="178" t="str">
        <f t="shared" si="3"/>
        <v xml:space="preserve"> -</v>
      </c>
      <c r="E69" s="179" t="str">
        <f t="shared" si="1"/>
        <v xml:space="preserve"> - </v>
      </c>
      <c r="F69" s="177" t="str">
        <f t="shared" si="1"/>
        <v xml:space="preserve"> - </v>
      </c>
      <c r="G69" s="178" t="str">
        <f t="shared" si="2"/>
        <v xml:space="preserve"> - </v>
      </c>
      <c r="H69" s="179" t="str">
        <f t="shared" si="4"/>
        <v xml:space="preserve"> - </v>
      </c>
      <c r="I69" s="178" t="str">
        <f>J142</f>
        <v xml:space="preserve"> - </v>
      </c>
      <c r="J69" s="179" t="str">
        <f t="shared" si="5"/>
        <v xml:space="preserve"> - </v>
      </c>
      <c r="K69" s="178" t="str">
        <f t="shared" si="5"/>
        <v xml:space="preserve"> - </v>
      </c>
    </row>
    <row r="70" spans="2:11" x14ac:dyDescent="0.2">
      <c r="B70" s="112" t="s">
        <v>85</v>
      </c>
      <c r="C70" s="179" t="str">
        <f t="shared" si="3"/>
        <v xml:space="preserve"> -</v>
      </c>
      <c r="D70" s="178" t="str">
        <f t="shared" si="3"/>
        <v xml:space="preserve"> -</v>
      </c>
      <c r="E70" s="179" t="str">
        <f t="shared" si="1"/>
        <v xml:space="preserve"> - </v>
      </c>
      <c r="F70" s="177" t="str">
        <f t="shared" si="1"/>
        <v xml:space="preserve"> - </v>
      </c>
      <c r="G70" s="178" t="str">
        <f t="shared" si="2"/>
        <v xml:space="preserve"> - </v>
      </c>
      <c r="H70" s="179" t="str">
        <f t="shared" si="4"/>
        <v xml:space="preserve"> - </v>
      </c>
      <c r="I70" s="178" t="str">
        <f t="shared" si="4"/>
        <v xml:space="preserve"> - </v>
      </c>
      <c r="J70" s="179" t="str">
        <f t="shared" si="5"/>
        <v xml:space="preserve"> - </v>
      </c>
      <c r="K70" s="178" t="str">
        <f>J155</f>
        <v xml:space="preserve"> - </v>
      </c>
    </row>
    <row r="71" spans="2:11" x14ac:dyDescent="0.2">
      <c r="B71" s="112" t="s">
        <v>86</v>
      </c>
      <c r="C71" s="179" t="str">
        <f t="shared" si="3"/>
        <v xml:space="preserve"> -</v>
      </c>
      <c r="D71" s="178" t="str">
        <f t="shared" si="3"/>
        <v xml:space="preserve"> -</v>
      </c>
      <c r="E71" s="179" t="str">
        <f t="shared" si="1"/>
        <v xml:space="preserve"> - </v>
      </c>
      <c r="F71" s="177" t="str">
        <f t="shared" si="1"/>
        <v xml:space="preserve"> - </v>
      </c>
      <c r="G71" s="178" t="str">
        <f t="shared" si="2"/>
        <v xml:space="preserve"> - </v>
      </c>
      <c r="H71" s="179" t="str">
        <f>I144</f>
        <v xml:space="preserve"> - </v>
      </c>
      <c r="I71" s="178" t="str">
        <f t="shared" si="4"/>
        <v xml:space="preserve"> - </v>
      </c>
      <c r="J71" s="179" t="str">
        <f t="shared" si="5"/>
        <v xml:space="preserve"> - </v>
      </c>
      <c r="K71" s="178" t="str">
        <f t="shared" si="5"/>
        <v xml:space="preserve"> - </v>
      </c>
    </row>
    <row r="72" spans="2:11" x14ac:dyDescent="0.2">
      <c r="B72" s="112" t="s">
        <v>88</v>
      </c>
      <c r="C72" s="179" t="str">
        <f t="shared" si="3"/>
        <v xml:space="preserve"> -</v>
      </c>
      <c r="D72" s="178" t="str">
        <f t="shared" si="3"/>
        <v xml:space="preserve"> -</v>
      </c>
      <c r="E72" s="179" t="str">
        <f t="shared" si="1"/>
        <v xml:space="preserve"> - </v>
      </c>
      <c r="F72" s="177" t="str">
        <f t="shared" si="1"/>
        <v xml:space="preserve"> - </v>
      </c>
      <c r="G72" s="178" t="str">
        <f t="shared" si="2"/>
        <v xml:space="preserve"> - </v>
      </c>
      <c r="H72" s="179" t="str">
        <f t="shared" si="4"/>
        <v xml:space="preserve"> - </v>
      </c>
      <c r="I72" s="178" t="str">
        <f t="shared" si="4"/>
        <v xml:space="preserve"> - </v>
      </c>
      <c r="J72" s="179" t="str">
        <f t="shared" si="5"/>
        <v xml:space="preserve"> - </v>
      </c>
      <c r="K72" s="178" t="str">
        <f t="shared" si="5"/>
        <v xml:space="preserve"> - </v>
      </c>
    </row>
    <row r="73" spans="2:11" ht="13.5" thickBot="1" x14ac:dyDescent="0.25">
      <c r="B73" s="112" t="s">
        <v>90</v>
      </c>
      <c r="C73" s="176" t="str">
        <f t="shared" si="3"/>
        <v xml:space="preserve"> -</v>
      </c>
      <c r="D73" s="175" t="str">
        <f t="shared" si="3"/>
        <v xml:space="preserve"> -</v>
      </c>
      <c r="E73" s="176" t="str">
        <f t="shared" si="1"/>
        <v xml:space="preserve"> - </v>
      </c>
      <c r="F73" s="174" t="str">
        <f t="shared" si="1"/>
        <v xml:space="preserve"> - </v>
      </c>
      <c r="G73" s="175" t="str">
        <f t="shared" si="2"/>
        <v xml:space="preserve"> - </v>
      </c>
      <c r="H73" s="176" t="str">
        <f t="shared" si="4"/>
        <v xml:space="preserve"> - </v>
      </c>
      <c r="I73" s="175" t="str">
        <f t="shared" si="4"/>
        <v xml:space="preserve"> - </v>
      </c>
      <c r="J73" s="176" t="str">
        <f t="shared" si="5"/>
        <v xml:space="preserve"> - </v>
      </c>
      <c r="K73" s="175" t="str">
        <f t="shared" si="5"/>
        <v xml:space="preserve"> - </v>
      </c>
    </row>
    <row r="76" spans="2:11" ht="15.75" x14ac:dyDescent="0.25">
      <c r="B76" s="189" t="s">
        <v>432</v>
      </c>
    </row>
    <row r="77" spans="2:11" ht="15.75" x14ac:dyDescent="0.25">
      <c r="B77" s="183" t="s">
        <v>433</v>
      </c>
    </row>
    <row r="78" spans="2:11" s="171" customFormat="1" ht="24.75" customHeight="1" x14ac:dyDescent="0.2">
      <c r="B78" s="173" t="s">
        <v>434</v>
      </c>
      <c r="C78" s="172" t="s">
        <v>435</v>
      </c>
      <c r="D78" s="172" t="s">
        <v>436</v>
      </c>
      <c r="E78" s="172" t="s">
        <v>437</v>
      </c>
      <c r="F78" s="173" t="s">
        <v>423</v>
      </c>
      <c r="G78" s="173" t="s">
        <v>424</v>
      </c>
    </row>
    <row r="79" spans="2:11" x14ac:dyDescent="0.2">
      <c r="B79" s="112" t="s">
        <v>78</v>
      </c>
      <c r="C79" s="17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189955690.82042068</v>
      </c>
      <c r="D79" s="170">
        <f>ABS('2.1 Profit &amp; Loss by component'!$F$32*INDEX('2.2 Allocation to services'!$D$56:$D$65,MATCH('6. Pricing template'!B79,'2.2 Allocation to services'!$C$56:$C$65,0),1))-ABS('2.1 Profit &amp; Loss by component'!$F$26)*INDEX('2.2 Allocation to services'!$D$68:$D$77,MATCH('6. Pricing template'!B79,'2.2 Allocation to services'!$C$68:$C$77,0),1)</f>
        <v>188880488.84241211</v>
      </c>
      <c r="E79" s="169">
        <f>INDEX('5. Historical demand'!$C$26:$C$35,MATCH('6. Pricing template'!B79,'5. Historical demand'!$B$26:$B$35,0),1)*(Yearending-Yearstart)</f>
        <v>549640</v>
      </c>
      <c r="F79" s="168">
        <f>IFERROR(C79/(E79*1000)," -")</f>
        <v>0.34560019434615508</v>
      </c>
      <c r="G79" s="168">
        <f>IFERROR(D79/(E79*1000)," -")</f>
        <v>0.34364400124156197</v>
      </c>
    </row>
    <row r="80" spans="2:11" x14ac:dyDescent="0.2">
      <c r="B80" s="112" t="s">
        <v>80</v>
      </c>
      <c r="C80" s="17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7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69">
        <f>INDEX('5. Historical demand'!$C$26:$C$35,MATCH('6. Pricing template'!B80,'5. Historical demand'!$B$26:$B$35,0),1)*(Yearending-Yearstart)</f>
        <v>0</v>
      </c>
      <c r="F80" s="168" t="str">
        <f t="shared" ref="F80:F88" si="6">IFERROR(C80/(E80*1000)," -")</f>
        <v xml:space="preserve"> -</v>
      </c>
      <c r="G80" s="168" t="str">
        <f t="shared" ref="G80:G88" si="7">IFERROR(D80/(E80*1000)," -")</f>
        <v xml:space="preserve"> -</v>
      </c>
    </row>
    <row r="81" spans="2:7" x14ac:dyDescent="0.2">
      <c r="B81" s="112" t="s">
        <v>81</v>
      </c>
      <c r="C81" s="17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0</v>
      </c>
      <c r="D81" s="170">
        <f>ABS('2.1 Profit &amp; Loss by component'!$F$32*INDEX('2.2 Allocation to services'!$D$56:$D$65,MATCH('6. Pricing template'!B81,'2.2 Allocation to services'!$C$56:$C$65,0),1))-ABS('2.1 Profit &amp; Loss by component'!$F$26)*INDEX('2.2 Allocation to services'!$D$68:$D$77,MATCH('6. Pricing template'!B81,'2.2 Allocation to services'!$C$68:$C$77,0),1)</f>
        <v>0</v>
      </c>
      <c r="E81" s="169">
        <f>INDEX('5. Historical demand'!$C$26:$C$35,MATCH('6. Pricing template'!B81,'5. Historical demand'!$B$26:$B$35,0),1)*(Yearending-Yearstart)</f>
        <v>0</v>
      </c>
      <c r="F81" s="168" t="str">
        <f t="shared" si="6"/>
        <v xml:space="preserve"> -</v>
      </c>
      <c r="G81" s="168" t="str">
        <f t="shared" si="7"/>
        <v xml:space="preserve"> -</v>
      </c>
    </row>
    <row r="82" spans="2:7" x14ac:dyDescent="0.2">
      <c r="B82" s="112" t="s">
        <v>82</v>
      </c>
      <c r="C82" s="17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70">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69">
        <f>INDEX('5. Historical demand'!$C$26:$C$35,MATCH('6. Pricing template'!B82,'5. Historical demand'!$B$26:$B$35,0),1)*(Yearending-Yearstart)</f>
        <v>0</v>
      </c>
      <c r="F82" s="168" t="str">
        <f t="shared" si="6"/>
        <v xml:space="preserve"> -</v>
      </c>
      <c r="G82" s="168" t="str">
        <f t="shared" si="7"/>
        <v xml:space="preserve"> -</v>
      </c>
    </row>
    <row r="83" spans="2:7" x14ac:dyDescent="0.2">
      <c r="B83" s="194" t="s">
        <v>83</v>
      </c>
      <c r="C83" s="17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70">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69">
        <f>INDEX('5. Historical demand'!$C$26:$C$35,MATCH('6. Pricing template'!B83,'5. Historical demand'!$B$26:$B$35,0),1)*(Yearending-Yearstart)</f>
        <v>0</v>
      </c>
      <c r="F83" s="168" t="str">
        <f t="shared" si="6"/>
        <v xml:space="preserve"> -</v>
      </c>
      <c r="G83" s="168" t="str">
        <f t="shared" si="7"/>
        <v xml:space="preserve"> -</v>
      </c>
    </row>
    <row r="84" spans="2:7" x14ac:dyDescent="0.2">
      <c r="B84" s="112" t="s">
        <v>84</v>
      </c>
      <c r="C84" s="17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24.767780454957244</v>
      </c>
      <c r="D84" s="170">
        <f>ABS('2.1 Profit &amp; Loss by component'!$F$32*INDEX('2.2 Allocation to services'!$D$56:$D$65,MATCH('6. Pricing template'!B84,'2.2 Allocation to services'!$C$56:$C$65,0),1))-ABS('2.1 Profit &amp; Loss by component'!$F$26)*INDEX('2.2 Allocation to services'!$D$68:$D$77,MATCH('6. Pricing template'!B84,'2.2 Allocation to services'!$C$68:$C$77,0),1)</f>
        <v>24.627587937317806</v>
      </c>
      <c r="E84" s="169">
        <f>INDEX('5. Historical demand'!$C$26:$C$35,MATCH('6. Pricing template'!B84,'5. Historical demand'!$B$26:$B$35,0),1)*(Yearending-Yearstart)</f>
        <v>0</v>
      </c>
      <c r="F84" s="168" t="str">
        <f t="shared" si="6"/>
        <v xml:space="preserve"> -</v>
      </c>
      <c r="G84" s="168" t="str">
        <f t="shared" si="7"/>
        <v xml:space="preserve"> -</v>
      </c>
    </row>
    <row r="85" spans="2:7" x14ac:dyDescent="0.2">
      <c r="B85" s="112" t="s">
        <v>85</v>
      </c>
      <c r="C85" s="17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70">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69">
        <f>INDEX('5. Historical demand'!$C$26:$C$35,MATCH('6. Pricing template'!B85,'5. Historical demand'!$B$26:$B$35,0),1)*(Yearending-Yearstart)</f>
        <v>0</v>
      </c>
      <c r="F85" s="168" t="str">
        <f t="shared" si="6"/>
        <v xml:space="preserve"> -</v>
      </c>
      <c r="G85" s="168" t="str">
        <f t="shared" si="7"/>
        <v xml:space="preserve"> -</v>
      </c>
    </row>
    <row r="86" spans="2:7" x14ac:dyDescent="0.2">
      <c r="B86" s="112" t="s">
        <v>86</v>
      </c>
      <c r="C86" s="17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70">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69">
        <f>INDEX('5. Historical demand'!$C$26:$C$35,MATCH('6. Pricing template'!B86,'5. Historical demand'!$B$26:$B$35,0),1)*(Yearending-Yearstart)</f>
        <v>0</v>
      </c>
      <c r="F86" s="168" t="str">
        <f t="shared" si="6"/>
        <v xml:space="preserve"> -</v>
      </c>
      <c r="G86" s="168" t="str">
        <f t="shared" si="7"/>
        <v xml:space="preserve"> -</v>
      </c>
    </row>
    <row r="87" spans="2:7" x14ac:dyDescent="0.2">
      <c r="B87" s="112" t="s">
        <v>88</v>
      </c>
      <c r="C87" s="17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70">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69">
        <f>INDEX('5. Historical demand'!$C$26:$C$35,MATCH('6. Pricing template'!B87,'5. Historical demand'!$B$26:$B$35,0),1)*(Yearending-Yearstart)</f>
        <v>0</v>
      </c>
      <c r="F87" s="168" t="str">
        <f t="shared" si="6"/>
        <v xml:space="preserve"> -</v>
      </c>
      <c r="G87" s="168" t="str">
        <f t="shared" si="7"/>
        <v xml:space="preserve"> -</v>
      </c>
    </row>
    <row r="88" spans="2:7" x14ac:dyDescent="0.2">
      <c r="B88" s="112" t="s">
        <v>90</v>
      </c>
      <c r="C88" s="17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0</v>
      </c>
      <c r="D88" s="170">
        <f>ABS('2.1 Profit &amp; Loss by component'!$F$32*INDEX('2.2 Allocation to services'!$D$56:$D$65,MATCH('6. Pricing template'!B88,'2.2 Allocation to services'!$C$56:$C$65,0),1))-ABS('2.1 Profit &amp; Loss by component'!$F$26)*INDEX('2.2 Allocation to services'!$D$68:$D$77,MATCH('6. Pricing template'!B88,'2.2 Allocation to services'!$C$68:$C$77,0),1)</f>
        <v>0</v>
      </c>
      <c r="E88" s="169">
        <f>INDEX('5. Historical demand'!$C$26:$C$35,MATCH('6. Pricing template'!B88,'5. Historical demand'!$B$26:$B$35,0),1)*(Yearending-Yearstart)</f>
        <v>0</v>
      </c>
      <c r="F88" s="168" t="str">
        <f t="shared" si="6"/>
        <v xml:space="preserve"> -</v>
      </c>
      <c r="G88" s="168" t="str">
        <f t="shared" si="7"/>
        <v xml:space="preserve"> -</v>
      </c>
    </row>
    <row r="90" spans="2:7" ht="15.75" x14ac:dyDescent="0.25">
      <c r="B90" s="183" t="s">
        <v>360</v>
      </c>
    </row>
    <row r="91" spans="2:7" x14ac:dyDescent="0.2">
      <c r="B91" s="167" t="s">
        <v>438</v>
      </c>
      <c r="C91" s="188" t="s">
        <v>439</v>
      </c>
      <c r="D91" s="188" t="s">
        <v>440</v>
      </c>
      <c r="E91" s="188" t="s">
        <v>441</v>
      </c>
    </row>
    <row r="92" spans="2:7" x14ac:dyDescent="0.2">
      <c r="B92" s="112" t="s">
        <v>78</v>
      </c>
      <c r="C92" s="17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1270520999.0603905</v>
      </c>
      <c r="D92" s="170">
        <f>ABS('2.1 Profit &amp; Loss by component'!$F$26)*INDEX('2.2 Allocation to services'!$D$68:$D$77,MATCH('6. Pricing template'!B79,'2.2 Allocation to services'!$C$68:$C$77,0),1)/(Yearending-Yearstart)*365</f>
        <v>132921565.88989018</v>
      </c>
      <c r="E92" s="166">
        <f t="shared" ref="E92:E101" si="8">IFERROR(C92/D92," - ")</f>
        <v>9.5584263588413272</v>
      </c>
    </row>
    <row r="93" spans="2:7" x14ac:dyDescent="0.2">
      <c r="B93" s="112" t="s">
        <v>80</v>
      </c>
      <c r="C93" s="17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70">
        <f>ABS('2.1 Profit &amp; Loss by component'!$F$26)*INDEX('2.2 Allocation to services'!$D$68:$D$77,MATCH('6. Pricing template'!B80,'2.2 Allocation to services'!$C$68:$C$77,0),1)/(Yearending-Yearstart)*365</f>
        <v>0</v>
      </c>
      <c r="E93" s="166" t="str">
        <f t="shared" si="8"/>
        <v xml:space="preserve"> - </v>
      </c>
      <c r="G93" s="165"/>
    </row>
    <row r="94" spans="2:7" x14ac:dyDescent="0.2">
      <c r="B94" s="112" t="s">
        <v>81</v>
      </c>
      <c r="C94" s="17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0</v>
      </c>
      <c r="D94" s="170">
        <f>ABS('2.1 Profit &amp; Loss by component'!$F$26)*INDEX('2.2 Allocation to services'!$D$68:$D$77,MATCH('6. Pricing template'!B81,'2.2 Allocation to services'!$C$68:$C$77,0),1)/(Yearending-Yearstart)*365</f>
        <v>0</v>
      </c>
      <c r="E94" s="166" t="str">
        <f t="shared" si="8"/>
        <v xml:space="preserve"> - </v>
      </c>
    </row>
    <row r="95" spans="2:7" x14ac:dyDescent="0.2">
      <c r="B95" s="112" t="s">
        <v>82</v>
      </c>
      <c r="C95" s="17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70">
        <f>ABS('2.1 Profit &amp; Loss by component'!$F$26)*INDEX('2.2 Allocation to services'!$D$68:$D$77,MATCH('6. Pricing template'!B82,'2.2 Allocation to services'!$C$68:$C$77,0),1)/(Yearending-Yearstart)*365</f>
        <v>0</v>
      </c>
      <c r="E95" s="166" t="str">
        <f t="shared" si="8"/>
        <v xml:space="preserve"> - </v>
      </c>
    </row>
    <row r="96" spans="2:7" x14ac:dyDescent="0.2">
      <c r="B96" s="194" t="s">
        <v>83</v>
      </c>
      <c r="C96" s="17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70">
        <f>ABS('2.1 Profit &amp; Loss by component'!$F$26)*INDEX('2.2 Allocation to services'!$D$68:$D$77,MATCH('6. Pricing template'!B83,'2.2 Allocation to services'!$C$68:$C$77,0),1)/(Yearending-Yearstart)*365</f>
        <v>0</v>
      </c>
      <c r="E96" s="166" t="str">
        <f t="shared" si="8"/>
        <v xml:space="preserve"> - </v>
      </c>
    </row>
    <row r="97" spans="2:7" x14ac:dyDescent="0.2">
      <c r="B97" s="112" t="s">
        <v>84</v>
      </c>
      <c r="C97" s="17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165.65960741807797</v>
      </c>
      <c r="D97" s="170">
        <f>ABS('2.1 Profit &amp; Loss by component'!$F$26)*INDEX('2.2 Allocation to services'!$D$68:$D$77,MATCH('6. Pricing template'!B84,'2.2 Allocation to services'!$C$68:$C$77,0),1)/(Yearending-Yearstart)*365</f>
        <v>17.331263661915084</v>
      </c>
      <c r="E97" s="166">
        <f t="shared" si="8"/>
        <v>9.5584263588413254</v>
      </c>
    </row>
    <row r="98" spans="2:7" x14ac:dyDescent="0.2">
      <c r="B98" s="112" t="s">
        <v>85</v>
      </c>
      <c r="C98" s="17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70">
        <f>ABS('2.1 Profit &amp; Loss by component'!$F$26)*INDEX('2.2 Allocation to services'!$D$68:$D$77,MATCH('6. Pricing template'!B85,'2.2 Allocation to services'!$C$68:$C$77,0),1)/(Yearending-Yearstart)*365</f>
        <v>0</v>
      </c>
      <c r="E98" s="166" t="str">
        <f t="shared" si="8"/>
        <v xml:space="preserve"> - </v>
      </c>
    </row>
    <row r="99" spans="2:7" x14ac:dyDescent="0.2">
      <c r="B99" s="112" t="s">
        <v>86</v>
      </c>
      <c r="C99" s="17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70">
        <f>ABS('2.1 Profit &amp; Loss by component'!$F$26)*INDEX('2.2 Allocation to services'!$D$68:$D$77,MATCH('6. Pricing template'!B86,'2.2 Allocation to services'!$C$68:$C$77,0),1)/(Yearending-Yearstart)*365</f>
        <v>0</v>
      </c>
      <c r="E99" s="166" t="str">
        <f t="shared" si="8"/>
        <v xml:space="preserve"> - </v>
      </c>
    </row>
    <row r="100" spans="2:7" x14ac:dyDescent="0.2">
      <c r="B100" s="112" t="s">
        <v>88</v>
      </c>
      <c r="C100" s="17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70">
        <f>ABS('2.1 Profit &amp; Loss by component'!$F$26)*INDEX('2.2 Allocation to services'!$D$68:$D$77,MATCH('6. Pricing template'!B87,'2.2 Allocation to services'!$C$68:$C$77,0),1)/(Yearending-Yearstart)*365</f>
        <v>0</v>
      </c>
      <c r="E100" s="166" t="str">
        <f t="shared" si="8"/>
        <v xml:space="preserve"> - </v>
      </c>
    </row>
    <row r="101" spans="2:7" x14ac:dyDescent="0.2">
      <c r="B101" s="112" t="s">
        <v>90</v>
      </c>
      <c r="C101" s="17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0</v>
      </c>
      <c r="D101" s="170">
        <f>ABS('2.1 Profit &amp; Loss by component'!$F$26)*INDEX('2.2 Allocation to services'!$D$68:$D$77,MATCH('6. Pricing template'!B88,'2.2 Allocation to services'!$C$68:$C$77,0),1)/(Yearending-Yearstart)*365</f>
        <v>0</v>
      </c>
      <c r="E101" s="166" t="str">
        <f t="shared" si="8"/>
        <v xml:space="preserve"> - </v>
      </c>
    </row>
    <row r="103" spans="2:7" s="171" customFormat="1" ht="27" customHeight="1" x14ac:dyDescent="0.2">
      <c r="B103" s="164" t="s">
        <v>442</v>
      </c>
      <c r="C103" s="172" t="s">
        <v>443</v>
      </c>
      <c r="D103" s="172" t="s">
        <v>444</v>
      </c>
      <c r="E103" s="172" t="s">
        <v>437</v>
      </c>
      <c r="F103" s="173" t="s">
        <v>425</v>
      </c>
      <c r="G103" s="200" t="s">
        <v>426</v>
      </c>
    </row>
    <row r="104" spans="2:7" x14ac:dyDescent="0.2">
      <c r="B104" s="112" t="s">
        <v>78</v>
      </c>
      <c r="C104" s="170">
        <f>ABS('2.1 Profit &amp; Loss by component'!$F$26+'2.1 Profit &amp; Loss by component'!$F$37)*INDEX('2.2 Allocation to services'!$D$68:$D$77,MATCH(B104,'2.2 Allocation to services'!$C$68:$C$77,0),1)</f>
        <v>132844842.93994002</v>
      </c>
      <c r="D104" s="170">
        <f>ABS('2.1 Profit &amp; Loss by component'!$F$26*INDEX('2.2 Allocation to services'!$D$68:$D$77,MATCH(B104,'2.2 Allocation to services'!$C$68:$C$77,0),1))</f>
        <v>132557397.21621925</v>
      </c>
      <c r="E104" s="169">
        <f>INDEX('5. Historical demand'!$C$26:$C$35,MATCH(B104,'5. Historical demand'!$B$26:$B$35,0),1)*(Yearending-Yearstart)</f>
        <v>549640</v>
      </c>
      <c r="F104" s="201">
        <f>IFERROR(C104/(E104*1000)," - ")</f>
        <v>0.24169427796364898</v>
      </c>
      <c r="G104" s="201">
        <f>IFERROR(D104/(E104*1000)," - ")</f>
        <v>0.24117130706684239</v>
      </c>
    </row>
    <row r="105" spans="2:7" x14ac:dyDescent="0.2">
      <c r="B105" s="112" t="s">
        <v>80</v>
      </c>
      <c r="C105" s="170">
        <f>ABS('2.1 Profit &amp; Loss by component'!$F$26+'2.1 Profit &amp; Loss by component'!$F$37)*INDEX('2.2 Allocation to services'!$D$68:$D$77,MATCH(B105,'2.2 Allocation to services'!$C$68:$C$77,0),1)</f>
        <v>0</v>
      </c>
      <c r="D105" s="170">
        <f>ABS('2.1 Profit &amp; Loss by component'!$F$26*INDEX('2.2 Allocation to services'!$D$68:$D$77,MATCH(B105,'2.2 Allocation to services'!$C$68:$C$77,0),1))</f>
        <v>0</v>
      </c>
      <c r="E105" s="169">
        <f>INDEX('5. Historical demand'!$C$26:$C$35,MATCH(B105,'5. Historical demand'!$B$26:$B$35,0),1)*(Yearending-Yearstart)</f>
        <v>0</v>
      </c>
      <c r="F105" s="201" t="str">
        <f t="shared" ref="F105:F113" si="9">IFERROR(C105/(E105*1000)," - ")</f>
        <v xml:space="preserve"> - </v>
      </c>
      <c r="G105" s="201" t="str">
        <f t="shared" ref="G105:G113" si="10">IFERROR(D105/(E105*1000)," - ")</f>
        <v xml:space="preserve"> - </v>
      </c>
    </row>
    <row r="106" spans="2:7" x14ac:dyDescent="0.2">
      <c r="B106" s="112" t="s">
        <v>81</v>
      </c>
      <c r="C106" s="170">
        <f>ABS('2.1 Profit &amp; Loss by component'!$F$26+'2.1 Profit &amp; Loss by component'!$F$37)*INDEX('2.2 Allocation to services'!$D$68:$D$77,MATCH(B106,'2.2 Allocation to services'!$C$68:$C$77,0),1)</f>
        <v>0</v>
      </c>
      <c r="D106" s="170">
        <f>ABS('2.1 Profit &amp; Loss by component'!$F$26*INDEX('2.2 Allocation to services'!$D$68:$D$77,MATCH(B106,'2.2 Allocation to services'!$C$68:$C$77,0),1))</f>
        <v>0</v>
      </c>
      <c r="E106" s="169">
        <f>INDEX('5. Historical demand'!$C$26:$C$35,MATCH(B106,'5. Historical demand'!$B$26:$B$35,0),1)*(Yearending-Yearstart)</f>
        <v>0</v>
      </c>
      <c r="F106" s="201" t="str">
        <f t="shared" si="9"/>
        <v xml:space="preserve"> - </v>
      </c>
      <c r="G106" s="201" t="str">
        <f t="shared" si="10"/>
        <v xml:space="preserve"> - </v>
      </c>
    </row>
    <row r="107" spans="2:7" x14ac:dyDescent="0.2">
      <c r="B107" s="112" t="s">
        <v>82</v>
      </c>
      <c r="C107" s="170">
        <f>ABS('2.1 Profit &amp; Loss by component'!$F$26+'2.1 Profit &amp; Loss by component'!$F$37)*INDEX('2.2 Allocation to services'!$D$68:$D$77,MATCH(B107,'2.2 Allocation to services'!$C$68:$C$77,0),1)</f>
        <v>0</v>
      </c>
      <c r="D107" s="170">
        <f>ABS('2.1 Profit &amp; Loss by component'!$F$26*INDEX('2.2 Allocation to services'!$D$68:$D$77,MATCH(B107,'2.2 Allocation to services'!$C$68:$C$77,0),1))</f>
        <v>0</v>
      </c>
      <c r="E107" s="169">
        <f>INDEX('5. Historical demand'!$C$26:$C$35,MATCH(B107,'5. Historical demand'!$B$26:$B$35,0),1)*(Yearending-Yearstart)</f>
        <v>0</v>
      </c>
      <c r="F107" s="201" t="str">
        <f t="shared" si="9"/>
        <v xml:space="preserve"> - </v>
      </c>
      <c r="G107" s="201" t="str">
        <f t="shared" si="10"/>
        <v xml:space="preserve"> - </v>
      </c>
    </row>
    <row r="108" spans="2:7" x14ac:dyDescent="0.2">
      <c r="B108" s="194" t="s">
        <v>83</v>
      </c>
      <c r="C108" s="170">
        <f>ABS('2.1 Profit &amp; Loss by component'!$F$26+'2.1 Profit &amp; Loss by component'!$F$37)*INDEX('2.2 Allocation to services'!$D$68:$D$77,MATCH(B108,'2.2 Allocation to services'!$C$68:$C$77,0),1)</f>
        <v>0</v>
      </c>
      <c r="D108" s="170">
        <f>ABS('2.1 Profit &amp; Loss by component'!$F$26*INDEX('2.2 Allocation to services'!$D$68:$D$77,MATCH(B108,'2.2 Allocation to services'!$C$68:$C$77,0),1))</f>
        <v>0</v>
      </c>
      <c r="E108" s="169">
        <f>INDEX('5. Historical demand'!$C$26:$C$35,MATCH(B108,'5. Historical demand'!$B$26:$B$35,0),1)*(Yearending-Yearstart)</f>
        <v>0</v>
      </c>
      <c r="F108" s="201" t="str">
        <f t="shared" si="9"/>
        <v xml:space="preserve"> - </v>
      </c>
      <c r="G108" s="201" t="str">
        <f t="shared" si="10"/>
        <v xml:space="preserve"> - </v>
      </c>
    </row>
    <row r="109" spans="2:7" x14ac:dyDescent="0.2">
      <c r="B109" s="112" t="s">
        <v>84</v>
      </c>
      <c r="C109" s="170">
        <f>ABS('2.1 Profit &amp; Loss by component'!$F$26+'2.1 Profit &amp; Loss by component'!$F$37)*INDEX('2.2 Allocation to services'!$D$68:$D$77,MATCH(B109,'2.2 Allocation to services'!$C$68:$C$77,0),1)</f>
        <v>17.321259975413167</v>
      </c>
      <c r="D109" s="170">
        <f>ABS('2.1 Profit &amp; Loss by component'!$F$26*INDEX('2.2 Allocation to services'!$D$68:$D$77,MATCH(B109,'2.2 Allocation to services'!$C$68:$C$77,0),1))</f>
        <v>17.283780747772852</v>
      </c>
      <c r="E109" s="169">
        <f>INDEX('5. Historical demand'!$C$26:$C$35,MATCH(B109,'5. Historical demand'!$B$26:$B$35,0),1)*(Yearending-Yearstart)</f>
        <v>0</v>
      </c>
      <c r="F109" s="201" t="str">
        <f t="shared" si="9"/>
        <v xml:space="preserve"> - </v>
      </c>
      <c r="G109" s="201" t="str">
        <f t="shared" si="10"/>
        <v xml:space="preserve"> - </v>
      </c>
    </row>
    <row r="110" spans="2:7" x14ac:dyDescent="0.2">
      <c r="B110" s="112" t="s">
        <v>85</v>
      </c>
      <c r="C110" s="170">
        <f>ABS('2.1 Profit &amp; Loss by component'!$F$26+'2.1 Profit &amp; Loss by component'!$F$37)*INDEX('2.2 Allocation to services'!$D$68:$D$77,MATCH(B110,'2.2 Allocation to services'!$C$68:$C$77,0),1)</f>
        <v>0</v>
      </c>
      <c r="D110" s="170">
        <f>ABS('2.1 Profit &amp; Loss by component'!$F$26*INDEX('2.2 Allocation to services'!$D$68:$D$77,MATCH(B110,'2.2 Allocation to services'!$C$68:$C$77,0),1))</f>
        <v>0</v>
      </c>
      <c r="E110" s="169">
        <f>INDEX('5. Historical demand'!$C$26:$C$35,MATCH(B110,'5. Historical demand'!$B$26:$B$35,0),1)*(Yearending-Yearstart)</f>
        <v>0</v>
      </c>
      <c r="F110" s="201" t="str">
        <f t="shared" si="9"/>
        <v xml:space="preserve"> - </v>
      </c>
      <c r="G110" s="201" t="str">
        <f t="shared" si="10"/>
        <v xml:space="preserve"> - </v>
      </c>
    </row>
    <row r="111" spans="2:7" x14ac:dyDescent="0.2">
      <c r="B111" s="112" t="s">
        <v>86</v>
      </c>
      <c r="C111" s="170">
        <f>ABS('2.1 Profit &amp; Loss by component'!$F$26+'2.1 Profit &amp; Loss by component'!$F$37)*INDEX('2.2 Allocation to services'!$D$68:$D$77,MATCH(B111,'2.2 Allocation to services'!$C$68:$C$77,0),1)</f>
        <v>0</v>
      </c>
      <c r="D111" s="170">
        <f>ABS('2.1 Profit &amp; Loss by component'!$F$26*INDEX('2.2 Allocation to services'!$D$68:$D$77,MATCH(B111,'2.2 Allocation to services'!$C$68:$C$77,0),1))</f>
        <v>0</v>
      </c>
      <c r="E111" s="169">
        <f>INDEX('5. Historical demand'!$C$26:$C$35,MATCH(B111,'5. Historical demand'!$B$26:$B$35,0),1)*(Yearending-Yearstart)</f>
        <v>0</v>
      </c>
      <c r="F111" s="201" t="str">
        <f t="shared" si="9"/>
        <v xml:space="preserve"> - </v>
      </c>
      <c r="G111" s="201" t="str">
        <f t="shared" si="10"/>
        <v xml:space="preserve"> - </v>
      </c>
    </row>
    <row r="112" spans="2:7" x14ac:dyDescent="0.2">
      <c r="B112" s="112" t="s">
        <v>88</v>
      </c>
      <c r="C112" s="170">
        <f>ABS('2.1 Profit &amp; Loss by component'!$F$26+'2.1 Profit &amp; Loss by component'!$F$37)*INDEX('2.2 Allocation to services'!$D$68:$D$77,MATCH(B112,'2.2 Allocation to services'!$C$68:$C$77,0),1)</f>
        <v>0</v>
      </c>
      <c r="D112" s="170">
        <f>ABS('2.1 Profit &amp; Loss by component'!$F$26*INDEX('2.2 Allocation to services'!$D$68:$D$77,MATCH(B112,'2.2 Allocation to services'!$C$68:$C$77,0),1))</f>
        <v>0</v>
      </c>
      <c r="E112" s="169">
        <f>INDEX('5. Historical demand'!$C$26:$C$35,MATCH(B112,'5. Historical demand'!$B$26:$B$35,0),1)*(Yearending-Yearstart)</f>
        <v>0</v>
      </c>
      <c r="F112" s="201" t="str">
        <f t="shared" si="9"/>
        <v xml:space="preserve"> - </v>
      </c>
      <c r="G112" s="201" t="str">
        <f t="shared" si="10"/>
        <v xml:space="preserve"> - </v>
      </c>
    </row>
    <row r="113" spans="2:7" x14ac:dyDescent="0.2">
      <c r="B113" s="112" t="s">
        <v>90</v>
      </c>
      <c r="C113" s="170">
        <f>ABS('2.1 Profit &amp; Loss by component'!$F$26+'2.1 Profit &amp; Loss by component'!$F$37)*INDEX('2.2 Allocation to services'!$D$68:$D$77,MATCH(B113,'2.2 Allocation to services'!$C$68:$C$77,0),1)</f>
        <v>0</v>
      </c>
      <c r="D113" s="170">
        <f>ABS('2.1 Profit &amp; Loss by component'!$F$26*INDEX('2.2 Allocation to services'!$D$68:$D$77,MATCH(B113,'2.2 Allocation to services'!$C$68:$C$77,0),1))</f>
        <v>0</v>
      </c>
      <c r="E113" s="169">
        <f>INDEX('5. Historical demand'!$C$26:$C$35,MATCH(B113,'5. Historical demand'!$B$26:$B$35,0),1)*(Yearending-Yearstart)</f>
        <v>0</v>
      </c>
      <c r="F113" s="201" t="str">
        <f t="shared" si="9"/>
        <v xml:space="preserve"> - </v>
      </c>
      <c r="G113" s="201" t="str">
        <f t="shared" si="10"/>
        <v xml:space="preserve"> - </v>
      </c>
    </row>
    <row r="114" spans="2:7" ht="15.75" x14ac:dyDescent="0.25">
      <c r="B114" s="189"/>
    </row>
    <row r="115" spans="2:7" s="171" customFormat="1" ht="24.75" customHeight="1" x14ac:dyDescent="0.2">
      <c r="B115" s="164" t="s">
        <v>445</v>
      </c>
      <c r="C115" s="202" t="s">
        <v>446</v>
      </c>
      <c r="D115" s="202" t="s">
        <v>441</v>
      </c>
      <c r="E115" s="202" t="s">
        <v>447</v>
      </c>
      <c r="F115" s="172" t="s">
        <v>437</v>
      </c>
      <c r="G115" s="200" t="s">
        <v>427</v>
      </c>
    </row>
    <row r="116" spans="2:7" x14ac:dyDescent="0.2">
      <c r="B116" s="112" t="s">
        <v>78</v>
      </c>
      <c r="C116" s="110">
        <f>'4. Recovered Capital'!$E$37*C21</f>
        <v>0</v>
      </c>
      <c r="D116" s="166">
        <f>E92</f>
        <v>9.5584263588413272</v>
      </c>
      <c r="E116" s="110">
        <f t="shared" ref="E116:E125" si="11">IFERROR(C116/D116, " - ")</f>
        <v>0</v>
      </c>
      <c r="F116" s="169">
        <f>INDEX('5. Historical demand'!$C$26:$C$35,MATCH(B116,'5. Historical demand'!$B$26:$B$35,0),1)*(Yearending-Yearstart)</f>
        <v>549640</v>
      </c>
      <c r="G116" s="201">
        <f>IFERROR(E116/(E104*1000), " - ")</f>
        <v>0</v>
      </c>
    </row>
    <row r="117" spans="2:7" x14ac:dyDescent="0.2">
      <c r="B117" s="112" t="s">
        <v>80</v>
      </c>
      <c r="C117" s="110">
        <f>'4. Recovered Capital'!$E$37*C22</f>
        <v>0</v>
      </c>
      <c r="D117" s="166" t="str">
        <f t="shared" ref="D117:D125" si="12">E93</f>
        <v xml:space="preserve"> - </v>
      </c>
      <c r="E117" s="110" t="str">
        <f t="shared" si="11"/>
        <v xml:space="preserve"> - </v>
      </c>
      <c r="F117" s="169">
        <f>INDEX('5. Historical demand'!$C$26:$C$35,MATCH(B117,'5. Historical demand'!$B$26:$B$35,0),1)*(Yearending-Yearstart)</f>
        <v>0</v>
      </c>
      <c r="G117" s="201" t="str">
        <f t="shared" ref="G117:G125" si="13">IFERROR(E117/(E105*1000), " - ")</f>
        <v xml:space="preserve"> - </v>
      </c>
    </row>
    <row r="118" spans="2:7" x14ac:dyDescent="0.2">
      <c r="B118" s="112" t="s">
        <v>81</v>
      </c>
      <c r="C118" s="110">
        <f>'4. Recovered Capital'!$E$37*C23</f>
        <v>0</v>
      </c>
      <c r="D118" s="166" t="str">
        <f t="shared" si="12"/>
        <v xml:space="preserve"> - </v>
      </c>
      <c r="E118" s="110" t="str">
        <f t="shared" si="11"/>
        <v xml:space="preserve"> - </v>
      </c>
      <c r="F118" s="169">
        <f>INDEX('5. Historical demand'!$C$26:$C$35,MATCH(B118,'5. Historical demand'!$B$26:$B$35,0),1)*(Yearending-Yearstart)</f>
        <v>0</v>
      </c>
      <c r="G118" s="201" t="str">
        <f t="shared" si="13"/>
        <v xml:space="preserve"> - </v>
      </c>
    </row>
    <row r="119" spans="2:7" x14ac:dyDescent="0.2">
      <c r="B119" s="112" t="s">
        <v>82</v>
      </c>
      <c r="C119" s="110">
        <f>'4. Recovered Capital'!$E$37*C24</f>
        <v>0</v>
      </c>
      <c r="D119" s="166" t="str">
        <f t="shared" si="12"/>
        <v xml:space="preserve"> - </v>
      </c>
      <c r="E119" s="110" t="str">
        <f t="shared" si="11"/>
        <v xml:space="preserve"> - </v>
      </c>
      <c r="F119" s="169">
        <f>INDEX('5. Historical demand'!$C$26:$C$35,MATCH(B119,'5. Historical demand'!$B$26:$B$35,0),1)*(Yearending-Yearstart)</f>
        <v>0</v>
      </c>
      <c r="G119" s="201" t="str">
        <f t="shared" si="13"/>
        <v xml:space="preserve"> - </v>
      </c>
    </row>
    <row r="120" spans="2:7" x14ac:dyDescent="0.2">
      <c r="B120" s="194" t="s">
        <v>83</v>
      </c>
      <c r="C120" s="110">
        <f>'4. Recovered Capital'!$E$37*C25</f>
        <v>0</v>
      </c>
      <c r="D120" s="166" t="str">
        <f t="shared" si="12"/>
        <v xml:space="preserve"> - </v>
      </c>
      <c r="E120" s="110" t="str">
        <f t="shared" si="11"/>
        <v xml:space="preserve"> - </v>
      </c>
      <c r="F120" s="169">
        <f>INDEX('5. Historical demand'!$C$26:$C$35,MATCH(B120,'5. Historical demand'!$B$26:$B$35,0),1)*(Yearending-Yearstart)</f>
        <v>0</v>
      </c>
      <c r="G120" s="201" t="str">
        <f t="shared" si="13"/>
        <v xml:space="preserve"> - </v>
      </c>
    </row>
    <row r="121" spans="2:7" x14ac:dyDescent="0.2">
      <c r="B121" s="112" t="s">
        <v>84</v>
      </c>
      <c r="C121" s="110">
        <f>'4. Recovered Capital'!$E$37*C26</f>
        <v>0</v>
      </c>
      <c r="D121" s="166">
        <f t="shared" si="12"/>
        <v>9.5584263588413254</v>
      </c>
      <c r="E121" s="110">
        <f t="shared" si="11"/>
        <v>0</v>
      </c>
      <c r="F121" s="169">
        <f>INDEX('5. Historical demand'!$C$26:$C$35,MATCH(B121,'5. Historical demand'!$B$26:$B$35,0),1)*(Yearending-Yearstart)</f>
        <v>0</v>
      </c>
      <c r="G121" s="201" t="str">
        <f t="shared" si="13"/>
        <v xml:space="preserve"> - </v>
      </c>
    </row>
    <row r="122" spans="2:7" x14ac:dyDescent="0.2">
      <c r="B122" s="112" t="s">
        <v>85</v>
      </c>
      <c r="C122" s="110">
        <f>'4. Recovered Capital'!$E$37*C27</f>
        <v>0</v>
      </c>
      <c r="D122" s="166" t="str">
        <f t="shared" si="12"/>
        <v xml:space="preserve"> - </v>
      </c>
      <c r="E122" s="110" t="str">
        <f t="shared" si="11"/>
        <v xml:space="preserve"> - </v>
      </c>
      <c r="F122" s="169">
        <f>INDEX('5. Historical demand'!$C$26:$C$35,MATCH(B122,'5. Historical demand'!$B$26:$B$35,0),1)*(Yearending-Yearstart)</f>
        <v>0</v>
      </c>
      <c r="G122" s="201" t="str">
        <f t="shared" si="13"/>
        <v xml:space="preserve"> - </v>
      </c>
    </row>
    <row r="123" spans="2:7" x14ac:dyDescent="0.2">
      <c r="B123" s="112" t="s">
        <v>86</v>
      </c>
      <c r="C123" s="110">
        <f>'4. Recovered Capital'!$E$37*C28</f>
        <v>0</v>
      </c>
      <c r="D123" s="166" t="str">
        <f t="shared" si="12"/>
        <v xml:space="preserve"> - </v>
      </c>
      <c r="E123" s="110" t="str">
        <f t="shared" si="11"/>
        <v xml:space="preserve"> - </v>
      </c>
      <c r="F123" s="169">
        <f>INDEX('5. Historical demand'!$C$26:$C$35,MATCH(B123,'5. Historical demand'!$B$26:$B$35,0),1)*(Yearending-Yearstart)</f>
        <v>0</v>
      </c>
      <c r="G123" s="201" t="str">
        <f t="shared" si="13"/>
        <v xml:space="preserve"> - </v>
      </c>
    </row>
    <row r="124" spans="2:7" x14ac:dyDescent="0.2">
      <c r="B124" s="112" t="s">
        <v>88</v>
      </c>
      <c r="C124" s="110">
        <f>'4. Recovered Capital'!$E$37*C29</f>
        <v>0</v>
      </c>
      <c r="D124" s="166" t="str">
        <f t="shared" si="12"/>
        <v xml:space="preserve"> - </v>
      </c>
      <c r="E124" s="110" t="str">
        <f t="shared" si="11"/>
        <v xml:space="preserve"> - </v>
      </c>
      <c r="F124" s="169">
        <f>INDEX('5. Historical demand'!$C$26:$C$35,MATCH(B124,'5. Historical demand'!$B$26:$B$35,0),1)*(Yearending-Yearstart)</f>
        <v>0</v>
      </c>
      <c r="G124" s="201" t="str">
        <f t="shared" si="13"/>
        <v xml:space="preserve"> - </v>
      </c>
    </row>
    <row r="125" spans="2:7" x14ac:dyDescent="0.2">
      <c r="B125" s="112" t="s">
        <v>90</v>
      </c>
      <c r="C125" s="110">
        <f>'4. Recovered Capital'!$E$37*C30</f>
        <v>0</v>
      </c>
      <c r="D125" s="166" t="str">
        <f t="shared" si="12"/>
        <v xml:space="preserve"> - </v>
      </c>
      <c r="E125" s="110" t="str">
        <f t="shared" si="11"/>
        <v xml:space="preserve"> - </v>
      </c>
      <c r="F125" s="169">
        <f>INDEX('5. Historical demand'!$C$26:$C$35,MATCH(B125,'5. Historical demand'!$B$26:$B$35,0),1)*(Yearending-Yearstart)</f>
        <v>0</v>
      </c>
      <c r="G125" s="201" t="str">
        <f t="shared" si="13"/>
        <v xml:space="preserve"> - </v>
      </c>
    </row>
    <row r="127" spans="2:7" ht="15.75" x14ac:dyDescent="0.25">
      <c r="B127" s="183" t="s">
        <v>448</v>
      </c>
    </row>
    <row r="128" spans="2:7" x14ac:dyDescent="0.2">
      <c r="B128" s="167" t="s">
        <v>449</v>
      </c>
      <c r="C128" s="167"/>
    </row>
    <row r="129" spans="2:10" x14ac:dyDescent="0.2">
      <c r="B129" s="167" t="s">
        <v>450</v>
      </c>
      <c r="C129" s="203"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67" t="s">
        <v>451</v>
      </c>
      <c r="C130" s="203" t="str">
        <f>IFERROR((C129-E21*E22)/(1-E22), " - ")</f>
        <v xml:space="preserve"> - </v>
      </c>
    </row>
    <row r="131" spans="2:10" x14ac:dyDescent="0.2">
      <c r="B131" s="167" t="s">
        <v>452</v>
      </c>
      <c r="C131" s="203" t="str">
        <f>IFERROR(C130/(1-E23*(1-E24))," - ")</f>
        <v xml:space="preserve"> - </v>
      </c>
    </row>
    <row r="132" spans="2:10" x14ac:dyDescent="0.2">
      <c r="B132" s="167" t="s">
        <v>453</v>
      </c>
      <c r="C132" s="203" t="str">
        <f>IFERROR(C131-C130," - ")</f>
        <v xml:space="preserve"> - </v>
      </c>
    </row>
    <row r="133" spans="2:10" x14ac:dyDescent="0.2">
      <c r="B133" s="167" t="s">
        <v>454</v>
      </c>
      <c r="C133" s="203" t="str">
        <f>IFERROR(C132*(1-E22)," - ")</f>
        <v xml:space="preserve"> - </v>
      </c>
    </row>
    <row r="134" spans="2:10" x14ac:dyDescent="0.2">
      <c r="B134" s="167" t="s">
        <v>455</v>
      </c>
      <c r="C134" s="203" t="str">
        <f>IFERROR(C129+C133," - ")</f>
        <v xml:space="preserve"> - </v>
      </c>
    </row>
    <row r="136" spans="2:10" s="277" customFormat="1" ht="26.25" customHeight="1" x14ac:dyDescent="0.2">
      <c r="B136" s="275" t="s">
        <v>456</v>
      </c>
      <c r="C136" s="172" t="s">
        <v>457</v>
      </c>
      <c r="D136" s="202" t="s">
        <v>450</v>
      </c>
      <c r="E136" s="202" t="s">
        <v>454</v>
      </c>
      <c r="F136" s="202" t="s">
        <v>364</v>
      </c>
      <c r="G136" s="202" t="s">
        <v>458</v>
      </c>
      <c r="H136" s="172" t="s">
        <v>437</v>
      </c>
      <c r="I136" s="276" t="s">
        <v>430</v>
      </c>
      <c r="J136" s="276" t="s">
        <v>431</v>
      </c>
    </row>
    <row r="137" spans="2:10" x14ac:dyDescent="0.2">
      <c r="B137" s="112" t="s">
        <v>78</v>
      </c>
      <c r="C137" s="110">
        <f>IF(Cover!$C$23="Scheme pipeline",'3.2 Regulatory Asset Base'!$H$78*'6. Pricing template'!C21,C92+'3.1 Depreciated Book Value'!$D$80*'6. Pricing template'!C21)</f>
        <v>1272017840.1152217</v>
      </c>
      <c r="D137" s="203" t="str">
        <f t="shared" ref="D137:D146" si="14">$C$129</f>
        <v xml:space="preserve"> - </v>
      </c>
      <c r="E137" s="203" t="str">
        <f t="shared" ref="E137:E146" si="15">$C$133</f>
        <v xml:space="preserve"> - </v>
      </c>
      <c r="F137" s="110" t="str">
        <f t="shared" ref="F137:F146" si="16">IFERROR(C137*D137, " -")</f>
        <v xml:space="preserve"> -</v>
      </c>
      <c r="G137" s="110" t="str">
        <f t="shared" ref="G137:G146" si="17">IFERROR(C137*E137, " -")</f>
        <v xml:space="preserve"> -</v>
      </c>
      <c r="H137" s="169">
        <f>INDEX('5. Historical demand'!$C$26:$C$35,MATCH(B137,'5. Historical demand'!$B$26:$B$35,0),1)*(Yearending-Yearstart)</f>
        <v>549640</v>
      </c>
      <c r="I137" s="201" t="str">
        <f>IFERROR(F137/(H137*1000)," - ")</f>
        <v xml:space="preserve"> - </v>
      </c>
      <c r="J137" s="201" t="str">
        <f>IFERROR(G137/(H137*1000)," - ")</f>
        <v xml:space="preserve"> - </v>
      </c>
    </row>
    <row r="138" spans="2:10" x14ac:dyDescent="0.2">
      <c r="B138" s="112" t="s">
        <v>80</v>
      </c>
      <c r="C138" s="110">
        <f>IF(Cover!$C$23="Scheme pipeline",'3.2 Regulatory Asset Base'!$H$78*'6. Pricing template'!C22,C93+'3.1 Depreciated Book Value'!$D$80*'6. Pricing template'!C22)</f>
        <v>0</v>
      </c>
      <c r="D138" s="203" t="str">
        <f t="shared" si="14"/>
        <v xml:space="preserve"> - </v>
      </c>
      <c r="E138" s="203" t="str">
        <f t="shared" si="15"/>
        <v xml:space="preserve"> - </v>
      </c>
      <c r="F138" s="110" t="str">
        <f t="shared" si="16"/>
        <v xml:space="preserve"> -</v>
      </c>
      <c r="G138" s="110" t="str">
        <f t="shared" si="17"/>
        <v xml:space="preserve"> -</v>
      </c>
      <c r="H138" s="169">
        <f>INDEX('5. Historical demand'!$C$26:$C$35,MATCH(B138,'5. Historical demand'!$B$26:$B$35,0),1)*(Yearending-Yearstart)</f>
        <v>0</v>
      </c>
      <c r="I138" s="201" t="str">
        <f t="shared" ref="I138:I146" si="18">IFERROR(F138/(H138*1000)," - ")</f>
        <v xml:space="preserve"> - </v>
      </c>
      <c r="J138" s="201" t="str">
        <f t="shared" ref="J138:J146" si="19">IFERROR(G138/(H138*1000)," - ")</f>
        <v xml:space="preserve"> - </v>
      </c>
    </row>
    <row r="139" spans="2:10" x14ac:dyDescent="0.2">
      <c r="B139" s="112" t="s">
        <v>81</v>
      </c>
      <c r="C139" s="110">
        <f>IF(Cover!$C$23="Scheme pipeline",'3.2 Regulatory Asset Base'!$H$78*'6. Pricing template'!C23,C94+'3.1 Depreciated Book Value'!$D$80*'6. Pricing template'!C23)</f>
        <v>0</v>
      </c>
      <c r="D139" s="203" t="str">
        <f t="shared" si="14"/>
        <v xml:space="preserve"> - </v>
      </c>
      <c r="E139" s="203" t="str">
        <f t="shared" si="15"/>
        <v xml:space="preserve"> - </v>
      </c>
      <c r="F139" s="110" t="str">
        <f t="shared" si="16"/>
        <v xml:space="preserve"> -</v>
      </c>
      <c r="G139" s="110" t="str">
        <f t="shared" si="17"/>
        <v xml:space="preserve"> -</v>
      </c>
      <c r="H139" s="169">
        <f>INDEX('5. Historical demand'!$C$26:$C$35,MATCH(B139,'5. Historical demand'!$B$26:$B$35,0),1)*(Yearending-Yearstart)</f>
        <v>0</v>
      </c>
      <c r="I139" s="201" t="str">
        <f t="shared" si="18"/>
        <v xml:space="preserve"> - </v>
      </c>
      <c r="J139" s="201" t="str">
        <f t="shared" si="19"/>
        <v xml:space="preserve"> - </v>
      </c>
    </row>
    <row r="140" spans="2:10" x14ac:dyDescent="0.2">
      <c r="B140" s="112" t="s">
        <v>82</v>
      </c>
      <c r="C140" s="110">
        <f>IF(Cover!$C$23="Scheme pipeline",'3.2 Regulatory Asset Base'!$H$78*'6. Pricing template'!C24,C95+'3.1 Depreciated Book Value'!$D$80*'6. Pricing template'!C24)</f>
        <v>0</v>
      </c>
      <c r="D140" s="203" t="str">
        <f t="shared" si="14"/>
        <v xml:space="preserve"> - </v>
      </c>
      <c r="E140" s="203" t="str">
        <f t="shared" si="15"/>
        <v xml:space="preserve"> - </v>
      </c>
      <c r="F140" s="110" t="str">
        <f t="shared" si="16"/>
        <v xml:space="preserve"> -</v>
      </c>
      <c r="G140" s="110" t="str">
        <f t="shared" si="17"/>
        <v xml:space="preserve"> -</v>
      </c>
      <c r="H140" s="169">
        <f>INDEX('5. Historical demand'!$C$26:$C$35,MATCH(B140,'5. Historical demand'!$B$26:$B$35,0),1)*(Yearending-Yearstart)</f>
        <v>0</v>
      </c>
      <c r="I140" s="201" t="str">
        <f t="shared" si="18"/>
        <v xml:space="preserve"> - </v>
      </c>
      <c r="J140" s="201" t="str">
        <f t="shared" si="19"/>
        <v xml:space="preserve"> - </v>
      </c>
    </row>
    <row r="141" spans="2:10" x14ac:dyDescent="0.2">
      <c r="B141" s="194" t="s">
        <v>83</v>
      </c>
      <c r="C141" s="110">
        <f>IF(Cover!$C$23="Scheme pipeline",'3.2 Regulatory Asset Base'!$H$78*'6. Pricing template'!C25,C96+'3.1 Depreciated Book Value'!$D$80*'6. Pricing template'!C25)</f>
        <v>0</v>
      </c>
      <c r="D141" s="203" t="str">
        <f t="shared" si="14"/>
        <v xml:space="preserve"> - </v>
      </c>
      <c r="E141" s="203" t="str">
        <f t="shared" si="15"/>
        <v xml:space="preserve"> - </v>
      </c>
      <c r="F141" s="110" t="str">
        <f t="shared" si="16"/>
        <v xml:space="preserve"> -</v>
      </c>
      <c r="G141" s="110" t="str">
        <f t="shared" si="17"/>
        <v xml:space="preserve"> -</v>
      </c>
      <c r="H141" s="169">
        <f>INDEX('5. Historical demand'!$C$26:$C$35,MATCH(B141,'5. Historical demand'!$B$26:$B$35,0),1)*(Yearending-Yearstart)</f>
        <v>0</v>
      </c>
      <c r="I141" s="201" t="str">
        <f t="shared" si="18"/>
        <v xml:space="preserve"> - </v>
      </c>
      <c r="J141" s="201" t="str">
        <f t="shared" si="19"/>
        <v xml:space="preserve"> - </v>
      </c>
    </row>
    <row r="142" spans="2:10" x14ac:dyDescent="0.2">
      <c r="B142" s="112" t="s">
        <v>84</v>
      </c>
      <c r="C142" s="110">
        <f>IF(Cover!$C$23="Scheme pipeline",'3.2 Regulatory Asset Base'!$H$78*'6. Pricing template'!C26,C97+'3.1 Depreciated Book Value'!$D$80*'6. Pricing template'!C26)</f>
        <v>165.85477625172493</v>
      </c>
      <c r="D142" s="203" t="str">
        <f t="shared" si="14"/>
        <v xml:space="preserve"> - </v>
      </c>
      <c r="E142" s="203" t="str">
        <f t="shared" si="15"/>
        <v xml:space="preserve"> - </v>
      </c>
      <c r="F142" s="110" t="str">
        <f t="shared" si="16"/>
        <v xml:space="preserve"> -</v>
      </c>
      <c r="G142" s="110" t="str">
        <f t="shared" si="17"/>
        <v xml:space="preserve"> -</v>
      </c>
      <c r="H142" s="169">
        <f>INDEX('5. Historical demand'!$C$26:$C$35,MATCH(B142,'5. Historical demand'!$B$26:$B$35,0),1)*(Yearending-Yearstart)</f>
        <v>0</v>
      </c>
      <c r="I142" s="201" t="str">
        <f t="shared" si="18"/>
        <v xml:space="preserve"> - </v>
      </c>
      <c r="J142" s="201" t="str">
        <f t="shared" si="19"/>
        <v xml:space="preserve"> - </v>
      </c>
    </row>
    <row r="143" spans="2:10" x14ac:dyDescent="0.2">
      <c r="B143" s="112" t="s">
        <v>85</v>
      </c>
      <c r="C143" s="110">
        <f>IF(Cover!$C$23="Scheme pipeline",'3.2 Regulatory Asset Base'!$H$78*'6. Pricing template'!C27,C98+'3.1 Depreciated Book Value'!$D$80*'6. Pricing template'!C27)</f>
        <v>0</v>
      </c>
      <c r="D143" s="203" t="str">
        <f t="shared" si="14"/>
        <v xml:space="preserve"> - </v>
      </c>
      <c r="E143" s="203" t="str">
        <f t="shared" si="15"/>
        <v xml:space="preserve"> - </v>
      </c>
      <c r="F143" s="110" t="str">
        <f t="shared" si="16"/>
        <v xml:space="preserve"> -</v>
      </c>
      <c r="G143" s="110" t="str">
        <f t="shared" si="17"/>
        <v xml:space="preserve"> -</v>
      </c>
      <c r="H143" s="169">
        <f>INDEX('5. Historical demand'!$C$26:$C$35,MATCH(B143,'5. Historical demand'!$B$26:$B$35,0),1)*(Yearending-Yearstart)</f>
        <v>0</v>
      </c>
      <c r="I143" s="201" t="str">
        <f t="shared" si="18"/>
        <v xml:space="preserve"> - </v>
      </c>
      <c r="J143" s="201" t="str">
        <f t="shared" si="19"/>
        <v xml:space="preserve"> - </v>
      </c>
    </row>
    <row r="144" spans="2:10" x14ac:dyDescent="0.2">
      <c r="B144" s="112" t="s">
        <v>86</v>
      </c>
      <c r="C144" s="110">
        <f>IF(Cover!$C$23="Scheme pipeline",'3.2 Regulatory Asset Base'!$H$78*'6. Pricing template'!C28,C99+'3.1 Depreciated Book Value'!$D$80*'6. Pricing template'!C28)</f>
        <v>0</v>
      </c>
      <c r="D144" s="203" t="str">
        <f t="shared" si="14"/>
        <v xml:space="preserve"> - </v>
      </c>
      <c r="E144" s="203" t="str">
        <f t="shared" si="15"/>
        <v xml:space="preserve"> - </v>
      </c>
      <c r="F144" s="110" t="str">
        <f t="shared" si="16"/>
        <v xml:space="preserve"> -</v>
      </c>
      <c r="G144" s="110" t="str">
        <f t="shared" si="17"/>
        <v xml:space="preserve"> -</v>
      </c>
      <c r="H144" s="169">
        <f>INDEX('5. Historical demand'!$C$26:$C$35,MATCH(B144,'5. Historical demand'!$B$26:$B$35,0),1)*(Yearending-Yearstart)</f>
        <v>0</v>
      </c>
      <c r="I144" s="201" t="str">
        <f t="shared" si="18"/>
        <v xml:space="preserve"> - </v>
      </c>
      <c r="J144" s="201" t="str">
        <f t="shared" si="19"/>
        <v xml:space="preserve"> - </v>
      </c>
    </row>
    <row r="145" spans="2:10" x14ac:dyDescent="0.2">
      <c r="B145" s="112" t="s">
        <v>88</v>
      </c>
      <c r="C145" s="110">
        <f>IF(Cover!$C$23="Scheme pipeline",'3.2 Regulatory Asset Base'!$H$78*'6. Pricing template'!C29,C100+'3.1 Depreciated Book Value'!$D$80*'6. Pricing template'!C29)</f>
        <v>0</v>
      </c>
      <c r="D145" s="203" t="str">
        <f t="shared" si="14"/>
        <v xml:space="preserve"> - </v>
      </c>
      <c r="E145" s="203" t="str">
        <f t="shared" si="15"/>
        <v xml:space="preserve"> - </v>
      </c>
      <c r="F145" s="110" t="str">
        <f t="shared" si="16"/>
        <v xml:space="preserve"> -</v>
      </c>
      <c r="G145" s="110" t="str">
        <f t="shared" si="17"/>
        <v xml:space="preserve"> -</v>
      </c>
      <c r="H145" s="169">
        <f>INDEX('5. Historical demand'!$C$26:$C$35,MATCH(B145,'5. Historical demand'!$B$26:$B$35,0),1)*(Yearending-Yearstart)</f>
        <v>0</v>
      </c>
      <c r="I145" s="201" t="str">
        <f t="shared" si="18"/>
        <v xml:space="preserve"> - </v>
      </c>
      <c r="J145" s="201" t="str">
        <f t="shared" si="19"/>
        <v xml:space="preserve"> - </v>
      </c>
    </row>
    <row r="146" spans="2:10" x14ac:dyDescent="0.2">
      <c r="B146" s="112" t="s">
        <v>90</v>
      </c>
      <c r="C146" s="110">
        <f>IF(Cover!$C$23="Scheme pipeline",'3.2 Regulatory Asset Base'!$H$78*'6. Pricing template'!C30,C101+'3.1 Depreciated Book Value'!$D$80*'6. Pricing template'!C30)</f>
        <v>0</v>
      </c>
      <c r="D146" s="203" t="str">
        <f t="shared" si="14"/>
        <v xml:space="preserve"> - </v>
      </c>
      <c r="E146" s="203" t="str">
        <f t="shared" si="15"/>
        <v xml:space="preserve"> - </v>
      </c>
      <c r="F146" s="110" t="str">
        <f t="shared" si="16"/>
        <v xml:space="preserve"> -</v>
      </c>
      <c r="G146" s="110" t="str">
        <f t="shared" si="17"/>
        <v xml:space="preserve"> -</v>
      </c>
      <c r="H146" s="169">
        <f>INDEX('5. Historical demand'!$C$26:$C$35,MATCH(B146,'5. Historical demand'!$B$26:$B$35,0),1)*(Yearending-Yearstart)</f>
        <v>0</v>
      </c>
      <c r="I146" s="201" t="str">
        <f t="shared" si="18"/>
        <v xml:space="preserve"> - </v>
      </c>
      <c r="J146" s="201" t="str">
        <f t="shared" si="19"/>
        <v xml:space="preserve"> - </v>
      </c>
    </row>
    <row r="148" spans="2:10" s="277" customFormat="1" ht="25.5" customHeight="1" x14ac:dyDescent="0.2">
      <c r="B148" s="275" t="s">
        <v>459</v>
      </c>
      <c r="C148" s="172" t="s">
        <v>457</v>
      </c>
      <c r="D148" s="202" t="s">
        <v>413</v>
      </c>
      <c r="E148" s="202" t="s">
        <v>454</v>
      </c>
      <c r="F148" s="202" t="s">
        <v>364</v>
      </c>
      <c r="G148" s="202" t="s">
        <v>458</v>
      </c>
      <c r="H148" s="172" t="s">
        <v>437</v>
      </c>
      <c r="I148" s="276" t="s">
        <v>430</v>
      </c>
      <c r="J148" s="276" t="s">
        <v>431</v>
      </c>
    </row>
    <row r="149" spans="2:10" x14ac:dyDescent="0.2">
      <c r="B149" s="112" t="s">
        <v>78</v>
      </c>
      <c r="C149" s="110">
        <f>IF(Cover!$C$23="Scheme pipeline",'3.2 Regulatory Asset Base'!$H$78*'6. Pricing template'!C21,C92+'3.1 Depreciated Book Value'!$D$80*'6. Pricing template'!C21)</f>
        <v>1272017840.1152217</v>
      </c>
      <c r="D149" s="203">
        <f t="shared" ref="D149:D158" si="20">IF($E$25=0," - ",$E$25)</f>
        <v>4.99E-2</v>
      </c>
      <c r="E149" s="203">
        <f t="shared" ref="E149:E158" si="21">IFERROR((($E$25-$E$21*$E$22)/(1-$E$22)/(1-$E$23*(1-$E$24))-($E$25-$E$21*$E$22)/(1-$E$22))*(1-$E$22)," - ")</f>
        <v>3.4271641791044751E-3</v>
      </c>
      <c r="F149" s="110">
        <f t="shared" ref="F149:F158" si="22">IFERROR(C149*D149, " -")</f>
        <v>63473690.221749566</v>
      </c>
      <c r="G149" s="110">
        <f t="shared" ref="G149:G158" si="23">IFERROR(C149*E149, " -")</f>
        <v>4359413.9768247316</v>
      </c>
      <c r="H149" s="169">
        <f>INDEX('5. Historical demand'!$C$26:$C$35,MATCH(B149,'5. Historical demand'!$B$26:$B$35,0),1)*(Yearending-Yearstart)</f>
        <v>549640</v>
      </c>
      <c r="I149" s="201">
        <f>IFERROR(F149/(H149*1000)," - ")</f>
        <v>0.11548229790726579</v>
      </c>
      <c r="J149" s="201">
        <f>IFERROR(G149/(H149*1000)," - ")</f>
        <v>7.9313986915521637E-3</v>
      </c>
    </row>
    <row r="150" spans="2:10" x14ac:dyDescent="0.2">
      <c r="B150" s="112" t="s">
        <v>80</v>
      </c>
      <c r="C150" s="110">
        <f>IF(Cover!$C$23="Scheme pipeline",'3.2 Regulatory Asset Base'!$H$78*'6. Pricing template'!C22,C93+'3.1 Depreciated Book Value'!$D$80*'6. Pricing template'!C22)</f>
        <v>0</v>
      </c>
      <c r="D150" s="203">
        <f t="shared" si="20"/>
        <v>4.99E-2</v>
      </c>
      <c r="E150" s="203">
        <f t="shared" si="21"/>
        <v>3.4271641791044751E-3</v>
      </c>
      <c r="F150" s="110">
        <f t="shared" si="22"/>
        <v>0</v>
      </c>
      <c r="G150" s="110">
        <f t="shared" si="23"/>
        <v>0</v>
      </c>
      <c r="H150" s="169">
        <f>INDEX('5. Historical demand'!$C$26:$C$35,MATCH(B150,'5. Historical demand'!$B$26:$B$35,0),1)*(Yearending-Yearstart)</f>
        <v>0</v>
      </c>
      <c r="I150" s="201" t="str">
        <f t="shared" ref="I150:I158" si="24">IFERROR(F150/(H150*1000)," - ")</f>
        <v xml:space="preserve"> - </v>
      </c>
      <c r="J150" s="201" t="str">
        <f t="shared" ref="J150:J158" si="25">IFERROR(G150/(H150*1000)," - ")</f>
        <v xml:space="preserve"> - </v>
      </c>
    </row>
    <row r="151" spans="2:10" x14ac:dyDescent="0.2">
      <c r="B151" s="112" t="s">
        <v>81</v>
      </c>
      <c r="C151" s="110">
        <f>IF(Cover!$C$23="Scheme pipeline",'3.2 Regulatory Asset Base'!$H$78*'6. Pricing template'!C23,C94+'3.1 Depreciated Book Value'!$D$80*'6. Pricing template'!C23)</f>
        <v>0</v>
      </c>
      <c r="D151" s="203">
        <f t="shared" si="20"/>
        <v>4.99E-2</v>
      </c>
      <c r="E151" s="203">
        <f t="shared" si="21"/>
        <v>3.4271641791044751E-3</v>
      </c>
      <c r="F151" s="110">
        <f t="shared" si="22"/>
        <v>0</v>
      </c>
      <c r="G151" s="110">
        <f t="shared" si="23"/>
        <v>0</v>
      </c>
      <c r="H151" s="169">
        <f>INDEX('5. Historical demand'!$C$26:$C$35,MATCH(B151,'5. Historical demand'!$B$26:$B$35,0),1)*(Yearending-Yearstart)</f>
        <v>0</v>
      </c>
      <c r="I151" s="201" t="str">
        <f t="shared" si="24"/>
        <v xml:space="preserve"> - </v>
      </c>
      <c r="J151" s="201" t="str">
        <f t="shared" si="25"/>
        <v xml:space="preserve"> - </v>
      </c>
    </row>
    <row r="152" spans="2:10" x14ac:dyDescent="0.2">
      <c r="B152" s="112" t="s">
        <v>82</v>
      </c>
      <c r="C152" s="110">
        <f>IF(Cover!$C$23="Scheme pipeline",'3.2 Regulatory Asset Base'!$H$78*'6. Pricing template'!C24,C95+'3.1 Depreciated Book Value'!$D$80*'6. Pricing template'!C24)</f>
        <v>0</v>
      </c>
      <c r="D152" s="203">
        <f t="shared" si="20"/>
        <v>4.99E-2</v>
      </c>
      <c r="E152" s="203">
        <f t="shared" si="21"/>
        <v>3.4271641791044751E-3</v>
      </c>
      <c r="F152" s="110">
        <f t="shared" si="22"/>
        <v>0</v>
      </c>
      <c r="G152" s="110">
        <f t="shared" si="23"/>
        <v>0</v>
      </c>
      <c r="H152" s="169">
        <f>INDEX('5. Historical demand'!$C$26:$C$35,MATCH(B152,'5. Historical demand'!$B$26:$B$35,0),1)*(Yearending-Yearstart)</f>
        <v>0</v>
      </c>
      <c r="I152" s="201" t="str">
        <f t="shared" si="24"/>
        <v xml:space="preserve"> - </v>
      </c>
      <c r="J152" s="201" t="str">
        <f t="shared" si="25"/>
        <v xml:space="preserve"> - </v>
      </c>
    </row>
    <row r="153" spans="2:10" x14ac:dyDescent="0.2">
      <c r="B153" s="194" t="s">
        <v>83</v>
      </c>
      <c r="C153" s="110">
        <f>IF(Cover!$C$23="Scheme pipeline",'3.2 Regulatory Asset Base'!$H$78*'6. Pricing template'!C25,C96+'3.1 Depreciated Book Value'!$D$80*'6. Pricing template'!C25)</f>
        <v>0</v>
      </c>
      <c r="D153" s="203">
        <f t="shared" si="20"/>
        <v>4.99E-2</v>
      </c>
      <c r="E153" s="203">
        <f t="shared" si="21"/>
        <v>3.4271641791044751E-3</v>
      </c>
      <c r="F153" s="110">
        <f t="shared" si="22"/>
        <v>0</v>
      </c>
      <c r="G153" s="110">
        <f t="shared" si="23"/>
        <v>0</v>
      </c>
      <c r="H153" s="169">
        <f>INDEX('5. Historical demand'!$C$26:$C$35,MATCH(B153,'5. Historical demand'!$B$26:$B$35,0),1)*(Yearending-Yearstart)</f>
        <v>0</v>
      </c>
      <c r="I153" s="201" t="str">
        <f t="shared" si="24"/>
        <v xml:space="preserve"> - </v>
      </c>
      <c r="J153" s="201" t="str">
        <f t="shared" si="25"/>
        <v xml:space="preserve"> - </v>
      </c>
    </row>
    <row r="154" spans="2:10" x14ac:dyDescent="0.2">
      <c r="B154" s="112" t="s">
        <v>84</v>
      </c>
      <c r="C154" s="110">
        <f>IF(Cover!$C$23="Scheme pipeline",'3.2 Regulatory Asset Base'!$H$78*'6. Pricing template'!C26,C97+'3.1 Depreciated Book Value'!$D$80*'6. Pricing template'!C26)</f>
        <v>165.85477625172493</v>
      </c>
      <c r="D154" s="203">
        <f t="shared" si="20"/>
        <v>4.99E-2</v>
      </c>
      <c r="E154" s="203">
        <f t="shared" si="21"/>
        <v>3.4271641791044751E-3</v>
      </c>
      <c r="F154" s="110">
        <f t="shared" si="22"/>
        <v>8.2761533349610747</v>
      </c>
      <c r="G154" s="110">
        <f t="shared" si="23"/>
        <v>0.5684115481032993</v>
      </c>
      <c r="H154" s="169">
        <f>INDEX('5. Historical demand'!$C$26:$C$35,MATCH(B154,'5. Historical demand'!$B$26:$B$35,0),1)*(Yearending-Yearstart)</f>
        <v>0</v>
      </c>
      <c r="I154" s="201" t="str">
        <f t="shared" si="24"/>
        <v xml:space="preserve"> - </v>
      </c>
      <c r="J154" s="201" t="str">
        <f t="shared" si="25"/>
        <v xml:space="preserve"> - </v>
      </c>
    </row>
    <row r="155" spans="2:10" x14ac:dyDescent="0.2">
      <c r="B155" s="112" t="s">
        <v>85</v>
      </c>
      <c r="C155" s="110">
        <f>IF(Cover!$C$23="Scheme pipeline",'3.2 Regulatory Asset Base'!$H$78*'6. Pricing template'!C27,C98+'3.1 Depreciated Book Value'!$D$80*'6. Pricing template'!C27)</f>
        <v>0</v>
      </c>
      <c r="D155" s="203">
        <f t="shared" si="20"/>
        <v>4.99E-2</v>
      </c>
      <c r="E155" s="203">
        <f t="shared" si="21"/>
        <v>3.4271641791044751E-3</v>
      </c>
      <c r="F155" s="110">
        <f t="shared" si="22"/>
        <v>0</v>
      </c>
      <c r="G155" s="110">
        <f t="shared" si="23"/>
        <v>0</v>
      </c>
      <c r="H155" s="169">
        <f>INDEX('5. Historical demand'!$C$26:$C$35,MATCH(B155,'5. Historical demand'!$B$26:$B$35,0),1)*(Yearending-Yearstart)</f>
        <v>0</v>
      </c>
      <c r="I155" s="201" t="str">
        <f t="shared" si="24"/>
        <v xml:space="preserve"> - </v>
      </c>
      <c r="J155" s="201" t="str">
        <f t="shared" si="25"/>
        <v xml:space="preserve"> - </v>
      </c>
    </row>
    <row r="156" spans="2:10" x14ac:dyDescent="0.2">
      <c r="B156" s="112" t="s">
        <v>86</v>
      </c>
      <c r="C156" s="110">
        <f>IF(Cover!$C$23="Scheme pipeline",'3.2 Regulatory Asset Base'!$H$78*'6. Pricing template'!C28,C99+'3.1 Depreciated Book Value'!$D$80*'6. Pricing template'!C28)</f>
        <v>0</v>
      </c>
      <c r="D156" s="203">
        <f t="shared" si="20"/>
        <v>4.99E-2</v>
      </c>
      <c r="E156" s="203">
        <f t="shared" si="21"/>
        <v>3.4271641791044751E-3</v>
      </c>
      <c r="F156" s="110">
        <f t="shared" si="22"/>
        <v>0</v>
      </c>
      <c r="G156" s="110">
        <f t="shared" si="23"/>
        <v>0</v>
      </c>
      <c r="H156" s="169">
        <f>INDEX('5. Historical demand'!$C$26:$C$35,MATCH(B156,'5. Historical demand'!$B$26:$B$35,0),1)*(Yearending-Yearstart)</f>
        <v>0</v>
      </c>
      <c r="I156" s="201" t="str">
        <f t="shared" si="24"/>
        <v xml:space="preserve"> - </v>
      </c>
      <c r="J156" s="201" t="str">
        <f t="shared" si="25"/>
        <v xml:space="preserve"> - </v>
      </c>
    </row>
    <row r="157" spans="2:10" x14ac:dyDescent="0.2">
      <c r="B157" s="112" t="s">
        <v>88</v>
      </c>
      <c r="C157" s="110">
        <f>IF(Cover!$C$23="Scheme pipeline",'3.2 Regulatory Asset Base'!$H$78*'6. Pricing template'!C29,C100+'3.1 Depreciated Book Value'!$D$80*'6. Pricing template'!C29)</f>
        <v>0</v>
      </c>
      <c r="D157" s="203">
        <f t="shared" si="20"/>
        <v>4.99E-2</v>
      </c>
      <c r="E157" s="203">
        <f t="shared" si="21"/>
        <v>3.4271641791044751E-3</v>
      </c>
      <c r="F157" s="110">
        <f t="shared" si="22"/>
        <v>0</v>
      </c>
      <c r="G157" s="110">
        <f t="shared" si="23"/>
        <v>0</v>
      </c>
      <c r="H157" s="169">
        <f>INDEX('5. Historical demand'!$C$26:$C$35,MATCH(B157,'5. Historical demand'!$B$26:$B$35,0),1)*(Yearending-Yearstart)</f>
        <v>0</v>
      </c>
      <c r="I157" s="201" t="str">
        <f t="shared" si="24"/>
        <v xml:space="preserve"> - </v>
      </c>
      <c r="J157" s="201" t="str">
        <f t="shared" si="25"/>
        <v xml:space="preserve"> - </v>
      </c>
    </row>
    <row r="158" spans="2:10" x14ac:dyDescent="0.2">
      <c r="B158" s="112" t="s">
        <v>90</v>
      </c>
      <c r="C158" s="110">
        <f>IF(Cover!$C$23="Scheme pipeline",'3.2 Regulatory Asset Base'!$H$78*'6. Pricing template'!C30,C101+'3.1 Depreciated Book Value'!$D$80*'6. Pricing template'!C30)</f>
        <v>0</v>
      </c>
      <c r="D158" s="203">
        <f t="shared" si="20"/>
        <v>4.99E-2</v>
      </c>
      <c r="E158" s="203">
        <f t="shared" si="21"/>
        <v>3.4271641791044751E-3</v>
      </c>
      <c r="F158" s="110">
        <f t="shared" si="22"/>
        <v>0</v>
      </c>
      <c r="G158" s="110">
        <f t="shared" si="23"/>
        <v>0</v>
      </c>
      <c r="H158" s="169">
        <f>INDEX('5. Historical demand'!$C$26:$C$35,MATCH(B158,'5. Historical demand'!$B$26:$B$35,0),1)*(Yearending-Yearstart)</f>
        <v>0</v>
      </c>
      <c r="I158" s="201" t="str">
        <f t="shared" si="24"/>
        <v xml:space="preserve"> - </v>
      </c>
      <c r="J158" s="201" t="str">
        <f t="shared" si="25"/>
        <v xml:space="preserve"> - </v>
      </c>
    </row>
    <row r="188" ht="27" customHeight="1" x14ac:dyDescent="0.2"/>
    <row r="195" ht="31.9"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115" zoomScaleNormal="115" workbookViewId="0">
      <selection activeCell="A2" sqref="A2"/>
    </sheetView>
  </sheetViews>
  <sheetFormatPr defaultColWidth="0" defaultRowHeight="12.75" x14ac:dyDescent="0.2"/>
  <cols>
    <col min="1" max="1" width="10.28515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294" t="s">
        <v>460</v>
      </c>
      <c r="B1" s="295" t="s">
        <v>461</v>
      </c>
      <c r="C1" s="296" t="s">
        <v>462</v>
      </c>
      <c r="D1" s="295" t="s">
        <v>463</v>
      </c>
      <c r="E1" s="296" t="s">
        <v>464</v>
      </c>
      <c r="F1" s="296" t="s">
        <v>465</v>
      </c>
      <c r="G1" s="297" t="s">
        <v>466</v>
      </c>
    </row>
    <row r="2" spans="1:7" x14ac:dyDescent="0.2">
      <c r="A2" s="298">
        <v>45775</v>
      </c>
      <c r="B2">
        <v>1</v>
      </c>
      <c r="C2" s="6" t="s">
        <v>467</v>
      </c>
      <c r="E2" s="6" t="s">
        <v>468</v>
      </c>
      <c r="F2" s="6" t="s">
        <v>469</v>
      </c>
      <c r="G2" s="6" t="s">
        <v>470</v>
      </c>
    </row>
    <row r="3" spans="1:7" x14ac:dyDescent="0.2">
      <c r="A3" s="298">
        <v>45775</v>
      </c>
      <c r="B3">
        <v>2</v>
      </c>
      <c r="C3" s="6" t="s">
        <v>471</v>
      </c>
      <c r="D3" t="s">
        <v>92</v>
      </c>
      <c r="E3" s="6" t="s">
        <v>472</v>
      </c>
      <c r="F3" t="s">
        <v>473</v>
      </c>
      <c r="G3" t="s">
        <v>474</v>
      </c>
    </row>
    <row r="4" spans="1:7" x14ac:dyDescent="0.2">
      <c r="A4" s="298">
        <v>45775</v>
      </c>
      <c r="B4">
        <v>3</v>
      </c>
      <c r="C4" s="6" t="s">
        <v>475</v>
      </c>
      <c r="D4" t="s">
        <v>476</v>
      </c>
      <c r="E4" s="6" t="s">
        <v>477</v>
      </c>
      <c r="F4" t="s">
        <v>478</v>
      </c>
      <c r="G4" s="6" t="s">
        <v>479</v>
      </c>
    </row>
  </sheetData>
  <sheetProtection sheet="1"/>
  <pageMargins left="0.7" right="0.7" top="0.75" bottom="0.75" header="0.3" footer="0.3"/>
  <headerFooter>
    <oddFooter>&amp;C_x000D_&amp;1#&amp;"Calibri"&amp;10&amp;K008000 APA-INTERNAL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7A40E6-8044-4688-BC28-FC8D826490D7}">
  <ds:schemaRefs>
    <ds:schemaRef ds:uri="http://schemas.microsoft.com/sharepoint/v3/contenttype/forms"/>
  </ds:schemaRefs>
</ds:datastoreItem>
</file>

<file path=customXml/itemProps2.xml><?xml version="1.0" encoding="utf-8"?>
<ds:datastoreItem xmlns:ds="http://schemas.openxmlformats.org/officeDocument/2006/customXml" ds:itemID="{1EC77142-321F-43D5-9C77-D26397EBD3EF}">
  <ds:schemaRefs>
    <ds:schemaRef ds:uri="http://purl.org/dc/elements/1.1/"/>
    <ds:schemaRef ds:uri="http://purl.org/dc/dcmitype/"/>
    <ds:schemaRef ds:uri="http://schemas.microsoft.com/sharepoint/v3"/>
    <ds:schemaRef ds:uri="68339cd5-4ed0-4715-a10c-fb6cfca0aa9a"/>
    <ds:schemaRef ds:uri="http://purl.org/dc/terms/"/>
    <ds:schemaRef ds:uri="http://schemas.openxmlformats.org/package/2006/metadata/core-properties"/>
    <ds:schemaRef ds:uri="http://schemas.microsoft.com/office/2006/documentManagement/types"/>
    <ds:schemaRef ds:uri="http://www.w3.org/XML/1998/namespace"/>
    <ds:schemaRef ds:uri="704da589-9a5f-45d1-b9c9-18eae98c3af3"/>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BD0C686D-BC81-4794-A2E0-D93D38931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22</vt:i4>
      </vt:variant>
    </vt:vector>
  </HeadingPairs>
  <TitlesOfParts>
    <vt:vector size="48"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Alessandro, Silvana</cp:lastModifiedBy>
  <cp:revision/>
  <dcterms:created xsi:type="dcterms:W3CDTF">2021-05-07T02:14:11Z</dcterms:created>
  <dcterms:modified xsi:type="dcterms:W3CDTF">2025-12-18T03:44:21Z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y fmtid="{D5CDD505-2E9C-101B-9397-08002B2CF9AE}" pid="15" name="SV_QUERY_LIST_4F35BF76-6C0D-4D9B-82B2-816C12CF3733">
    <vt:lpwstr>empty_477D106A-C0D6-4607-AEBD-E2C9D60EA279</vt:lpwstr>
  </property>
  <property fmtid="{D5CDD505-2E9C-101B-9397-08002B2CF9AE}" pid="16" name="SV_HIDDEN_GRID_QUERY_LIST_4F35BF76-6C0D-4D9B-82B2-816C12CF3733">
    <vt:lpwstr>empty_477D106A-C0D6-4607-AEBD-E2C9D60EA279</vt:lpwstr>
  </property>
  <property fmtid="{D5CDD505-2E9C-101B-9397-08002B2CF9AE}" pid="17" name="MSIP_Label_8e2e509a-f02b-496b-97a8-09ffbb9893ea_Enabled">
    <vt:lpwstr>true</vt:lpwstr>
  </property>
  <property fmtid="{D5CDD505-2E9C-101B-9397-08002B2CF9AE}" pid="18" name="MSIP_Label_8e2e509a-f02b-496b-97a8-09ffbb9893ea_SetDate">
    <vt:lpwstr>2025-11-05T05:53:05Z</vt:lpwstr>
  </property>
  <property fmtid="{D5CDD505-2E9C-101B-9397-08002B2CF9AE}" pid="19" name="MSIP_Label_8e2e509a-f02b-496b-97a8-09ffbb9893ea_Method">
    <vt:lpwstr>Privileged</vt:lpwstr>
  </property>
  <property fmtid="{D5CDD505-2E9C-101B-9397-08002B2CF9AE}" pid="20" name="MSIP_Label_8e2e509a-f02b-496b-97a8-09ffbb9893ea_Name">
    <vt:lpwstr>APA-Internal</vt:lpwstr>
  </property>
  <property fmtid="{D5CDD505-2E9C-101B-9397-08002B2CF9AE}" pid="21" name="MSIP_Label_8e2e509a-f02b-496b-97a8-09ffbb9893ea_SiteId">
    <vt:lpwstr>234ac309-c216-4661-a5ba-18879f6c4c75</vt:lpwstr>
  </property>
  <property fmtid="{D5CDD505-2E9C-101B-9397-08002B2CF9AE}" pid="22" name="MSIP_Label_8e2e509a-f02b-496b-97a8-09ffbb9893ea_ActionId">
    <vt:lpwstr>1e65e377-7e58-48d1-a5f4-704c6c5920bb</vt:lpwstr>
  </property>
  <property fmtid="{D5CDD505-2E9C-101B-9397-08002B2CF9AE}" pid="23" name="MSIP_Label_8e2e509a-f02b-496b-97a8-09ffbb9893ea_ContentBits">
    <vt:lpwstr>2</vt:lpwstr>
  </property>
  <property fmtid="{D5CDD505-2E9C-101B-9397-08002B2CF9AE}" pid="24" name="MSIP_Label_8e2e509a-f02b-496b-97a8-09ffbb9893ea_Tag">
    <vt:lpwstr>10, 0, 1, 1</vt:lpwstr>
  </property>
</Properties>
</file>