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3. CWP\Roll Forward Model\z. Publication\"/>
    </mc:Choice>
  </mc:AlternateContent>
  <xr:revisionPtr revIDLastSave="0" documentId="13_ncr:1_{67EF1CF1-3402-447E-9DEC-C5EF4F536816}" xr6:coauthVersionLast="47" xr6:coauthVersionMax="47" xr10:uidLastSave="{00000000-0000-0000-0000-000000000000}"/>
  <bookViews>
    <workbookView xWindow="-120" yWindow="-120"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19" i="1" l="1"/>
  <c r="L605" i="1" l="1"/>
  <c r="K599" i="1"/>
  <c r="J595" i="1"/>
  <c r="E585" i="1"/>
  <c r="Q637" i="1" l="1"/>
  <c r="P631" i="1"/>
  <c r="O625" i="1"/>
  <c r="M612" i="1"/>
  <c r="E637" i="1"/>
  <c r="E631" i="1"/>
  <c r="E625" i="1"/>
  <c r="E619" i="1"/>
  <c r="E612" i="1"/>
  <c r="E605" i="1"/>
  <c r="E599" i="1"/>
  <c r="E592" i="1"/>
  <c r="I585" i="1"/>
  <c r="H579" i="1"/>
  <c r="E579" i="1"/>
  <c r="P234" i="1"/>
  <c r="J224" i="1"/>
  <c r="H223" i="1"/>
  <c r="Q290" i="1"/>
  <c r="P290" i="1"/>
  <c r="O290" i="1"/>
  <c r="N290" i="1"/>
  <c r="M290" i="1"/>
  <c r="L290" i="1"/>
  <c r="K290" i="1"/>
  <c r="J290" i="1"/>
  <c r="I290" i="1"/>
  <c r="Q289" i="1"/>
  <c r="P289" i="1"/>
  <c r="O289" i="1"/>
  <c r="N289" i="1"/>
  <c r="M289" i="1"/>
  <c r="L289" i="1"/>
  <c r="K289" i="1"/>
  <c r="J289" i="1"/>
  <c r="I289" i="1"/>
  <c r="Q288" i="1"/>
  <c r="P288" i="1"/>
  <c r="O288" i="1"/>
  <c r="N288" i="1"/>
  <c r="M288" i="1"/>
  <c r="L288" i="1"/>
  <c r="K288" i="1"/>
  <c r="J288" i="1"/>
  <c r="I288"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8" i="1"/>
  <c r="H287" i="1"/>
  <c r="H286" i="1"/>
  <c r="H285" i="1"/>
  <c r="H284" i="1"/>
  <c r="H283" i="1"/>
  <c r="H282" i="1"/>
  <c r="H281" i="1"/>
  <c r="H280" i="1"/>
  <c r="H279" i="1"/>
  <c r="H278" i="1"/>
  <c r="H277" i="1"/>
  <c r="G290" i="1"/>
  <c r="Q236" i="1"/>
  <c r="Q235" i="1"/>
  <c r="Q234" i="1"/>
  <c r="Q233" i="1"/>
  <c r="Q231" i="1"/>
  <c r="Q230" i="1"/>
  <c r="Q229" i="1"/>
  <c r="Q228" i="1"/>
  <c r="Q227" i="1"/>
  <c r="Q226" i="1"/>
  <c r="Q225" i="1"/>
  <c r="Q224" i="1"/>
  <c r="Q223" i="1"/>
  <c r="P236" i="1"/>
  <c r="P235" i="1"/>
  <c r="P233" i="1"/>
  <c r="P232" i="1"/>
  <c r="P231" i="1"/>
  <c r="P230" i="1"/>
  <c r="P229" i="1"/>
  <c r="P228" i="1"/>
  <c r="P227" i="1"/>
  <c r="P226" i="1"/>
  <c r="P225" i="1"/>
  <c r="P224" i="1"/>
  <c r="P223" i="1"/>
  <c r="O236" i="1"/>
  <c r="O235" i="1"/>
  <c r="O234" i="1"/>
  <c r="O233" i="1"/>
  <c r="O232" i="1"/>
  <c r="O231" i="1"/>
  <c r="O230" i="1"/>
  <c r="O229" i="1"/>
  <c r="O228" i="1"/>
  <c r="O227" i="1"/>
  <c r="O226" i="1"/>
  <c r="O225" i="1"/>
  <c r="O224" i="1"/>
  <c r="O223" i="1"/>
  <c r="N236" i="1"/>
  <c r="N235" i="1"/>
  <c r="N234" i="1"/>
  <c r="N233" i="1"/>
  <c r="N232" i="1"/>
  <c r="N231" i="1"/>
  <c r="N230" i="1"/>
  <c r="N229" i="1"/>
  <c r="N228" i="1"/>
  <c r="N227" i="1"/>
  <c r="N226" i="1"/>
  <c r="N225" i="1"/>
  <c r="N224" i="1"/>
  <c r="N223" i="1"/>
  <c r="M236" i="1"/>
  <c r="M235" i="1"/>
  <c r="M234" i="1"/>
  <c r="M233" i="1"/>
  <c r="M232" i="1"/>
  <c r="M231" i="1"/>
  <c r="M230" i="1"/>
  <c r="M229" i="1"/>
  <c r="M228" i="1"/>
  <c r="M227" i="1"/>
  <c r="M226" i="1"/>
  <c r="M225" i="1"/>
  <c r="M224" i="1"/>
  <c r="M223" i="1"/>
  <c r="L236" i="1"/>
  <c r="L235" i="1"/>
  <c r="L234" i="1"/>
  <c r="L233" i="1"/>
  <c r="L232" i="1"/>
  <c r="L231" i="1"/>
  <c r="L230" i="1"/>
  <c r="L229" i="1"/>
  <c r="L228" i="1"/>
  <c r="L227" i="1"/>
  <c r="L226" i="1"/>
  <c r="L225" i="1"/>
  <c r="L224" i="1"/>
  <c r="L223" i="1"/>
  <c r="K236" i="1"/>
  <c r="K235" i="1"/>
  <c r="K234" i="1"/>
  <c r="K233" i="1"/>
  <c r="K232" i="1"/>
  <c r="K231" i="1"/>
  <c r="K230" i="1"/>
  <c r="K229" i="1"/>
  <c r="K228" i="1"/>
  <c r="K227" i="1"/>
  <c r="K226" i="1"/>
  <c r="K225" i="1"/>
  <c r="K224" i="1"/>
  <c r="K223" i="1"/>
  <c r="J236" i="1"/>
  <c r="J235" i="1"/>
  <c r="J234" i="1"/>
  <c r="J233" i="1"/>
  <c r="J232" i="1"/>
  <c r="J231" i="1"/>
  <c r="J230" i="1"/>
  <c r="J229" i="1"/>
  <c r="J228" i="1"/>
  <c r="J227" i="1"/>
  <c r="J226" i="1"/>
  <c r="J225" i="1"/>
  <c r="J223" i="1"/>
  <c r="I236" i="1"/>
  <c r="I235" i="1"/>
  <c r="I234" i="1"/>
  <c r="I233" i="1"/>
  <c r="I232" i="1"/>
  <c r="I231" i="1"/>
  <c r="I230" i="1"/>
  <c r="I229" i="1"/>
  <c r="I228" i="1"/>
  <c r="I227" i="1"/>
  <c r="I226" i="1"/>
  <c r="I225" i="1"/>
  <c r="I224" i="1"/>
  <c r="I223" i="1"/>
  <c r="H236" i="1"/>
  <c r="H235" i="1"/>
  <c r="H234" i="1"/>
  <c r="H233" i="1"/>
  <c r="H232" i="1"/>
  <c r="H231" i="1"/>
  <c r="H230" i="1"/>
  <c r="H229" i="1"/>
  <c r="H228" i="1"/>
  <c r="H227" i="1"/>
  <c r="H226" i="1"/>
  <c r="H225" i="1"/>
  <c r="H224" i="1"/>
  <c r="G236" i="1"/>
  <c r="G235" i="1"/>
  <c r="G234" i="1"/>
  <c r="G233" i="1"/>
  <c r="G232" i="1"/>
  <c r="G231" i="1"/>
  <c r="G230" i="1"/>
  <c r="G229" i="1"/>
  <c r="G228" i="1"/>
  <c r="G227" i="1"/>
  <c r="G226" i="1"/>
  <c r="G225" i="1"/>
  <c r="G224" i="1"/>
  <c r="G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3"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c r="C92" i="7961"/>
  <c r="C93" i="7961"/>
  <c r="C97" i="7961"/>
  <c r="C98" i="7961"/>
  <c r="C99" i="7961" s="1"/>
  <c r="C101" i="7961"/>
  <c r="C104" i="7961"/>
  <c r="C113" i="7961"/>
  <c r="C122" i="7961"/>
  <c r="AK16" i="7960"/>
  <c r="AK17" i="7960"/>
  <c r="AK18" i="7960"/>
  <c r="AK19" i="7960"/>
  <c r="D26" i="7960"/>
  <c r="D27" i="7960"/>
  <c r="D30" i="7960"/>
  <c r="AL56" i="7962"/>
  <c r="C69" i="7961" l="1"/>
  <c r="C26" i="7961"/>
  <c r="BQ26" i="7962"/>
  <c r="BQ24" i="7962"/>
  <c r="AL17" i="7962"/>
  <c r="C125" i="7961"/>
  <c r="C102" i="7961" s="1"/>
  <c r="C121" i="7961"/>
  <c r="C94" i="7961"/>
  <c r="C68" i="7961"/>
  <c r="C34" i="7961"/>
  <c r="C23" i="7961"/>
  <c r="AL26" i="7962"/>
  <c r="AL24" i="7962"/>
  <c r="V2" i="7962"/>
  <c r="C124" i="7961"/>
  <c r="C120" i="7961"/>
  <c r="C30" i="7961"/>
  <c r="C21" i="7961"/>
  <c r="C10" i="7961"/>
  <c r="BQ25" i="7962"/>
  <c r="BQ23" i="7962"/>
  <c r="C123" i="7961"/>
  <c r="C119" i="7961"/>
  <c r="C70" i="7961"/>
  <c r="C20" i="7961"/>
  <c r="C9" i="7961"/>
  <c r="AL25" i="7962"/>
  <c r="C75" i="7961"/>
  <c r="C76" i="7961" s="1"/>
  <c r="C100" i="7961"/>
  <c r="C103" i="7961"/>
  <c r="C82" i="7961"/>
  <c r="C64" i="7961"/>
  <c r="H40" i="7960"/>
  <c r="C39" i="7961"/>
  <c r="C42" i="7961" l="1"/>
  <c r="C41" i="7961"/>
  <c r="C40" i="7961"/>
  <c r="C29" i="7961"/>
  <c r="C86" i="7961" s="1"/>
  <c r="D199" i="7959"/>
  <c r="E199" i="7959"/>
  <c r="F199" i="7959"/>
  <c r="G199" i="7959"/>
  <c r="H199" i="7959"/>
  <c r="I199" i="7959"/>
  <c r="J199" i="7959"/>
  <c r="K199" i="7959"/>
  <c r="L199" i="7959"/>
  <c r="M199" i="7959"/>
  <c r="D204" i="7959"/>
  <c r="E204" i="7959"/>
  <c r="F204" i="7959"/>
  <c r="G204" i="7959"/>
  <c r="I53" i="7960"/>
  <c r="I49" i="7960"/>
  <c r="I54" i="7960"/>
  <c r="I40" i="7960"/>
  <c r="I44" i="7960"/>
  <c r="G41" i="7960"/>
  <c r="G45" i="7960"/>
  <c r="G52" i="7960"/>
  <c r="G49" i="7960"/>
  <c r="G50" i="7960"/>
  <c r="G51" i="7960"/>
  <c r="G54" i="7960"/>
  <c r="G44" i="7960"/>
  <c r="G47" i="7960"/>
  <c r="G46" i="7960"/>
  <c r="I52" i="7960"/>
  <c r="I43" i="7960"/>
  <c r="E49" i="7960"/>
  <c r="E42" i="7960"/>
  <c r="E54" i="7960"/>
  <c r="C47" i="7961"/>
  <c r="I45" i="7960"/>
  <c r="I46" i="7960"/>
  <c r="C46" i="7961"/>
  <c r="C43" i="7961"/>
  <c r="I55" i="7960"/>
  <c r="G55" i="7960"/>
  <c r="I48" i="7960"/>
  <c r="I41" i="7960"/>
  <c r="I51" i="7960"/>
  <c r="I47" i="7960"/>
  <c r="C49" i="7961"/>
  <c r="G40" i="7960"/>
  <c r="G48" i="7960"/>
  <c r="I42" i="7960"/>
  <c r="I50" i="7960"/>
  <c r="C44" i="7961"/>
  <c r="E50" i="7960"/>
  <c r="G42" i="7960"/>
  <c r="E52" i="7960"/>
  <c r="E53" i="7960"/>
  <c r="E41" i="7960"/>
  <c r="G43" i="7960"/>
  <c r="AL44" i="7962" l="1"/>
  <c r="BD42" i="7962"/>
  <c r="BD43" i="7962"/>
  <c r="AU44" i="7962"/>
  <c r="AU42" i="7962"/>
  <c r="BM43" i="7962"/>
  <c r="AU43" i="7962"/>
  <c r="AL43" i="7962"/>
  <c r="BM42" i="7962"/>
  <c r="BD44" i="7962"/>
  <c r="BV42" i="7962"/>
  <c r="BV44" i="7962"/>
  <c r="BV43" i="7962"/>
  <c r="BM44" i="7962"/>
  <c r="AU46" i="7962"/>
  <c r="BV51" i="7962"/>
  <c r="C80" i="7961"/>
  <c r="AU48" i="7962"/>
  <c r="BV46" i="7962"/>
  <c r="AL47" i="7962"/>
  <c r="BV47" i="7962"/>
  <c r="AL46" i="7962"/>
  <c r="C51" i="7961"/>
  <c r="C31" i="7961" s="1"/>
  <c r="BV48" i="7962"/>
  <c r="BD48" i="7962"/>
  <c r="C37" i="7961"/>
  <c r="BM46" i="7962"/>
  <c r="AL48" i="7962"/>
  <c r="BD47" i="7962"/>
  <c r="BM47" i="7962"/>
  <c r="BD46" i="7962"/>
  <c r="AU47" i="7962"/>
  <c r="AU50" i="7962"/>
  <c r="BD50" i="7962"/>
  <c r="C116"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3" i="7960"/>
  <c r="E40" i="7960"/>
  <c r="C45" i="7961"/>
  <c r="C48" i="7961"/>
  <c r="C38" i="7961"/>
  <c r="E48" i="7960"/>
  <c r="E51" i="7960"/>
  <c r="G53" i="7960"/>
  <c r="E55" i="7960"/>
  <c r="E45" i="7960"/>
  <c r="E44" i="7960"/>
  <c r="E47" i="7960"/>
  <c r="E46" i="7960"/>
  <c r="AU51" i="7962" l="1"/>
  <c r="BD51" i="7962"/>
  <c r="BV50" i="7962"/>
  <c r="AL51" i="7962"/>
  <c r="BM48" i="7962"/>
  <c r="BM51" i="7962"/>
  <c r="C52" i="7961"/>
  <c r="C32" i="7961" s="1"/>
  <c r="AL50" i="7962"/>
  <c r="BM50" i="7962"/>
  <c r="C106" i="7961"/>
  <c r="C107" i="7961" s="1"/>
  <c r="G331" i="7958"/>
  <c r="D331" i="7958"/>
  <c r="H331" i="7958"/>
  <c r="G166" i="7958"/>
  <c r="E331" i="7958"/>
  <c r="I331" i="7958"/>
  <c r="F331" i="7958"/>
  <c r="D166" i="7958"/>
  <c r="H166" i="7958"/>
  <c r="E166" i="7958"/>
  <c r="I166" i="7958"/>
  <c r="F166" i="7958"/>
  <c r="C54" i="7961"/>
  <c r="C58" i="7961" s="1"/>
  <c r="E61" i="7960"/>
  <c r="E73" i="7960"/>
  <c r="E64" i="7960"/>
  <c r="E67" i="7960"/>
  <c r="E63" i="7960"/>
  <c r="E60" i="7960"/>
  <c r="E72" i="7960"/>
  <c r="E71" i="7960"/>
  <c r="E66" i="7960"/>
  <c r="E59" i="7960"/>
  <c r="E62" i="7960"/>
  <c r="E69" i="7960"/>
  <c r="E65" i="7960"/>
  <c r="E68" i="7960"/>
  <c r="E70" i="7960"/>
  <c r="E74" i="7960"/>
  <c r="E187" i="7959" l="1"/>
  <c r="C57" i="7961"/>
  <c r="C22" i="7961" s="1"/>
  <c r="C60" i="7961"/>
  <c r="V3" i="7962" s="1"/>
  <c r="C8" i="7949"/>
  <c r="E400" i="1" l="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Q72" i="7944"/>
  <c r="P72" i="7944"/>
  <c r="O72" i="7944"/>
  <c r="N72" i="7944"/>
  <c r="M72" i="7944"/>
  <c r="L72" i="7944"/>
  <c r="K72" i="7944"/>
  <c r="J72" i="7944"/>
  <c r="I72" i="7944"/>
  <c r="H72" i="7944"/>
  <c r="C72" i="7944"/>
  <c r="Q71" i="7944"/>
  <c r="P71" i="7944"/>
  <c r="O71" i="7944"/>
  <c r="N71" i="7944"/>
  <c r="M71" i="7944"/>
  <c r="L71" i="7944"/>
  <c r="K71" i="7944"/>
  <c r="J71" i="7944"/>
  <c r="I71" i="7944"/>
  <c r="H71" i="7944"/>
  <c r="C71" i="7944"/>
  <c r="Q70" i="7944"/>
  <c r="P70" i="7944"/>
  <c r="O70" i="7944"/>
  <c r="N70" i="7944"/>
  <c r="M70" i="7944"/>
  <c r="L70" i="7944"/>
  <c r="K70" i="7944"/>
  <c r="J70" i="7944"/>
  <c r="I70" i="7944"/>
  <c r="H70" i="7944"/>
  <c r="C70" i="7944"/>
  <c r="P69" i="7944"/>
  <c r="O69" i="7944"/>
  <c r="N69" i="7944"/>
  <c r="M69" i="7944"/>
  <c r="L69" i="7944"/>
  <c r="K69" i="7944"/>
  <c r="J69" i="7944"/>
  <c r="I69" i="7944"/>
  <c r="H69" i="7944"/>
  <c r="C69" i="7944"/>
  <c r="Q68" i="7944"/>
  <c r="P68" i="7944"/>
  <c r="O68" i="7944"/>
  <c r="N68" i="7944"/>
  <c r="M68" i="7944"/>
  <c r="L68" i="7944"/>
  <c r="K68" i="7944"/>
  <c r="J68" i="7944"/>
  <c r="I68" i="7944"/>
  <c r="H68" i="7944"/>
  <c r="C68" i="7944"/>
  <c r="Q67" i="7944"/>
  <c r="P67" i="7944"/>
  <c r="O67" i="7944"/>
  <c r="N67" i="7944"/>
  <c r="M67" i="7944"/>
  <c r="L67" i="7944"/>
  <c r="K67" i="7944"/>
  <c r="J67" i="7944"/>
  <c r="I67" i="7944"/>
  <c r="H67" i="7944"/>
  <c r="C67" i="7944"/>
  <c r="Q66" i="7944"/>
  <c r="P66" i="7944"/>
  <c r="O66" i="7944"/>
  <c r="N66" i="7944"/>
  <c r="M66" i="7944"/>
  <c r="L66" i="7944"/>
  <c r="K66" i="7944"/>
  <c r="J66" i="7944"/>
  <c r="I66" i="7944"/>
  <c r="H66" i="7944"/>
  <c r="C66" i="7944"/>
  <c r="Q65" i="7944"/>
  <c r="P65" i="7944"/>
  <c r="O65" i="7944"/>
  <c r="N65" i="7944"/>
  <c r="M65" i="7944"/>
  <c r="L65" i="7944"/>
  <c r="K65" i="7944"/>
  <c r="J65" i="7944"/>
  <c r="I65" i="7944"/>
  <c r="H65" i="7944"/>
  <c r="C65" i="7944"/>
  <c r="Q64" i="7944"/>
  <c r="P64" i="7944"/>
  <c r="O64" i="7944"/>
  <c r="N64" i="7944"/>
  <c r="M64" i="7944"/>
  <c r="L64" i="7944"/>
  <c r="K64" i="7944"/>
  <c r="J64" i="7944"/>
  <c r="I64" i="7944"/>
  <c r="H64" i="7944"/>
  <c r="C64" i="7944"/>
  <c r="Q63" i="7944"/>
  <c r="P63" i="7944"/>
  <c r="O63" i="7944"/>
  <c r="N63" i="7944"/>
  <c r="M63" i="7944"/>
  <c r="L63" i="7944"/>
  <c r="K63" i="7944"/>
  <c r="J63" i="7944"/>
  <c r="I63" i="7944"/>
  <c r="H63" i="7944"/>
  <c r="C63" i="7944"/>
  <c r="Q62" i="7944"/>
  <c r="P62" i="7944"/>
  <c r="O62" i="7944"/>
  <c r="N62" i="7944"/>
  <c r="M62" i="7944"/>
  <c r="L62" i="7944"/>
  <c r="K62" i="7944"/>
  <c r="J62" i="7944"/>
  <c r="I62" i="7944"/>
  <c r="H62" i="7944"/>
  <c r="C62" i="7944"/>
  <c r="Q61" i="7944"/>
  <c r="P61" i="7944"/>
  <c r="O61" i="7944"/>
  <c r="N61" i="7944"/>
  <c r="M61" i="7944"/>
  <c r="L61" i="7944"/>
  <c r="K61" i="7944"/>
  <c r="J61" i="7944"/>
  <c r="I61" i="7944"/>
  <c r="H61" i="7944"/>
  <c r="C61" i="7944"/>
  <c r="Q60"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E343" i="1"/>
  <c r="E342" i="1"/>
  <c r="E341" i="1"/>
  <c r="E340" i="1"/>
  <c r="E339" i="1"/>
  <c r="E338" i="1"/>
  <c r="E337" i="1"/>
  <c r="E336" i="1"/>
  <c r="E335" i="1"/>
  <c r="E334" i="1"/>
  <c r="E333" i="1"/>
  <c r="E332" i="1"/>
  <c r="E331" i="1"/>
  <c r="Q327" i="1"/>
  <c r="P327" i="1"/>
  <c r="O327" i="1"/>
  <c r="N327" i="1"/>
  <c r="M327" i="1"/>
  <c r="L327" i="1"/>
  <c r="K327" i="1"/>
  <c r="J327" i="1"/>
  <c r="I327" i="1"/>
  <c r="H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E181" i="1"/>
  <c r="E180" i="1"/>
  <c r="E179" i="1"/>
  <c r="E178" i="1"/>
  <c r="E177" i="1"/>
  <c r="E176" i="1"/>
  <c r="E175" i="1"/>
  <c r="E174" i="1"/>
  <c r="E173" i="1"/>
  <c r="E172" i="1"/>
  <c r="E171" i="1"/>
  <c r="E170" i="1"/>
  <c r="E169" i="1"/>
  <c r="Q165" i="1"/>
  <c r="P165" i="1"/>
  <c r="O165" i="1"/>
  <c r="N165" i="1"/>
  <c r="M165" i="1"/>
  <c r="L165" i="1"/>
  <c r="K165" i="1"/>
  <c r="J165" i="1"/>
  <c r="I165" i="1"/>
  <c r="H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H12" i="18" l="1"/>
  <c r="H822" i="18" s="1"/>
  <c r="F225" i="7958"/>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26" i="18"/>
  <c r="I836" i="18" s="1"/>
  <c r="I74" i="7941" s="1"/>
  <c r="I34" i="18"/>
  <c r="I844" i="18" s="1"/>
  <c r="I82" i="7941" s="1"/>
  <c r="I42" i="18"/>
  <c r="I852" i="18" s="1"/>
  <c r="I90" i="7941" s="1"/>
  <c r="I54" i="18"/>
  <c r="I864" i="18" s="1"/>
  <c r="I102" i="7941" s="1"/>
  <c r="I22" i="18"/>
  <c r="I832" i="18" s="1"/>
  <c r="I30" i="18"/>
  <c r="I840" i="18" s="1"/>
  <c r="I78" i="7941" s="1"/>
  <c r="I46" i="18"/>
  <c r="I856" i="18" s="1"/>
  <c r="I94" i="7941" s="1"/>
  <c r="I58" i="18"/>
  <c r="I868" i="18" s="1"/>
  <c r="I106" i="7941" s="1"/>
  <c r="I18" i="18"/>
  <c r="I828" i="18" s="1"/>
  <c r="I38" i="18"/>
  <c r="I848" i="18" s="1"/>
  <c r="I86" i="7941" s="1"/>
  <c r="I50" i="18"/>
  <c r="I860" i="18" s="1"/>
  <c r="I98" i="7941" s="1"/>
  <c r="I16" i="18"/>
  <c r="I826" i="18" s="1"/>
  <c r="I20" i="18"/>
  <c r="I830" i="18" s="1"/>
  <c r="I24" i="18"/>
  <c r="I834" i="18"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298" i="18"/>
  <c r="I31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13" i="18"/>
  <c r="I823" i="18" s="1"/>
  <c r="I15" i="18"/>
  <c r="I825" i="18" s="1"/>
  <c r="I17" i="18"/>
  <c r="I827" i="18" s="1"/>
  <c r="I19" i="18"/>
  <c r="I829" i="18" s="1"/>
  <c r="I21" i="18"/>
  <c r="I831" i="18" s="1"/>
  <c r="I23" i="18"/>
  <c r="I833" i="18" s="1"/>
  <c r="I25" i="18"/>
  <c r="I835" i="18"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90" i="7941"/>
  <c r="K3" i="7944"/>
  <c r="J298" i="18"/>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69" i="7941" l="1"/>
  <c r="I72" i="7941"/>
  <c r="I67" i="7941"/>
  <c r="I68" i="7941"/>
  <c r="I66" i="7941"/>
  <c r="I70" i="7941"/>
  <c r="I61" i="7941"/>
  <c r="I73" i="7941"/>
  <c r="I65" i="7941"/>
  <c r="I64" i="7941"/>
  <c r="I62" i="7941"/>
  <c r="I71" i="7941"/>
  <c r="I63" i="7941"/>
  <c r="H115" i="7958"/>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L401"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518" i="18"/>
  <c r="I1115" i="18"/>
  <c r="I616" i="7941"/>
  <c r="I1239" i="18"/>
  <c r="I1605" i="18" s="1"/>
  <c r="L3" i="7944"/>
  <c r="I611" i="7941"/>
  <c r="H925" i="7941"/>
  <c r="J13" i="18"/>
  <c r="J823" i="18" s="1"/>
  <c r="J15" i="18"/>
  <c r="J825" i="18" s="1"/>
  <c r="J19" i="18"/>
  <c r="J829" i="18" s="1"/>
  <c r="J21" i="18"/>
  <c r="J831" i="18" s="1"/>
  <c r="J23" i="18"/>
  <c r="J833" i="18" s="1"/>
  <c r="J25" i="18"/>
  <c r="J835" i="18"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18" i="18"/>
  <c r="J828" i="18" s="1"/>
  <c r="J20" i="18"/>
  <c r="J830" i="18" s="1"/>
  <c r="J22" i="18"/>
  <c r="J832" i="18" s="1"/>
  <c r="J24" i="18"/>
  <c r="J834" i="18"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298" i="18"/>
  <c r="L3" i="18"/>
  <c r="I624" i="7941"/>
  <c r="L168" i="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633" i="7941"/>
  <c r="H947" i="7941"/>
  <c r="J65" i="7941" l="1"/>
  <c r="J72" i="7941"/>
  <c r="J62" i="7941"/>
  <c r="J69" i="7941"/>
  <c r="J70" i="7941"/>
  <c r="J67" i="7941"/>
  <c r="J68" i="7941"/>
  <c r="J64" i="7941"/>
  <c r="J73" i="7941"/>
  <c r="J63" i="7941"/>
  <c r="J66" i="7941"/>
  <c r="J71" i="7941"/>
  <c r="J61" i="7941"/>
  <c r="I620" i="7941"/>
  <c r="I48" i="7941"/>
  <c r="K727" i="18"/>
  <c r="I810" i="18"/>
  <c r="I1176" i="18" s="1"/>
  <c r="I1204" i="18"/>
  <c r="I1570"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74" i="18" s="1"/>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L363" i="18" s="1"/>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J1255" i="18"/>
  <c r="J649" i="7941" s="1"/>
  <c r="M3" i="7944"/>
  <c r="L688" i="18"/>
  <c r="L662" i="18"/>
  <c r="L636" i="18"/>
  <c r="L610" i="18"/>
  <c r="L506" i="18"/>
  <c r="L493" i="18"/>
  <c r="L480" i="18"/>
  <c r="L454" i="18"/>
  <c r="L415" i="18"/>
  <c r="L402" i="18"/>
  <c r="L376" i="18"/>
  <c r="L337" i="18"/>
  <c r="L324" i="18"/>
  <c r="L311" i="18"/>
  <c r="L298" i="18"/>
  <c r="L753" i="18"/>
  <c r="L701" i="18"/>
  <c r="L649" i="18"/>
  <c r="L597" i="18"/>
  <c r="L545" i="18"/>
  <c r="L727" i="18"/>
  <c r="L675" i="18"/>
  <c r="L623" i="18"/>
  <c r="L571" i="18"/>
  <c r="M3" i="18"/>
  <c r="M330" i="1"/>
  <c r="M222" i="1"/>
  <c r="M384" i="1"/>
  <c r="M276" i="1"/>
  <c r="M168" i="1"/>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13" i="18"/>
  <c r="K823" i="18" s="1"/>
  <c r="K15" i="18"/>
  <c r="K825" i="18" s="1"/>
  <c r="K17" i="18"/>
  <c r="K827" i="18" s="1"/>
  <c r="K19" i="18"/>
  <c r="K829" i="18" s="1"/>
  <c r="K21" i="18"/>
  <c r="K831" i="18" s="1"/>
  <c r="K23" i="18"/>
  <c r="K833" i="18" s="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J1243" i="18"/>
  <c r="J637" i="7941" s="1"/>
  <c r="I1572" i="18"/>
  <c r="M4" i="7944"/>
  <c r="M4" i="7941"/>
  <c r="M4" i="7942"/>
  <c r="M401" i="1"/>
  <c r="M4" i="18"/>
  <c r="N60" i="1"/>
  <c r="H944" i="7941"/>
  <c r="I630" i="7941"/>
  <c r="H918" i="7941"/>
  <c r="I604" i="7941"/>
  <c r="H926" i="7941"/>
  <c r="I612" i="7941"/>
  <c r="H59" i="7941"/>
  <c r="I621" i="7941"/>
  <c r="H935" i="7941"/>
  <c r="I629" i="7941"/>
  <c r="H943" i="7941"/>
  <c r="I60" i="7941"/>
  <c r="I59" i="7941" s="1"/>
  <c r="I821" i="18"/>
  <c r="I636" i="7941"/>
  <c r="I635" i="7941" s="1"/>
  <c r="I1241" i="18"/>
  <c r="H912" i="7941"/>
  <c r="I598" i="7941"/>
  <c r="H920" i="7941"/>
  <c r="I606" i="7941"/>
  <c r="H915" i="7941"/>
  <c r="I601" i="7941"/>
  <c r="H923" i="7941"/>
  <c r="I609" i="7941"/>
  <c r="H932" i="7941"/>
  <c r="I618" i="7941"/>
  <c r="M391" i="1"/>
  <c r="H635" i="7941"/>
  <c r="I1585" i="18"/>
  <c r="K12" i="18"/>
  <c r="K219" i="1"/>
  <c r="K14" i="18"/>
  <c r="K824" i="18" s="1"/>
  <c r="K16" i="18"/>
  <c r="K826" i="18" s="1"/>
  <c r="K18" i="18"/>
  <c r="K828" i="18" s="1"/>
  <c r="K20" i="18"/>
  <c r="K830" i="18" s="1"/>
  <c r="K22" i="18"/>
  <c r="K832" i="18" s="1"/>
  <c r="K24" i="18"/>
  <c r="K834" i="18"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H928" i="7941"/>
  <c r="I614" i="7941"/>
  <c r="K68" i="7941" l="1"/>
  <c r="K67" i="7941"/>
  <c r="K65" i="7941"/>
  <c r="K72" i="7941"/>
  <c r="K64" i="7941"/>
  <c r="K71" i="7941"/>
  <c r="K63" i="7941"/>
  <c r="K66" i="7941"/>
  <c r="K73" i="7941"/>
  <c r="K70" i="7941"/>
  <c r="K62" i="7941"/>
  <c r="K69" i="7941"/>
  <c r="K61" i="7941"/>
  <c r="J620" i="794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94" i="18" s="1"/>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J794" i="18"/>
  <c r="J1160" i="18" s="1"/>
  <c r="J898" i="18" s="1"/>
  <c r="K794" i="18" s="1"/>
  <c r="J789" i="18"/>
  <c r="J1155" i="18" s="1"/>
  <c r="K1104" i="18"/>
  <c r="I126" i="7941"/>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304" i="18"/>
  <c r="M460" i="18"/>
  <c r="M564" i="18"/>
  <c r="M616" i="18"/>
  <c r="M720" i="18"/>
  <c r="M421" i="18"/>
  <c r="M525" i="18"/>
  <c r="M629" i="18"/>
  <c r="M681" i="18"/>
  <c r="L16" i="18"/>
  <c r="L826" i="18" s="1"/>
  <c r="L18" i="18"/>
  <c r="L828" i="18" s="1"/>
  <c r="L23" i="18"/>
  <c r="L833" i="18"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19" i="18"/>
  <c r="L829" i="18" s="1"/>
  <c r="L21" i="18"/>
  <c r="L831" i="18"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76" i="18"/>
  <c r="L80" i="18"/>
  <c r="L1258" i="18" s="1"/>
  <c r="L652" i="7941" s="1"/>
  <c r="M330" i="18"/>
  <c r="L88" i="18"/>
  <c r="L1266" i="18" s="1"/>
  <c r="L660" i="7941" s="1"/>
  <c r="M434" i="18"/>
  <c r="L67" i="18"/>
  <c r="L1245" i="18" s="1"/>
  <c r="L639" i="7941" s="1"/>
  <c r="L73" i="18"/>
  <c r="L1251" i="18" s="1"/>
  <c r="L645" i="7941" s="1"/>
  <c r="L77" i="18"/>
  <c r="L1255" i="18" s="1"/>
  <c r="L649" i="7941" s="1"/>
  <c r="L85" i="18"/>
  <c r="L1263" i="18" s="1"/>
  <c r="L657" i="7941" s="1"/>
  <c r="M395" i="18"/>
  <c r="L89" i="18"/>
  <c r="L1267" i="18" s="1"/>
  <c r="L661" i="7941" s="1"/>
  <c r="M447" i="18"/>
  <c r="L8" i="7942"/>
  <c r="M356" i="18"/>
  <c r="M408" i="18"/>
  <c r="M317" i="18"/>
  <c r="M369" i="18"/>
  <c r="N3" i="7944"/>
  <c r="K1098" i="18"/>
  <c r="L17" i="18"/>
  <c r="L827" i="18" s="1"/>
  <c r="L22" i="18"/>
  <c r="L832" i="18" s="1"/>
  <c r="L24" i="18"/>
  <c r="L834" i="18"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15" i="18"/>
  <c r="L825" i="18" s="1"/>
  <c r="L20" i="18"/>
  <c r="L830" i="18" s="1"/>
  <c r="L25" i="18"/>
  <c r="L835" i="18"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I1314" i="18"/>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L64" i="18"/>
  <c r="L381" i="1"/>
  <c r="K1244" i="18"/>
  <c r="K638" i="7941" s="1"/>
  <c r="K822" i="18"/>
  <c r="K11" i="18"/>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I1311" i="18"/>
  <c r="I1308" i="18"/>
  <c r="I1322" i="18"/>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09" i="18"/>
  <c r="K805" i="18" s="1"/>
  <c r="J918" i="18"/>
  <c r="K814" i="18" s="1"/>
  <c r="J917" i="18"/>
  <c r="K813" i="18" s="1"/>
  <c r="J889" i="18" l="1"/>
  <c r="K785" i="18" s="1"/>
  <c r="L73" i="7941"/>
  <c r="L72" i="7941"/>
  <c r="L66" i="7941"/>
  <c r="L68" i="7941"/>
  <c r="L70" i="7941"/>
  <c r="L69" i="7941"/>
  <c r="L64" i="7941"/>
  <c r="L63" i="7941"/>
  <c r="L65" i="7941"/>
  <c r="L67" i="7941"/>
  <c r="L61" i="7941"/>
  <c r="L62" i="7941"/>
  <c r="L71" i="7941"/>
  <c r="J810" i="18"/>
  <c r="J1176" i="18" s="1"/>
  <c r="J914" i="18" s="1"/>
  <c r="K810" i="18" s="1"/>
  <c r="I362" i="7941"/>
  <c r="M45" i="18"/>
  <c r="M855" i="18" s="1"/>
  <c r="M93" i="7941" s="1"/>
  <c r="M49" i="18"/>
  <c r="M859" i="18" s="1"/>
  <c r="M97" i="7941" s="1"/>
  <c r="M53" i="18"/>
  <c r="M57" i="18"/>
  <c r="M867" i="18" s="1"/>
  <c r="M105" i="7941" s="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35" i="18"/>
  <c r="M845" i="18" s="1"/>
  <c r="M83" i="7941" s="1"/>
  <c r="M16" i="18"/>
  <c r="M826" i="18" s="1"/>
  <c r="M20" i="18"/>
  <c r="M830" i="18" s="1"/>
  <c r="M24" i="18"/>
  <c r="M834" i="18" s="1"/>
  <c r="M28" i="18"/>
  <c r="M838" i="18" s="1"/>
  <c r="M76" i="7941" s="1"/>
  <c r="M36" i="18"/>
  <c r="M846" i="18" s="1"/>
  <c r="M84" i="7941" s="1"/>
  <c r="M40" i="18"/>
  <c r="M850" i="18" s="1"/>
  <c r="M88" i="7941" s="1"/>
  <c r="M13" i="18"/>
  <c r="M823" i="18" s="1"/>
  <c r="M17" i="18"/>
  <c r="M827" i="18" s="1"/>
  <c r="M21" i="18"/>
  <c r="M831" i="18" s="1"/>
  <c r="M25" i="18"/>
  <c r="M835" i="18" s="1"/>
  <c r="M29" i="18"/>
  <c r="M839" i="18" s="1"/>
  <c r="M77" i="7941" s="1"/>
  <c r="M33" i="18"/>
  <c r="M843" i="18" s="1"/>
  <c r="M81" i="7941" s="1"/>
  <c r="M37" i="18"/>
  <c r="M847" i="18" s="1"/>
  <c r="M85" i="7941" s="1"/>
  <c r="M41" i="18"/>
  <c r="M851" i="18" s="1"/>
  <c r="M89" i="7941" s="1"/>
  <c r="M61" i="18"/>
  <c r="M871" i="18" s="1"/>
  <c r="M109" i="7941" s="1"/>
  <c r="M15" i="18"/>
  <c r="M825" i="18" s="1"/>
  <c r="M19" i="18"/>
  <c r="M829" i="18" s="1"/>
  <c r="M39" i="18"/>
  <c r="M849" i="18" s="1"/>
  <c r="M87" i="7941" s="1"/>
  <c r="M14" i="18"/>
  <c r="M824" i="18" s="1"/>
  <c r="M18" i="18"/>
  <c r="M828" i="18" s="1"/>
  <c r="M22" i="18"/>
  <c r="M832" i="18"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M77" i="18"/>
  <c r="M1255" i="18" s="1"/>
  <c r="M649" i="7941" s="1"/>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66" i="18"/>
  <c r="M1244" i="18" s="1"/>
  <c r="M638" i="7941" s="1"/>
  <c r="M72" i="18"/>
  <c r="M1250" i="18" s="1"/>
  <c r="M644" i="7941" s="1"/>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M75" i="18"/>
  <c r="M1253" i="18" s="1"/>
  <c r="M64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53" i="18"/>
  <c r="L647" i="7941" s="1"/>
  <c r="L1288" i="18"/>
  <c r="L682" i="7941" s="1"/>
  <c r="L1272" i="18"/>
  <c r="L666" i="7941" s="1"/>
  <c r="L1248" i="18"/>
  <c r="L642" i="7941" s="1"/>
  <c r="L1285" i="18"/>
  <c r="L679" i="7941" s="1"/>
  <c r="L1261" i="18"/>
  <c r="L655" i="7941" s="1"/>
  <c r="L1254" i="18"/>
  <c r="L648" i="7941" s="1"/>
  <c r="M68" i="18"/>
  <c r="M1246" i="18" s="1"/>
  <c r="M640" i="7941" s="1"/>
  <c r="M70" i="18"/>
  <c r="M1248" i="18" s="1"/>
  <c r="M642" i="7941" s="1"/>
  <c r="M74" i="18"/>
  <c r="M1252" i="18" s="1"/>
  <c r="M646" i="7941" s="1"/>
  <c r="M76" i="18"/>
  <c r="M1254" i="18" s="1"/>
  <c r="M648" i="7941" s="1"/>
  <c r="M80" i="18"/>
  <c r="M1258" i="18" s="1"/>
  <c r="M652" i="7941" s="1"/>
  <c r="N331" i="18"/>
  <c r="M82" i="18"/>
  <c r="M1260" i="18" s="1"/>
  <c r="M654" i="7941" s="1"/>
  <c r="N357" i="18"/>
  <c r="M86" i="18"/>
  <c r="M1264" i="18" s="1"/>
  <c r="M658" i="7941" s="1"/>
  <c r="N409" i="18"/>
  <c r="M88" i="18"/>
  <c r="M1266" i="18" s="1"/>
  <c r="M660" i="7941" s="1"/>
  <c r="N435" i="18"/>
  <c r="M67" i="18"/>
  <c r="M1245" i="18" s="1"/>
  <c r="M639" i="7941" s="1"/>
  <c r="M71" i="18"/>
  <c r="M1249" i="18" s="1"/>
  <c r="M643" i="7941" s="1"/>
  <c r="M73" i="18"/>
  <c r="M79" i="18"/>
  <c r="M1257" i="18" s="1"/>
  <c r="M651" i="7941" s="1"/>
  <c r="N318" i="18"/>
  <c r="M83" i="18"/>
  <c r="N370" i="18"/>
  <c r="M85" i="18"/>
  <c r="M1263" i="18" s="1"/>
  <c r="M657" i="7941" s="1"/>
  <c r="N396" i="18"/>
  <c r="M89" i="18"/>
  <c r="N448" i="18"/>
  <c r="L1521" i="18"/>
  <c r="L1098"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M863" i="18"/>
  <c r="M101" i="7941" s="1"/>
  <c r="O388" i="1"/>
  <c r="I702" i="7941"/>
  <c r="J598" i="7941" s="1"/>
  <c r="J1204" i="18"/>
  <c r="J1579" i="18"/>
  <c r="I704" i="7941"/>
  <c r="J600" i="7941" s="1"/>
  <c r="J1206" i="18"/>
  <c r="I709" i="7941"/>
  <c r="J605" i="7941" s="1"/>
  <c r="J1211" i="18"/>
  <c r="L1242" i="18"/>
  <c r="L63" i="18"/>
  <c r="L822" i="18"/>
  <c r="L11" i="18"/>
  <c r="I925" i="7941"/>
  <c r="I708" i="7941"/>
  <c r="J604" i="7941" s="1"/>
  <c r="J1210" i="18"/>
  <c r="I710" i="7941"/>
  <c r="J606" i="7941" s="1"/>
  <c r="J1212" i="18"/>
  <c r="I717" i="7941"/>
  <c r="J613" i="7941" s="1"/>
  <c r="J1219" i="18"/>
  <c r="K636" i="7941"/>
  <c r="K635" i="7941" s="1"/>
  <c r="K1241"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I716" i="7941"/>
  <c r="J612" i="7941" s="1"/>
  <c r="J1218" i="18"/>
  <c r="I705" i="7941"/>
  <c r="J601" i="7941" s="1"/>
  <c r="J1207" i="18"/>
  <c r="I921" i="7941"/>
  <c r="O4" i="7944"/>
  <c r="O4" i="7941"/>
  <c r="O4" i="7942"/>
  <c r="O4" i="18"/>
  <c r="O401" i="1"/>
  <c r="P60" i="1"/>
  <c r="I714" i="7941"/>
  <c r="J610" i="7941" s="1"/>
  <c r="J1216" i="18"/>
  <c r="O391" i="1"/>
  <c r="K60" i="7941"/>
  <c r="K59" i="7941" s="1"/>
  <c r="K821" i="18"/>
  <c r="J1583" i="18"/>
  <c r="I713" i="7941"/>
  <c r="J609" i="7941" s="1"/>
  <c r="J1215" i="18"/>
  <c r="I913" i="7941"/>
  <c r="I712" i="7941"/>
  <c r="J608" i="7941" s="1"/>
  <c r="J1214" i="18"/>
  <c r="I706" i="7941"/>
  <c r="J602" i="7941" s="1"/>
  <c r="J1208" i="18"/>
  <c r="M12" i="18"/>
  <c r="M219" i="1"/>
  <c r="M64" i="18"/>
  <c r="M381" i="1"/>
  <c r="L1243" i="18"/>
  <c r="L637" i="7941" s="1"/>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53" i="18" l="1"/>
  <c r="M73" i="7941"/>
  <c r="M68" i="7941"/>
  <c r="M70" i="7941"/>
  <c r="M67" i="7941"/>
  <c r="M69" i="7941"/>
  <c r="M64" i="7941"/>
  <c r="M66" i="7941"/>
  <c r="M63" i="7941"/>
  <c r="M65" i="7941"/>
  <c r="M62" i="7941"/>
  <c r="M61" i="7941"/>
  <c r="M72" i="7941"/>
  <c r="M71" i="7941"/>
  <c r="L1535" i="18"/>
  <c r="L1527" i="18"/>
  <c r="L1547" i="18"/>
  <c r="L1127" i="18"/>
  <c r="J148" i="7941"/>
  <c r="J358" i="7941" s="1"/>
  <c r="L1539" i="18"/>
  <c r="J141" i="7941"/>
  <c r="J351" i="7941" s="1"/>
  <c r="L1119" i="18"/>
  <c r="J158" i="7941"/>
  <c r="J368" i="7941" s="1"/>
  <c r="J132" i="7941"/>
  <c r="K28" i="7941" s="1"/>
  <c r="L1115" i="18"/>
  <c r="L1108" i="18"/>
  <c r="L1528" i="18"/>
  <c r="J137" i="7941"/>
  <c r="J347" i="7941" s="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310" i="18"/>
  <c r="N1518" i="18" s="1"/>
  <c r="N518" i="18"/>
  <c r="N1534" i="18" s="1"/>
  <c r="N661" i="18"/>
  <c r="N1545" i="18" s="1"/>
  <c r="N557" i="18"/>
  <c r="N1537" i="18" s="1"/>
  <c r="N427" i="18"/>
  <c r="N1107" i="18" s="1"/>
  <c r="N635" i="18"/>
  <c r="N1543" i="18" s="1"/>
  <c r="N440" i="18"/>
  <c r="N388" i="18"/>
  <c r="N1524" i="18" s="1"/>
  <c r="N739" i="18"/>
  <c r="N1551" i="18" s="1"/>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M1518" i="18"/>
  <c r="J369" i="7941"/>
  <c r="L1533" i="18"/>
  <c r="N43" i="18"/>
  <c r="N853" i="18" s="1"/>
  <c r="N91" i="7941" s="1"/>
  <c r="N46" i="18"/>
  <c r="N856" i="18" s="1"/>
  <c r="N94" i="7941" s="1"/>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24" i="18"/>
  <c r="N834" i="18" s="1"/>
  <c r="N32" i="18"/>
  <c r="N842" i="18" s="1"/>
  <c r="N80" i="7941" s="1"/>
  <c r="N19" i="18"/>
  <c r="N829" i="18" s="1"/>
  <c r="N28" i="18"/>
  <c r="N838" i="18" s="1"/>
  <c r="N76" i="7941" s="1"/>
  <c r="N36" i="18"/>
  <c r="N846" i="18" s="1"/>
  <c r="N84" i="7941" s="1"/>
  <c r="N23" i="18"/>
  <c r="N833" i="18" s="1"/>
  <c r="N17" i="18"/>
  <c r="N827" i="18" s="1"/>
  <c r="N21" i="18"/>
  <c r="N831" i="18"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114" i="18"/>
  <c r="M1524" i="18"/>
  <c r="M1127" i="18"/>
  <c r="M1520" i="18"/>
  <c r="N13" i="18"/>
  <c r="N823" i="18" s="1"/>
  <c r="N15" i="18"/>
  <c r="N825" i="18" s="1"/>
  <c r="N18" i="18"/>
  <c r="N828" i="18" s="1"/>
  <c r="N20" i="18"/>
  <c r="N830" i="18" s="1"/>
  <c r="N22" i="18"/>
  <c r="N832" i="18" s="1"/>
  <c r="N25" i="18"/>
  <c r="N835" i="18"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N1099" i="18"/>
  <c r="M1553" i="18"/>
  <c r="J340" i="7941"/>
  <c r="A45" i="7946"/>
  <c r="O9" i="7942"/>
  <c r="O392" i="1"/>
  <c r="N8" i="7942"/>
  <c r="N1528" i="18"/>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75" i="18"/>
  <c r="N1253" i="18" s="1"/>
  <c r="N647" i="7941" s="1"/>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N72" i="18"/>
  <c r="N1250" i="18" s="1"/>
  <c r="N644" i="7941" s="1"/>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251" i="18"/>
  <c r="M645" i="7941" s="1"/>
  <c r="M1108" i="18"/>
  <c r="N71" i="18"/>
  <c r="N79" i="18"/>
  <c r="N1257" i="18" s="1"/>
  <c r="N651" i="7941" s="1"/>
  <c r="O319" i="18"/>
  <c r="N83" i="18"/>
  <c r="O371" i="18"/>
  <c r="N68" i="18"/>
  <c r="N76" i="18"/>
  <c r="N1254" i="18" s="1"/>
  <c r="N648" i="7941" s="1"/>
  <c r="N80" i="18"/>
  <c r="O332" i="18"/>
  <c r="N84" i="18"/>
  <c r="N1262" i="18" s="1"/>
  <c r="N656" i="7941" s="1"/>
  <c r="O384" i="18"/>
  <c r="N88" i="18"/>
  <c r="O436" i="18"/>
  <c r="M1112" i="18"/>
  <c r="M1101" i="18"/>
  <c r="N73" i="18"/>
  <c r="N77" i="18"/>
  <c r="N1255" i="18" s="1"/>
  <c r="N649" i="7941" s="1"/>
  <c r="N85" i="18"/>
  <c r="N1263" i="18" s="1"/>
  <c r="N657" i="7941" s="1"/>
  <c r="O397" i="18"/>
  <c r="N89" i="18"/>
  <c r="O449" i="18"/>
  <c r="N67" i="18"/>
  <c r="N1245" i="18" s="1"/>
  <c r="N639" i="7941" s="1"/>
  <c r="N70" i="18"/>
  <c r="N74" i="18"/>
  <c r="N1252" i="18" s="1"/>
  <c r="N646" i="7941" s="1"/>
  <c r="N82" i="18"/>
  <c r="N1260" i="18" s="1"/>
  <c r="N654" i="7941" s="1"/>
  <c r="O358" i="18"/>
  <c r="N86" i="18"/>
  <c r="O410" i="18"/>
  <c r="M1098"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M1242" i="18"/>
  <c r="M63" i="18"/>
  <c r="J1574" i="18"/>
  <c r="I922" i="7941"/>
  <c r="I923" i="7941"/>
  <c r="I924" i="7941"/>
  <c r="P4" i="7944"/>
  <c r="P4" i="7941"/>
  <c r="P4" i="18"/>
  <c r="P401" i="1"/>
  <c r="Q60" i="1"/>
  <c r="P4" i="7942"/>
  <c r="J1573" i="18"/>
  <c r="I926" i="7941"/>
  <c r="J1313" i="18"/>
  <c r="K1209" i="18" s="1"/>
  <c r="N12" i="18"/>
  <c r="N219" i="1"/>
  <c r="N381" i="1"/>
  <c r="N64" i="18"/>
  <c r="I927" i="7941"/>
  <c r="J1309" i="18"/>
  <c r="K1205" i="18" s="1"/>
  <c r="J1578" i="18"/>
  <c r="I918" i="7941"/>
  <c r="L636" i="7941"/>
  <c r="L635" i="7941" s="1"/>
  <c r="L1241" i="18"/>
  <c r="I919" i="7941"/>
  <c r="I914" i="7941"/>
  <c r="J1570" i="18"/>
  <c r="M822" i="18"/>
  <c r="M11" i="18"/>
  <c r="I916" i="7941"/>
  <c r="J1580" i="18"/>
  <c r="J1581" i="18"/>
  <c r="J1321" i="18"/>
  <c r="K1217" i="18" s="1"/>
  <c r="P391" i="1"/>
  <c r="Q391" i="1"/>
  <c r="J1582" i="18"/>
  <c r="I915" i="7941"/>
  <c r="J1584"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I920" i="7941"/>
  <c r="J1576" i="18"/>
  <c r="L60" i="7941"/>
  <c r="L59" i="7941" s="1"/>
  <c r="L821"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2" i="7941"/>
  <c r="K35" i="7941"/>
  <c r="K31" i="7941"/>
  <c r="K23" i="7941"/>
  <c r="K34" i="7941"/>
  <c r="K26" i="7941"/>
  <c r="K22"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K36" i="7941" l="1"/>
  <c r="N64" i="7941"/>
  <c r="N66" i="7941"/>
  <c r="N65" i="7941"/>
  <c r="N67" i="7941"/>
  <c r="N73" i="7941"/>
  <c r="N63" i="7941"/>
  <c r="N71" i="7941"/>
  <c r="N70" i="7941"/>
  <c r="N61" i="7941"/>
  <c r="N72" i="7941"/>
  <c r="N68" i="7941"/>
  <c r="N69" i="7941"/>
  <c r="N62" i="7941"/>
  <c r="K33" i="7941"/>
  <c r="K44" i="7941"/>
  <c r="K24" i="7941"/>
  <c r="O336" i="18"/>
  <c r="O1520" i="18" s="1"/>
  <c r="K37" i="7941"/>
  <c r="K41" i="7941"/>
  <c r="J342" i="7941"/>
  <c r="K46" i="7941"/>
  <c r="O310" i="18"/>
  <c r="O1518" i="18" s="1"/>
  <c r="O518" i="18"/>
  <c r="O1534" i="18" s="1"/>
  <c r="O713" i="18"/>
  <c r="O1549" i="18" s="1"/>
  <c r="O362" i="18"/>
  <c r="O687" i="18"/>
  <c r="O1547" i="18" s="1"/>
  <c r="O479" i="18"/>
  <c r="O1111" i="18" s="1"/>
  <c r="O700" i="18"/>
  <c r="O1548" i="18" s="1"/>
  <c r="O531" i="18"/>
  <c r="O1115" i="18" s="1"/>
  <c r="O661" i="18"/>
  <c r="O609" i="18"/>
  <c r="O1541" i="18" s="1"/>
  <c r="O648" i="18"/>
  <c r="O1124" i="18" s="1"/>
  <c r="O570" i="18"/>
  <c r="O765" i="18"/>
  <c r="O1553" i="18" s="1"/>
  <c r="O635" i="18"/>
  <c r="O349" i="18"/>
  <c r="O1101" i="18" s="1"/>
  <c r="O544" i="18"/>
  <c r="O1536" i="18" s="1"/>
  <c r="O414" i="18"/>
  <c r="O492" i="18"/>
  <c r="O1112" i="18" s="1"/>
  <c r="O388" i="18"/>
  <c r="O1524" i="18" s="1"/>
  <c r="O427" i="18"/>
  <c r="O1527" i="18" s="1"/>
  <c r="O583" i="18"/>
  <c r="O1119" i="18" s="1"/>
  <c r="O453" i="18"/>
  <c r="O1529" i="18" s="1"/>
  <c r="O323" i="18"/>
  <c r="O1099" i="18" s="1"/>
  <c r="O440" i="18"/>
  <c r="O1528" i="18" s="1"/>
  <c r="O557" i="18"/>
  <c r="O1537" i="18" s="1"/>
  <c r="O752" i="18"/>
  <c r="O1132" i="18" s="1"/>
  <c r="O739" i="18"/>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8" i="7949"/>
  <c r="J1799" i="7949"/>
  <c r="J1637" i="7949"/>
  <c r="J827" i="7949"/>
  <c r="J341" i="7949"/>
  <c r="J340" i="7949"/>
  <c r="J880" i="7949"/>
  <c r="J11" i="7949"/>
  <c r="J2660" i="7949"/>
  <c r="J662" i="7949"/>
  <c r="J1364" i="7949"/>
  <c r="J2390" i="7949"/>
  <c r="J2447" i="7949"/>
  <c r="J2501" i="7949"/>
  <c r="J557" i="7949"/>
  <c r="J2554" i="7949"/>
  <c r="J988" i="7949"/>
  <c r="J1528" i="7949"/>
  <c r="J70" i="7949"/>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18" i="18"/>
  <c r="O828" i="18" s="1"/>
  <c r="O22" i="18"/>
  <c r="O832" i="18" s="1"/>
  <c r="O26" i="18"/>
  <c r="O836" i="18" s="1"/>
  <c r="O74" i="7941" s="1"/>
  <c r="O30" i="18"/>
  <c r="O840" i="18" s="1"/>
  <c r="O78" i="7941" s="1"/>
  <c r="O34" i="18"/>
  <c r="O844" i="18" s="1"/>
  <c r="O82" i="7941" s="1"/>
  <c r="O38" i="18"/>
  <c r="O848" i="18" s="1"/>
  <c r="O86" i="7941" s="1"/>
  <c r="O15" i="18"/>
  <c r="O825" i="18" s="1"/>
  <c r="O19" i="18"/>
  <c r="O829" i="18" s="1"/>
  <c r="O23" i="18"/>
  <c r="O833" i="18" s="1"/>
  <c r="O27" i="18"/>
  <c r="O837" i="18" s="1"/>
  <c r="O75" i="7941" s="1"/>
  <c r="O31" i="18"/>
  <c r="O841" i="18" s="1"/>
  <c r="O79" i="7941" s="1"/>
  <c r="O35" i="18"/>
  <c r="O845" i="18" s="1"/>
  <c r="O83" i="7941" s="1"/>
  <c r="O39" i="18"/>
  <c r="O849" i="18" s="1"/>
  <c r="O87" i="7941" s="1"/>
  <c r="O16" i="18"/>
  <c r="O826" i="18" s="1"/>
  <c r="O20" i="18"/>
  <c r="O830" i="18" s="1"/>
  <c r="O24" i="18"/>
  <c r="O834" i="18" s="1"/>
  <c r="O28" i="18"/>
  <c r="O838" i="18" s="1"/>
  <c r="O76" i="7941" s="1"/>
  <c r="O32" i="18"/>
  <c r="O842" i="18" s="1"/>
  <c r="O80" i="7941" s="1"/>
  <c r="O36" i="18"/>
  <c r="O846" i="18" s="1"/>
  <c r="O84" i="7941" s="1"/>
  <c r="O40" i="18"/>
  <c r="O850" i="18" s="1"/>
  <c r="O88" i="7941" s="1"/>
  <c r="O13" i="18"/>
  <c r="O823" i="18" s="1"/>
  <c r="O17" i="18"/>
  <c r="O827" i="18" s="1"/>
  <c r="O21" i="18"/>
  <c r="O831" i="18" s="1"/>
  <c r="O25" i="18"/>
  <c r="O835" i="18"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O1118" i="18"/>
  <c r="N1544" i="18"/>
  <c r="N1520" i="18"/>
  <c r="A46" i="7946"/>
  <c r="Q9" i="7942"/>
  <c r="Q392" i="1"/>
  <c r="P9" i="7942"/>
  <c r="P392" i="1"/>
  <c r="O8" i="7942"/>
  <c r="O1545" i="18"/>
  <c r="O1522" i="18"/>
  <c r="O1543" i="18"/>
  <c r="N1123" i="18"/>
  <c r="N1114" i="18"/>
  <c r="N1108" i="18"/>
  <c r="N1106" i="18"/>
  <c r="O113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6" i="18"/>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75" i="18"/>
  <c r="O1253" i="18" s="1"/>
  <c r="O647"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O70" i="18"/>
  <c r="O74" i="18"/>
  <c r="O1252" i="18" s="1"/>
  <c r="O646" i="7941" s="1"/>
  <c r="O76" i="18"/>
  <c r="O1254" i="18" s="1"/>
  <c r="O648"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O82" i="18"/>
  <c r="P359" i="18"/>
  <c r="Q3"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O12" i="18"/>
  <c r="O219" i="1"/>
  <c r="O64" i="18"/>
  <c r="O381" i="1"/>
  <c r="N1243" i="18"/>
  <c r="N637" i="7941" s="1"/>
  <c r="J1322" i="18"/>
  <c r="K1218" i="18" s="1"/>
  <c r="J1320" i="18"/>
  <c r="K1216" i="18" s="1"/>
  <c r="J715" i="7941"/>
  <c r="J925" i="7941" s="1"/>
  <c r="J1318" i="18"/>
  <c r="K1214" i="18" s="1"/>
  <c r="M60" i="7941"/>
  <c r="M59" i="7941" s="1"/>
  <c r="M821" i="18"/>
  <c r="J703" i="7941"/>
  <c r="J913" i="7941" s="1"/>
  <c r="N822" i="18"/>
  <c r="N11" i="18"/>
  <c r="J1311" i="18"/>
  <c r="K1207" i="18" s="1"/>
  <c r="Q4" i="7944"/>
  <c r="R4" i="7944" s="1"/>
  <c r="Q7" i="7946" s="1"/>
  <c r="E5" i="7946" s="1"/>
  <c r="Q4" i="7941"/>
  <c r="Q4" i="7942"/>
  <c r="Q401" i="1"/>
  <c r="Q4" i="18"/>
  <c r="R4" i="18" s="1"/>
  <c r="O65"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19" i="18"/>
  <c r="K1215" i="18" s="1"/>
  <c r="J1308" i="18"/>
  <c r="K1204" i="18" s="1"/>
  <c r="J1316" i="18"/>
  <c r="K1212" i="18" s="1"/>
  <c r="N1242" i="18"/>
  <c r="N63" i="18"/>
  <c r="J707" i="7941"/>
  <c r="J917" i="7941" s="1"/>
  <c r="J1312" i="18"/>
  <c r="K1208" i="18" s="1"/>
  <c r="M636" i="7941"/>
  <c r="M635" i="7941" s="1"/>
  <c r="M1241" i="18"/>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71" i="7941" l="1"/>
  <c r="O66" i="7941"/>
  <c r="O65" i="7941"/>
  <c r="O61" i="7941"/>
  <c r="O73" i="7941"/>
  <c r="O72" i="7941"/>
  <c r="O67" i="7941"/>
  <c r="O62" i="7941"/>
  <c r="O64" i="7941"/>
  <c r="O70" i="7941"/>
  <c r="O69" i="7941"/>
  <c r="O68" i="7941"/>
  <c r="O63" i="7941"/>
  <c r="T30" i="7950"/>
  <c r="U625" i="7950"/>
  <c r="P713" i="18"/>
  <c r="P1549" i="18" s="1"/>
  <c r="P336" i="18"/>
  <c r="P1520" i="18" s="1"/>
  <c r="P440" i="18"/>
  <c r="P1528" i="18" s="1"/>
  <c r="P583" i="18"/>
  <c r="P1539" i="18" s="1"/>
  <c r="P362" i="18"/>
  <c r="P1102" i="18" s="1"/>
  <c r="P518" i="18"/>
  <c r="P1114" i="18" s="1"/>
  <c r="P310" i="18"/>
  <c r="P388" i="18"/>
  <c r="P1104" i="18" s="1"/>
  <c r="P648" i="18"/>
  <c r="P1544" i="18" s="1"/>
  <c r="P700" i="18"/>
  <c r="P1548" i="18" s="1"/>
  <c r="P323" i="18"/>
  <c r="P635" i="18"/>
  <c r="P1543" i="18" s="1"/>
  <c r="P661" i="18"/>
  <c r="P1125" i="18" s="1"/>
  <c r="P479" i="18"/>
  <c r="P1531" i="18" s="1"/>
  <c r="P726" i="18"/>
  <c r="P1550" i="18" s="1"/>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387" i="7950"/>
  <c r="J399" i="7950" s="1"/>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441" i="7950"/>
  <c r="J453" i="7950" s="1"/>
  <c r="J1413" i="7950"/>
  <c r="J1425" i="7950" s="1"/>
  <c r="K1425" i="7950" s="1"/>
  <c r="J225" i="7950"/>
  <c r="J237"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J117" i="7950"/>
  <c r="J129" i="7950" s="1"/>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279" i="7950"/>
  <c r="J291" i="7950" s="1"/>
  <c r="J1521" i="7950"/>
  <c r="J1533" i="7950" s="1"/>
  <c r="K1533" i="7950" s="1"/>
  <c r="J495" i="7950"/>
  <c r="J507" i="7950" s="1"/>
  <c r="J657" i="7950"/>
  <c r="J669"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549" i="7950"/>
  <c r="J561"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603" i="7950"/>
  <c r="J615" i="7950" s="1"/>
  <c r="J171" i="7950"/>
  <c r="J183"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333" i="7950"/>
  <c r="J345" i="7950" s="1"/>
  <c r="J1359" i="7950"/>
  <c r="J1371" i="7950" s="1"/>
  <c r="K1371" i="7950" s="1"/>
  <c r="J63" i="7950"/>
  <c r="J75"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1891" i="7950"/>
  <c r="V1867"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23" i="18"/>
  <c r="P833" i="18" s="1"/>
  <c r="P36" i="18"/>
  <c r="P846" i="18" s="1"/>
  <c r="P84" i="7941" s="1"/>
  <c r="P13" i="18"/>
  <c r="P823" i="18" s="1"/>
  <c r="P19" i="18"/>
  <c r="P829" i="18" s="1"/>
  <c r="P28" i="18"/>
  <c r="P838" i="18" s="1"/>
  <c r="P76" i="7941" s="1"/>
  <c r="P32" i="18"/>
  <c r="P842" i="18" s="1"/>
  <c r="P80" i="7941" s="1"/>
  <c r="P21" i="18"/>
  <c r="P831" i="18" s="1"/>
  <c r="P34" i="18"/>
  <c r="P844" i="18" s="1"/>
  <c r="P82" i="7941" s="1"/>
  <c r="P38" i="18"/>
  <c r="P848" i="18" s="1"/>
  <c r="P86" i="7941" s="1"/>
  <c r="P15" i="18"/>
  <c r="P825" i="18"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16" i="18"/>
  <c r="P826" i="18" s="1"/>
  <c r="P20" i="18"/>
  <c r="P830" i="18" s="1"/>
  <c r="P22" i="18"/>
  <c r="P832" i="18" s="1"/>
  <c r="P24" i="18"/>
  <c r="P834" i="18" s="1"/>
  <c r="P35" i="18"/>
  <c r="P845" i="18" s="1"/>
  <c r="P83" i="7941" s="1"/>
  <c r="P37" i="18"/>
  <c r="P847" i="18" s="1"/>
  <c r="P85" i="7941" s="1"/>
  <c r="P40" i="18"/>
  <c r="P850" i="18" s="1"/>
  <c r="P88" i="7941" s="1"/>
  <c r="P43" i="18"/>
  <c r="P853" i="18" s="1"/>
  <c r="P91" i="7941" s="1"/>
  <c r="P14" i="18"/>
  <c r="P824" i="18" s="1"/>
  <c r="P17" i="18"/>
  <c r="P827" i="18" s="1"/>
  <c r="P25" i="18"/>
  <c r="P835" i="18"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P1115" i="18"/>
  <c r="O1116" i="18"/>
  <c r="O1103" i="18"/>
  <c r="P151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P75" i="18"/>
  <c r="P1253" i="18" s="1"/>
  <c r="P647" i="7941" s="1"/>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P84" i="18"/>
  <c r="P1262" i="18" s="1"/>
  <c r="P656" i="7941" s="1"/>
  <c r="Q386" i="18"/>
  <c r="P100" i="18"/>
  <c r="P1278" i="18" s="1"/>
  <c r="P672" i="7941" s="1"/>
  <c r="Q594" i="18"/>
  <c r="P108" i="18"/>
  <c r="P1286" i="18" s="1"/>
  <c r="P680" i="7941" s="1"/>
  <c r="Q698" i="18"/>
  <c r="P112" i="18"/>
  <c r="P1290" i="18" s="1"/>
  <c r="P684" i="7941" s="1"/>
  <c r="Q750" i="18"/>
  <c r="P69" i="18"/>
  <c r="P1247" i="18" s="1"/>
  <c r="P641" i="7941" s="1"/>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P80" i="18"/>
  <c r="P1258" i="18" s="1"/>
  <c r="P652" i="7941" s="1"/>
  <c r="Q334" i="18"/>
  <c r="P88" i="18"/>
  <c r="P1266" i="18" s="1"/>
  <c r="P660" i="7941" s="1"/>
  <c r="Q438" i="18"/>
  <c r="P67" i="18"/>
  <c r="P1245" i="18" s="1"/>
  <c r="P639" i="7941" s="1"/>
  <c r="P73" i="18"/>
  <c r="P1251" i="18" s="1"/>
  <c r="P645" i="7941" s="1"/>
  <c r="P77" i="18"/>
  <c r="P1255" i="18" s="1"/>
  <c r="P649" i="7941" s="1"/>
  <c r="P85" i="18"/>
  <c r="P1263" i="18" s="1"/>
  <c r="P657" i="7941" s="1"/>
  <c r="Q399" i="18"/>
  <c r="P89" i="18"/>
  <c r="P1267" i="18" s="1"/>
  <c r="P661" i="7941" s="1"/>
  <c r="Q451" i="18"/>
  <c r="P70" i="18"/>
  <c r="P1248" i="18" s="1"/>
  <c r="P642" i="7941" s="1"/>
  <c r="P74" i="18"/>
  <c r="P1252" i="18" s="1"/>
  <c r="P646" i="7941" s="1"/>
  <c r="P82" i="18"/>
  <c r="P1260" i="18" s="1"/>
  <c r="P654" i="7941" s="1"/>
  <c r="Q360" i="18"/>
  <c r="P86" i="18"/>
  <c r="P1264" i="18" s="1"/>
  <c r="P658" i="7941" s="1"/>
  <c r="Q412" i="18"/>
  <c r="P68" i="18"/>
  <c r="P71"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N636" i="7941"/>
  <c r="N635" i="7941" s="1"/>
  <c r="N1241" i="18"/>
  <c r="J713" i="7941"/>
  <c r="J923" i="7941" s="1"/>
  <c r="K1575" i="18"/>
  <c r="J710" i="7941"/>
  <c r="J920" i="7941" s="1"/>
  <c r="J702" i="7941"/>
  <c r="J912" i="7941" s="1"/>
  <c r="P12" i="18"/>
  <c r="P219" i="1"/>
  <c r="P64" i="18"/>
  <c r="P381" i="1"/>
  <c r="O1243" i="18"/>
  <c r="O637" i="7941" s="1"/>
  <c r="N60" i="7941"/>
  <c r="N59" i="7941" s="1"/>
  <c r="N821" i="18"/>
  <c r="K1571" i="18"/>
  <c r="K1583" i="18"/>
  <c r="J708" i="7941"/>
  <c r="J918" i="7941" s="1"/>
  <c r="J709" i="7941"/>
  <c r="J919" i="7941" s="1"/>
  <c r="J704" i="7941"/>
  <c r="J914" i="7941" s="1"/>
  <c r="K607" i="7941"/>
  <c r="J717" i="7941"/>
  <c r="J927" i="7941" s="1"/>
  <c r="K603" i="7941"/>
  <c r="P65"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7"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67" i="18"/>
  <c r="Q105" i="7941" s="1"/>
  <c r="P62" i="7941"/>
  <c r="P66" i="7941"/>
  <c r="P67" i="7941"/>
  <c r="P72" i="7941"/>
  <c r="P69" i="7941"/>
  <c r="P61" i="7941"/>
  <c r="P64" i="7941"/>
  <c r="P73" i="7941"/>
  <c r="P70" i="7941"/>
  <c r="P63" i="7941"/>
  <c r="P65" i="7941"/>
  <c r="P68" i="7941"/>
  <c r="P71" i="7941"/>
  <c r="U30" i="7950"/>
  <c r="Q855" i="18"/>
  <c r="Q93" i="7941" s="1"/>
  <c r="Q863" i="18"/>
  <c r="Q101" i="7941" s="1"/>
  <c r="U54" i="7950"/>
  <c r="Q336" i="18"/>
  <c r="Q1520" i="18" s="1"/>
  <c r="Q440" i="18"/>
  <c r="Q1528" i="18" s="1"/>
  <c r="Q713" i="18"/>
  <c r="Q1129" i="18" s="1"/>
  <c r="Q362" i="18"/>
  <c r="Q1102" i="18" s="1"/>
  <c r="Q310" i="18"/>
  <c r="Q1518" i="18" s="1"/>
  <c r="Q518" i="18"/>
  <c r="Q583" i="18"/>
  <c r="Q1539" i="18" s="1"/>
  <c r="Q531" i="18"/>
  <c r="Q1115" i="18" s="1"/>
  <c r="Q544" i="18"/>
  <c r="Q1536" i="18" s="1"/>
  <c r="Q609" i="18"/>
  <c r="Q375" i="18"/>
  <c r="Q1523" i="18" s="1"/>
  <c r="Q596" i="18"/>
  <c r="Q1120" i="18" s="1"/>
  <c r="Q414" i="18"/>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401"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13" i="18"/>
  <c r="Q823" i="18" s="1"/>
  <c r="Q17" i="18"/>
  <c r="Q827" i="18" s="1"/>
  <c r="Q25" i="18"/>
  <c r="Q835" i="18" s="1"/>
  <c r="Q29" i="18"/>
  <c r="Q839" i="18" s="1"/>
  <c r="Q77" i="7941" s="1"/>
  <c r="Q33" i="18"/>
  <c r="Q843" i="18" s="1"/>
  <c r="Q81" i="7941" s="1"/>
  <c r="Q37" i="18"/>
  <c r="Q847" i="18" s="1"/>
  <c r="Q85" i="7941" s="1"/>
  <c r="Q41" i="18"/>
  <c r="Q851" i="18" s="1"/>
  <c r="Q89" i="7941" s="1"/>
  <c r="Q61" i="18"/>
  <c r="Q871" i="18" s="1"/>
  <c r="Q109" i="7941" s="1"/>
  <c r="Q14" i="18"/>
  <c r="Q824" i="18" s="1"/>
  <c r="Q18" i="18"/>
  <c r="Q828" i="18" s="1"/>
  <c r="Q22" i="18"/>
  <c r="Q832" i="18" s="1"/>
  <c r="Q26" i="18"/>
  <c r="Q836" i="18" s="1"/>
  <c r="Q74" i="7941" s="1"/>
  <c r="Q30" i="18"/>
  <c r="Q840" i="18" s="1"/>
  <c r="Q78" i="7941" s="1"/>
  <c r="Q34" i="18"/>
  <c r="Q844" i="18" s="1"/>
  <c r="Q82" i="7941" s="1"/>
  <c r="Q38" i="18"/>
  <c r="Q848" i="18" s="1"/>
  <c r="Q86" i="7941" s="1"/>
  <c r="Q15" i="18"/>
  <c r="Q825" i="18" s="1"/>
  <c r="Q19" i="18"/>
  <c r="Q829" i="18" s="1"/>
  <c r="Q23" i="18"/>
  <c r="Q833" i="18" s="1"/>
  <c r="Q27" i="18"/>
  <c r="Q837" i="18" s="1"/>
  <c r="Q75" i="7941" s="1"/>
  <c r="Q31" i="18"/>
  <c r="Q841" i="18" s="1"/>
  <c r="Q79" i="7941" s="1"/>
  <c r="Q35" i="18"/>
  <c r="Q845" i="18" s="1"/>
  <c r="Q83" i="7941" s="1"/>
  <c r="Q39" i="18"/>
  <c r="Q849" i="18" s="1"/>
  <c r="Q87" i="7941" s="1"/>
  <c r="Q16" i="18"/>
  <c r="Q826" i="18" s="1"/>
  <c r="Q20" i="18"/>
  <c r="Q830" i="18" s="1"/>
  <c r="Q24" i="18"/>
  <c r="Q834" i="18"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Q1534" i="18"/>
  <c r="Q1121" i="18"/>
  <c r="Q1106" i="18"/>
  <c r="Q1125" i="18"/>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K612" i="7941"/>
  <c r="K610" i="7941"/>
  <c r="K1580" i="18"/>
  <c r="K601" i="7941"/>
  <c r="Q12" i="18"/>
  <c r="Q64" i="18"/>
  <c r="Q1244" i="18"/>
  <c r="Q1246" i="18"/>
  <c r="Q1247" i="18"/>
  <c r="Q1249" i="18"/>
  <c r="Q1253"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O60" i="7941"/>
  <c r="O59" i="7941" s="1"/>
  <c r="O821" i="18"/>
  <c r="O636" i="7941"/>
  <c r="O635" i="7941" s="1"/>
  <c r="O1241" i="18"/>
  <c r="K1584" i="18"/>
  <c r="K1582" i="18"/>
  <c r="K608" i="7941"/>
  <c r="K1573" i="18"/>
  <c r="Q1243" i="18"/>
  <c r="Q1245" i="18"/>
  <c r="Q1248" i="18"/>
  <c r="Q1250" i="18"/>
  <c r="Q1252" i="18"/>
  <c r="Q1254"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H1482" i="7949"/>
  <c r="H2076" i="7949"/>
  <c r="V54" i="7950"/>
  <c r="H1806" i="7949"/>
  <c r="H618" i="7949"/>
  <c r="H1644" i="7949"/>
  <c r="H672" i="7949"/>
  <c r="Q643" i="7941"/>
  <c r="Q68" i="7941"/>
  <c r="Q63" i="7941"/>
  <c r="Q61" i="7941"/>
  <c r="Q642" i="7941"/>
  <c r="Q649" i="7941"/>
  <c r="Q641" i="7941"/>
  <c r="Q64" i="7941"/>
  <c r="Q70" i="7941"/>
  <c r="Q73" i="7941"/>
  <c r="Q648" i="7941"/>
  <c r="Q639" i="7941"/>
  <c r="Q647" i="7941"/>
  <c r="Q640" i="7941"/>
  <c r="Q71" i="7941"/>
  <c r="Q66" i="7941"/>
  <c r="Q644" i="7941"/>
  <c r="Q646" i="7941"/>
  <c r="Q637" i="7941"/>
  <c r="Q638" i="7941"/>
  <c r="Q72" i="7941"/>
  <c r="Q67" i="7941"/>
  <c r="Q62" i="7941"/>
  <c r="Q65" i="794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K1312" i="18"/>
  <c r="P60" i="7941"/>
  <c r="P59" i="7941" s="1"/>
  <c r="P821" i="18"/>
  <c r="K1314" i="18"/>
  <c r="K1310" i="18"/>
  <c r="K707" i="7941"/>
  <c r="L1209" i="18"/>
  <c r="K1315" i="18"/>
  <c r="Q1242" i="18"/>
  <c r="K1308" i="18"/>
  <c r="P636" i="7941"/>
  <c r="P635" i="7941" s="1"/>
  <c r="P1241" i="18"/>
  <c r="K1311" i="18"/>
  <c r="K1320" i="18"/>
  <c r="K1322" i="18"/>
  <c r="K711" i="7941"/>
  <c r="L1213" i="18"/>
  <c r="K1319" i="18"/>
  <c r="K1316" i="18"/>
  <c r="K703" i="7941"/>
  <c r="L1205" i="18"/>
  <c r="K715" i="7941"/>
  <c r="L1217" i="18"/>
  <c r="K1323" i="18"/>
  <c r="Q822"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W54" i="7950"/>
  <c r="Q1126" i="18"/>
  <c r="Q1110" i="18"/>
  <c r="J10" i="7949"/>
  <c r="I403" i="7949"/>
  <c r="I349"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I673" i="7949"/>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I457"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J620" i="7949"/>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J2564" i="7949"/>
  <c r="K2564" i="7949" s="1"/>
  <c r="L2564" i="7949" s="1"/>
  <c r="M2564" i="7949" s="1"/>
  <c r="N2564" i="7949" s="1"/>
  <c r="O2564" i="7949" s="1"/>
  <c r="P2564" i="7949" s="1"/>
  <c r="Q2564" i="7949" s="1"/>
  <c r="R2564" i="7949" s="1"/>
  <c r="S2564" i="7949" s="1"/>
  <c r="T2564" i="7949" s="1"/>
  <c r="U2564" i="7949" s="1"/>
  <c r="V2564" i="7949" s="1"/>
  <c r="W2564" i="7949" s="1"/>
  <c r="J188" i="7949"/>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J458" i="7949"/>
  <c r="J566" i="7949"/>
  <c r="J674" i="7949"/>
  <c r="J296" i="7949"/>
  <c r="J404" i="7949"/>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621"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L1756" i="7949"/>
  <c r="M1756" i="7949" s="1"/>
  <c r="N1756" i="7949" s="1"/>
  <c r="O1756" i="7949" s="1"/>
  <c r="P1756" i="7949" s="1"/>
  <c r="Q1756" i="7949" s="1"/>
  <c r="R1756" i="7949" s="1"/>
  <c r="S1756" i="7949" s="1"/>
  <c r="T1756" i="7949" s="1"/>
  <c r="U1756" i="7949" s="1"/>
  <c r="V1756" i="7949" s="1"/>
  <c r="W1756" i="7949" s="1"/>
  <c r="L514" i="7949"/>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L2566" i="7949"/>
  <c r="M2566" i="7949" s="1"/>
  <c r="N2566" i="7949" s="1"/>
  <c r="O2566" i="7949" s="1"/>
  <c r="P2566" i="7949" s="1"/>
  <c r="Q2566" i="7949" s="1"/>
  <c r="R2566" i="7949" s="1"/>
  <c r="S2566" i="7949" s="1"/>
  <c r="T2566" i="7949" s="1"/>
  <c r="U2566" i="7949" s="1"/>
  <c r="V2566" i="7949" s="1"/>
  <c r="W2566" i="7949" s="1"/>
  <c r="L82" i="7949"/>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L298" i="7949"/>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L1162" i="7949"/>
  <c r="M1162" i="7949" s="1"/>
  <c r="N1162" i="7949" s="1"/>
  <c r="O1162" i="7949" s="1"/>
  <c r="P1162" i="7949" s="1"/>
  <c r="Q1162" i="7949" s="1"/>
  <c r="R1162" i="7949" s="1"/>
  <c r="S1162" i="7949" s="1"/>
  <c r="T1162" i="7949" s="1"/>
  <c r="U1162" i="7949" s="1"/>
  <c r="V1162" i="7949" s="1"/>
  <c r="W1162" i="7949" s="1"/>
  <c r="L352" i="7949"/>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L244" i="7949"/>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M72" i="7949" l="1"/>
  <c r="N72" i="7949" s="1"/>
  <c r="O72" i="7949" s="1"/>
  <c r="P72" i="7949" s="1"/>
  <c r="M18" i="7949"/>
  <c r="N18" i="7949" s="1"/>
  <c r="O18" i="7949" s="1"/>
  <c r="P18"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932" i="7941"/>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44" i="18" l="1"/>
  <c r="J144" i="18"/>
  <c r="J145" i="18"/>
  <c r="K144" i="18"/>
  <c r="K145" i="18"/>
  <c r="K146" i="18"/>
  <c r="L146" i="18"/>
  <c r="L144" i="18"/>
  <c r="L145" i="18"/>
  <c r="L147" i="18"/>
  <c r="M145" i="18"/>
  <c r="M148" i="18"/>
  <c r="M144" i="18"/>
  <c r="M146" i="18"/>
  <c r="M147" i="18"/>
  <c r="N144" i="18"/>
  <c r="N147" i="18"/>
  <c r="N145" i="18"/>
  <c r="N146" i="18"/>
  <c r="N148" i="18"/>
  <c r="N149" i="18"/>
  <c r="O145" i="18"/>
  <c r="O148" i="18"/>
  <c r="O146" i="18"/>
  <c r="O147" i="18"/>
  <c r="O150" i="18"/>
  <c r="O149" i="18"/>
  <c r="O144" i="18"/>
  <c r="I123" i="7949"/>
  <c r="I157" i="7949" s="1"/>
  <c r="J123" i="7949"/>
  <c r="J158" i="7949" s="1"/>
  <c r="L123" i="7949"/>
  <c r="L160" i="7949" s="1"/>
  <c r="D123" i="7949"/>
  <c r="D152" i="7949" s="1"/>
  <c r="P144" i="18"/>
  <c r="P145" i="18"/>
  <c r="P146" i="18"/>
  <c r="P149" i="18"/>
  <c r="F123" i="7949"/>
  <c r="F154" i="7949" s="1"/>
  <c r="G123" i="7949"/>
  <c r="G155" i="7949" s="1"/>
  <c r="E123" i="7949"/>
  <c r="E153" i="7949" s="1"/>
  <c r="K123" i="7949"/>
  <c r="K159" i="7949" s="1"/>
  <c r="M123" i="7949"/>
  <c r="M161" i="7949" s="1"/>
  <c r="P147" i="18"/>
  <c r="H123" i="7949"/>
  <c r="H156" i="7949" s="1"/>
  <c r="P150" i="18"/>
  <c r="P151" i="18"/>
  <c r="P148" i="18"/>
  <c r="Q145" i="18"/>
  <c r="Q146" i="18"/>
  <c r="Q147" i="18"/>
  <c r="Q148" i="18"/>
  <c r="Q149" i="18"/>
  <c r="Q151" i="18"/>
  <c r="Q152" i="18"/>
  <c r="Q144" i="18"/>
  <c r="Q150" i="18"/>
  <c r="I196" i="18"/>
  <c r="J196" i="18"/>
  <c r="J197" i="18"/>
  <c r="K196" i="18"/>
  <c r="K197" i="18"/>
  <c r="K198" i="18"/>
  <c r="L198" i="18"/>
  <c r="L197" i="18"/>
  <c r="L196" i="18"/>
  <c r="L199" i="18"/>
  <c r="M200" i="18"/>
  <c r="M196" i="18"/>
  <c r="M197" i="18"/>
  <c r="M198" i="18"/>
  <c r="M199" i="18"/>
  <c r="N197" i="18"/>
  <c r="N198" i="18"/>
  <c r="N200" i="18"/>
  <c r="N196" i="18"/>
  <c r="N199" i="18"/>
  <c r="N201" i="18"/>
  <c r="O196" i="18"/>
  <c r="O198" i="18"/>
  <c r="O199" i="18"/>
  <c r="O201" i="18"/>
  <c r="O200" i="18"/>
  <c r="O202" i="18"/>
  <c r="O197" i="18"/>
  <c r="H339" i="7949"/>
  <c r="H372" i="7949" s="1"/>
  <c r="J339" i="7949"/>
  <c r="J374" i="7949" s="1"/>
  <c r="I339" i="7949"/>
  <c r="I373" i="7949" s="1"/>
  <c r="P199" i="18"/>
  <c r="D339" i="7949"/>
  <c r="D368" i="7949" s="1"/>
  <c r="P197" i="18"/>
  <c r="P201" i="18"/>
  <c r="P202" i="18"/>
  <c r="P203" i="18"/>
  <c r="E339" i="7949"/>
  <c r="E369" i="7949" s="1"/>
  <c r="L339" i="7949"/>
  <c r="L376" i="7949" s="1"/>
  <c r="M339" i="7949"/>
  <c r="M377" i="7949" s="1"/>
  <c r="P198" i="18"/>
  <c r="F339" i="7949"/>
  <c r="F370" i="7949" s="1"/>
  <c r="G339" i="7949"/>
  <c r="G371" i="7949" s="1"/>
  <c r="K339" i="7949"/>
  <c r="K375" i="7949" s="1"/>
  <c r="P196" i="18"/>
  <c r="P200" i="18"/>
  <c r="Q197" i="18"/>
  <c r="Q198" i="18"/>
  <c r="Q201" i="18"/>
  <c r="Q202" i="18"/>
  <c r="Q203" i="18"/>
  <c r="Q199" i="18"/>
  <c r="Q204" i="18"/>
  <c r="Q200" i="18"/>
  <c r="Q196" i="18"/>
  <c r="I140" i="7944"/>
  <c r="J141" i="7944"/>
  <c r="J140" i="7944"/>
  <c r="K142" i="7944"/>
  <c r="K141" i="7944"/>
  <c r="K140" i="7944"/>
  <c r="L142" i="7944"/>
  <c r="L141" i="7944"/>
  <c r="L140" i="7944"/>
  <c r="L143" i="7944"/>
  <c r="M144" i="7944"/>
  <c r="M143" i="7944"/>
  <c r="M141" i="7944"/>
  <c r="M142" i="7944"/>
  <c r="M140" i="7944"/>
  <c r="N144" i="7944"/>
  <c r="N142" i="7944"/>
  <c r="N141" i="7944"/>
  <c r="N140" i="7944"/>
  <c r="N145" i="7944"/>
  <c r="N143" i="7944"/>
  <c r="O143" i="7944"/>
  <c r="O141" i="7944"/>
  <c r="O142" i="7944"/>
  <c r="O140" i="7944"/>
  <c r="O145" i="7944"/>
  <c r="O146" i="7944"/>
  <c r="O144" i="7944"/>
  <c r="M118" i="7950"/>
  <c r="M156" i="7950" s="1"/>
  <c r="G118" i="7950"/>
  <c r="G150" i="7950" s="1"/>
  <c r="K118" i="7950"/>
  <c r="K154" i="7950" s="1"/>
  <c r="L118" i="7950"/>
  <c r="L155" i="7950" s="1"/>
  <c r="P140" i="7944"/>
  <c r="P147" i="7944"/>
  <c r="P145" i="7944"/>
  <c r="D118" i="7950"/>
  <c r="D147" i="7950" s="1"/>
  <c r="E118" i="7950"/>
  <c r="E148" i="7950" s="1"/>
  <c r="F118" i="7950"/>
  <c r="F149" i="7950" s="1"/>
  <c r="H118" i="7950"/>
  <c r="H151" i="7950" s="1"/>
  <c r="P146" i="7944"/>
  <c r="J118" i="7950"/>
  <c r="J153" i="7950" s="1"/>
  <c r="I118" i="7950"/>
  <c r="I152" i="7950" s="1"/>
  <c r="P144" i="7944"/>
  <c r="P143" i="7944"/>
  <c r="P141" i="7944"/>
  <c r="P142" i="7944"/>
  <c r="Q143" i="7944"/>
  <c r="Q148" i="7944"/>
  <c r="Q140" i="7944"/>
  <c r="Q142" i="7944"/>
  <c r="Q145" i="7944"/>
  <c r="Q147" i="7944"/>
  <c r="Q144" i="7944"/>
  <c r="Q146" i="7944"/>
  <c r="Q141" i="7944"/>
  <c r="I192" i="7944"/>
  <c r="J193" i="7944"/>
  <c r="J192" i="7944"/>
  <c r="K192" i="7944"/>
  <c r="K194" i="7944"/>
  <c r="K193" i="7944"/>
  <c r="L194" i="7944"/>
  <c r="L193" i="7944"/>
  <c r="L192" i="7944"/>
  <c r="L195" i="7944"/>
  <c r="M195" i="7944"/>
  <c r="M193" i="7944"/>
  <c r="M194" i="7944"/>
  <c r="M192" i="7944"/>
  <c r="M196" i="7944"/>
  <c r="N196" i="7944"/>
  <c r="N194" i="7944"/>
  <c r="N193" i="7944"/>
  <c r="N192" i="7944"/>
  <c r="N197" i="7944"/>
  <c r="N195" i="7944"/>
  <c r="O197" i="7944"/>
  <c r="O198" i="7944"/>
  <c r="O196" i="7944"/>
  <c r="O195" i="7944"/>
  <c r="O193" i="7944"/>
  <c r="O194" i="7944"/>
  <c r="O192" i="7944"/>
  <c r="H334" i="7950"/>
  <c r="H367" i="7950" s="1"/>
  <c r="J334" i="7950"/>
  <c r="J369" i="7950" s="1"/>
  <c r="P193" i="7944"/>
  <c r="D334" i="7950"/>
  <c r="D363" i="7950" s="1"/>
  <c r="M334" i="7950"/>
  <c r="M372" i="7950" s="1"/>
  <c r="F334" i="7950"/>
  <c r="F365" i="7950" s="1"/>
  <c r="E334" i="7950"/>
  <c r="E364" i="7950" s="1"/>
  <c r="G334" i="7950"/>
  <c r="G366" i="7950" s="1"/>
  <c r="K334" i="7950"/>
  <c r="K370" i="7950" s="1"/>
  <c r="P192" i="7944"/>
  <c r="P199" i="7944"/>
  <c r="P197" i="7944"/>
  <c r="P198" i="7944"/>
  <c r="I334" i="7950"/>
  <c r="I368" i="7950" s="1"/>
  <c r="L334" i="7950"/>
  <c r="L371" i="7950" s="1"/>
  <c r="P196" i="7944"/>
  <c r="P195" i="7944"/>
  <c r="P194" i="7944"/>
  <c r="Q199" i="7944"/>
  <c r="Q196" i="7944"/>
  <c r="Q198" i="7944"/>
  <c r="Q193" i="7944"/>
  <c r="Q195" i="7944"/>
  <c r="Q200" i="7944"/>
  <c r="Q192" i="7944"/>
  <c r="Q194" i="7944"/>
  <c r="Q197" i="7944"/>
  <c r="I287" i="18"/>
  <c r="J287" i="18"/>
  <c r="J288" i="18"/>
  <c r="K288" i="18"/>
  <c r="K287" i="18"/>
  <c r="K289" i="18"/>
  <c r="L288" i="18"/>
  <c r="L290" i="18"/>
  <c r="L287" i="18"/>
  <c r="L289" i="18"/>
  <c r="M291" i="18"/>
  <c r="M287" i="18"/>
  <c r="M288" i="18"/>
  <c r="M290" i="18"/>
  <c r="M289" i="18"/>
  <c r="N287" i="18"/>
  <c r="N290" i="18"/>
  <c r="N292" i="18"/>
  <c r="N288" i="18"/>
  <c r="N289" i="18"/>
  <c r="N291" i="18"/>
  <c r="O291" i="18"/>
  <c r="O287" i="18"/>
  <c r="O289" i="18"/>
  <c r="O293" i="18"/>
  <c r="O292" i="18"/>
  <c r="O288" i="18"/>
  <c r="O290" i="18"/>
  <c r="E717" i="7949"/>
  <c r="E747" i="7949" s="1"/>
  <c r="J717" i="7949"/>
  <c r="J752" i="7949" s="1"/>
  <c r="K717" i="7949"/>
  <c r="K753" i="7949" s="1"/>
  <c r="M717" i="7949"/>
  <c r="M755" i="7949" s="1"/>
  <c r="L717" i="7949"/>
  <c r="L754" i="7949" s="1"/>
  <c r="H717" i="7949"/>
  <c r="H750" i="7949" s="1"/>
  <c r="P293" i="18"/>
  <c r="P287" i="18"/>
  <c r="P290" i="18"/>
  <c r="P288" i="18"/>
  <c r="P291" i="18"/>
  <c r="P294" i="18"/>
  <c r="F717" i="7949"/>
  <c r="F748" i="7949" s="1"/>
  <c r="I717" i="7949"/>
  <c r="I751" i="7949" s="1"/>
  <c r="D717" i="7949"/>
  <c r="D746" i="7949" s="1"/>
  <c r="G717" i="7949"/>
  <c r="G749" i="7949" s="1"/>
  <c r="P292" i="18"/>
  <c r="P289" i="18"/>
  <c r="Q287" i="18"/>
  <c r="Q288" i="18"/>
  <c r="Q291" i="18"/>
  <c r="Q290" i="18"/>
  <c r="Q295" i="18"/>
  <c r="Q292" i="18"/>
  <c r="Q289" i="18"/>
  <c r="Q293" i="18"/>
  <c r="Q294" i="18"/>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I261" i="18"/>
  <c r="J262" i="18"/>
  <c r="J261" i="18"/>
  <c r="K261" i="18"/>
  <c r="K262" i="18"/>
  <c r="K263" i="18"/>
  <c r="L264" i="18"/>
  <c r="L261" i="18"/>
  <c r="L263" i="18"/>
  <c r="L262" i="18"/>
  <c r="M261" i="18"/>
  <c r="M264" i="18"/>
  <c r="M265" i="18"/>
  <c r="M262" i="18"/>
  <c r="M263" i="18"/>
  <c r="N263" i="18"/>
  <c r="N266" i="18"/>
  <c r="N264" i="18"/>
  <c r="N265" i="18"/>
  <c r="N262" i="18"/>
  <c r="O266" i="18"/>
  <c r="O265" i="18"/>
  <c r="O264" i="18"/>
  <c r="O263" i="18"/>
  <c r="O267" i="18"/>
  <c r="M609" i="7949"/>
  <c r="M647" i="7949" s="1"/>
  <c r="E609" i="7949"/>
  <c r="E639" i="7949" s="1"/>
  <c r="L609" i="7949"/>
  <c r="L646" i="7949" s="1"/>
  <c r="P267" i="18"/>
  <c r="P268" i="18"/>
  <c r="J609" i="7949"/>
  <c r="J644" i="7949" s="1"/>
  <c r="D609" i="7949"/>
  <c r="D638" i="7949" s="1"/>
  <c r="G609" i="7949"/>
  <c r="G641" i="7949" s="1"/>
  <c r="F609" i="7949"/>
  <c r="F640" i="7949" s="1"/>
  <c r="H609" i="7949"/>
  <c r="H642" i="7949" s="1"/>
  <c r="K609" i="7949"/>
  <c r="K645" i="7949" s="1"/>
  <c r="I609" i="7949"/>
  <c r="I643" i="7949" s="1"/>
  <c r="P264" i="18"/>
  <c r="P265" i="18"/>
  <c r="P266" i="18"/>
  <c r="Q269" i="18"/>
  <c r="Q265" i="18"/>
  <c r="Q266" i="18"/>
  <c r="Q268" i="18"/>
  <c r="Q267" i="18"/>
  <c r="I114" i="7944"/>
  <c r="J115" i="7944"/>
  <c r="J114" i="7944"/>
  <c r="K116" i="7944"/>
  <c r="K115" i="7944"/>
  <c r="K114" i="7944"/>
  <c r="L115" i="7944"/>
  <c r="L114" i="7944"/>
  <c r="L117" i="7944"/>
  <c r="L116" i="7944"/>
  <c r="M117" i="7944"/>
  <c r="M118" i="7944"/>
  <c r="M116" i="7944"/>
  <c r="M115" i="7944"/>
  <c r="M114" i="7944"/>
  <c r="N114" i="7944"/>
  <c r="N116" i="7944"/>
  <c r="N119" i="7944"/>
  <c r="N118" i="7944"/>
  <c r="N115" i="7944"/>
  <c r="N117" i="7944"/>
  <c r="O114" i="7944"/>
  <c r="O120" i="7944"/>
  <c r="O119" i="7944"/>
  <c r="O117" i="7944"/>
  <c r="O118" i="7944"/>
  <c r="O116" i="7944"/>
  <c r="O115" i="7944"/>
  <c r="G10" i="7950"/>
  <c r="G42" i="7950" s="1"/>
  <c r="P120" i="7944"/>
  <c r="F10" i="7950"/>
  <c r="F41" i="7950" s="1"/>
  <c r="H10" i="7950"/>
  <c r="H43" i="7950" s="1"/>
  <c r="P119" i="7944"/>
  <c r="P117" i="7944"/>
  <c r="P116" i="7944"/>
  <c r="D10" i="7950"/>
  <c r="D39" i="7950" s="1"/>
  <c r="J10" i="7950"/>
  <c r="J45" i="7950" s="1"/>
  <c r="P118" i="7944"/>
  <c r="P114" i="7944"/>
  <c r="M10" i="7950"/>
  <c r="M48" i="7950" s="1"/>
  <c r="E10" i="7950"/>
  <c r="E40" i="7950" s="1"/>
  <c r="I10" i="7950"/>
  <c r="I44" i="7950" s="1"/>
  <c r="K10" i="7950"/>
  <c r="K46" i="7950" s="1"/>
  <c r="L10" i="7950"/>
  <c r="L47" i="7950" s="1"/>
  <c r="P115" i="7944"/>
  <c r="P121" i="7944"/>
  <c r="Q116" i="7944"/>
  <c r="Q115" i="7944"/>
  <c r="Q121" i="7944"/>
  <c r="Q122" i="7944"/>
  <c r="Q114" i="7944"/>
  <c r="Q120" i="7944"/>
  <c r="Q119" i="7944"/>
  <c r="Q117" i="7944"/>
  <c r="Q118" i="7944"/>
  <c r="I153" i="7944"/>
  <c r="J153" i="7944"/>
  <c r="J154" i="7944"/>
  <c r="K153" i="7944"/>
  <c r="K155" i="7944"/>
  <c r="K154" i="7944"/>
  <c r="L155" i="7944"/>
  <c r="L154" i="7944"/>
  <c r="L153" i="7944"/>
  <c r="L156" i="7944"/>
  <c r="M154" i="7944"/>
  <c r="M155" i="7944"/>
  <c r="M153" i="7944"/>
  <c r="M157" i="7944"/>
  <c r="M156" i="7944"/>
  <c r="N157" i="7944"/>
  <c r="N156" i="7944"/>
  <c r="N154" i="7944"/>
  <c r="N155" i="7944"/>
  <c r="N153" i="7944"/>
  <c r="N158" i="7944"/>
  <c r="O157" i="7944"/>
  <c r="O156" i="7944"/>
  <c r="O154" i="7944"/>
  <c r="O155" i="7944"/>
  <c r="O153" i="7944"/>
  <c r="O158" i="7944"/>
  <c r="O159" i="7944"/>
  <c r="K172" i="7950"/>
  <c r="K208" i="7950" s="1"/>
  <c r="L172" i="7950"/>
  <c r="L209" i="7950" s="1"/>
  <c r="P156" i="7944"/>
  <c r="P153" i="7944"/>
  <c r="M172" i="7950"/>
  <c r="M210" i="7950" s="1"/>
  <c r="F172" i="7950"/>
  <c r="F203" i="7950" s="1"/>
  <c r="I172" i="7950"/>
  <c r="I206" i="7950" s="1"/>
  <c r="J172" i="7950"/>
  <c r="J207" i="7950" s="1"/>
  <c r="P155" i="7944"/>
  <c r="P158" i="7944"/>
  <c r="P157" i="7944"/>
  <c r="E172" i="7950"/>
  <c r="E202" i="7950" s="1"/>
  <c r="G172" i="7950"/>
  <c r="G204" i="7950" s="1"/>
  <c r="P160" i="7944"/>
  <c r="D172" i="7950"/>
  <c r="D201" i="7950" s="1"/>
  <c r="H172" i="7950"/>
  <c r="H205" i="7950" s="1"/>
  <c r="P159" i="7944"/>
  <c r="P154" i="7944"/>
  <c r="Q154" i="7944"/>
  <c r="Q160" i="7944"/>
  <c r="Q161" i="7944"/>
  <c r="Q153" i="7944"/>
  <c r="Q159" i="7944"/>
  <c r="Q158" i="7944"/>
  <c r="Q156" i="7944"/>
  <c r="Q157" i="7944"/>
  <c r="Q155" i="7944"/>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I257" i="7944"/>
  <c r="J257" i="7944"/>
  <c r="J258" i="7944"/>
  <c r="K257" i="7944"/>
  <c r="K259" i="7944"/>
  <c r="K258" i="7944"/>
  <c r="L260" i="7944"/>
  <c r="L258" i="7944"/>
  <c r="L259" i="7944"/>
  <c r="L257" i="7944"/>
  <c r="M261" i="7944"/>
  <c r="M258" i="7944"/>
  <c r="M260" i="7944"/>
  <c r="M257" i="7944"/>
  <c r="M259" i="7944"/>
  <c r="N262" i="7944"/>
  <c r="N260" i="7944"/>
  <c r="N261" i="7944"/>
  <c r="N259" i="7944"/>
  <c r="N258" i="7944"/>
  <c r="O261" i="7944"/>
  <c r="O263" i="7944"/>
  <c r="O260" i="7944"/>
  <c r="O259" i="7944"/>
  <c r="O262" i="7944"/>
  <c r="M604" i="7950"/>
  <c r="M642" i="7950" s="1"/>
  <c r="H604" i="7950"/>
  <c r="H637" i="7950" s="1"/>
  <c r="I604" i="7950"/>
  <c r="I638" i="7950" s="1"/>
  <c r="J604" i="7950"/>
  <c r="J639" i="7950" s="1"/>
  <c r="D604" i="7950"/>
  <c r="D633" i="7950" s="1"/>
  <c r="G604" i="7950"/>
  <c r="G636" i="7950" s="1"/>
  <c r="P262" i="7944"/>
  <c r="P264" i="7944"/>
  <c r="P261" i="7944"/>
  <c r="P263" i="7944"/>
  <c r="E604" i="7950"/>
  <c r="E634" i="7950" s="1"/>
  <c r="F604" i="7950"/>
  <c r="F635" i="7950" s="1"/>
  <c r="K604" i="7950"/>
  <c r="K640" i="7950" s="1"/>
  <c r="L604" i="7950"/>
  <c r="L641" i="7950" s="1"/>
  <c r="P260" i="7944"/>
  <c r="Q262" i="7944"/>
  <c r="Q261" i="7944"/>
  <c r="Q264" i="7944"/>
  <c r="Q263" i="7944"/>
  <c r="Q265" i="7944"/>
  <c r="I118" i="18"/>
  <c r="J119" i="18"/>
  <c r="J118" i="18"/>
  <c r="K119" i="18"/>
  <c r="K118" i="18"/>
  <c r="K120" i="18"/>
  <c r="L120" i="18"/>
  <c r="L119" i="18"/>
  <c r="L121" i="18"/>
  <c r="L118" i="18"/>
  <c r="M118" i="18"/>
  <c r="M120" i="18"/>
  <c r="M121" i="18"/>
  <c r="M119" i="18"/>
  <c r="M122" i="18"/>
  <c r="N118" i="18"/>
  <c r="N120" i="18"/>
  <c r="N123" i="18"/>
  <c r="N122" i="18"/>
  <c r="N119" i="18"/>
  <c r="N121" i="18"/>
  <c r="O119" i="18"/>
  <c r="O121" i="18"/>
  <c r="O124" i="18"/>
  <c r="O123" i="18"/>
  <c r="O118" i="18"/>
  <c r="O120" i="18"/>
  <c r="O122" i="18"/>
  <c r="D15" i="7949"/>
  <c r="D44" i="7949" s="1"/>
  <c r="G15" i="7949"/>
  <c r="G47" i="7949" s="1"/>
  <c r="F15" i="7949"/>
  <c r="F46" i="7949" s="1"/>
  <c r="K15" i="7949"/>
  <c r="K51" i="7949" s="1"/>
  <c r="H15" i="7949"/>
  <c r="H48" i="7949" s="1"/>
  <c r="M15" i="7949"/>
  <c r="M53" i="7949" s="1"/>
  <c r="E15" i="7949"/>
  <c r="E45" i="7949" s="1"/>
  <c r="I15" i="7949"/>
  <c r="I49" i="7949" s="1"/>
  <c r="P119" i="18"/>
  <c r="P121" i="18"/>
  <c r="P123" i="18"/>
  <c r="P118" i="18"/>
  <c r="L15" i="7949"/>
  <c r="L52" i="7949" s="1"/>
  <c r="P124" i="18"/>
  <c r="P125" i="18"/>
  <c r="J15" i="7949"/>
  <c r="J50" i="7949" s="1"/>
  <c r="P120" i="18"/>
  <c r="P122" i="18"/>
  <c r="Q125" i="18"/>
  <c r="Q118" i="18"/>
  <c r="Q120" i="18"/>
  <c r="Q124" i="18"/>
  <c r="Q122" i="18"/>
  <c r="Q119" i="18"/>
  <c r="Q126" i="18"/>
  <c r="Q121" i="18"/>
  <c r="Q123" i="18"/>
  <c r="I170" i="18"/>
  <c r="J171" i="18"/>
  <c r="J170" i="18"/>
  <c r="K171" i="18"/>
  <c r="K170" i="18"/>
  <c r="K172" i="18"/>
  <c r="L170" i="18"/>
  <c r="L171" i="18"/>
  <c r="L172" i="18"/>
  <c r="L173" i="18"/>
  <c r="M174" i="18"/>
  <c r="M171" i="18"/>
  <c r="M173" i="18"/>
  <c r="M170" i="18"/>
  <c r="M172" i="18"/>
  <c r="N170" i="18"/>
  <c r="N172" i="18"/>
  <c r="N173" i="18"/>
  <c r="N174" i="18"/>
  <c r="N175" i="18"/>
  <c r="N171" i="18"/>
  <c r="O172" i="18"/>
  <c r="O173" i="18"/>
  <c r="O174" i="18"/>
  <c r="O170" i="18"/>
  <c r="O175" i="18"/>
  <c r="O171" i="18"/>
  <c r="O176" i="18"/>
  <c r="E231" i="7949"/>
  <c r="E261" i="7949" s="1"/>
  <c r="F231" i="7949"/>
  <c r="F262" i="7949" s="1"/>
  <c r="J231" i="7949"/>
  <c r="J266" i="7949" s="1"/>
  <c r="D231" i="7949"/>
  <c r="D260" i="7949" s="1"/>
  <c r="G231" i="7949"/>
  <c r="G263" i="7949" s="1"/>
  <c r="K231" i="7949"/>
  <c r="K267" i="7949" s="1"/>
  <c r="I231" i="7949"/>
  <c r="I265" i="7949" s="1"/>
  <c r="P175" i="18"/>
  <c r="P170" i="18"/>
  <c r="P172" i="18"/>
  <c r="P177" i="18"/>
  <c r="H231" i="7949"/>
  <c r="H264" i="7949" s="1"/>
  <c r="L231" i="7949"/>
  <c r="L268" i="7949" s="1"/>
  <c r="M231" i="7949"/>
  <c r="M269" i="7949" s="1"/>
  <c r="P173" i="18"/>
  <c r="P174" i="18"/>
  <c r="P171" i="18"/>
  <c r="P176" i="18"/>
  <c r="Q173" i="18"/>
  <c r="Q175" i="18"/>
  <c r="Q174" i="18"/>
  <c r="Q178" i="18"/>
  <c r="Q170" i="18"/>
  <c r="Q172" i="18"/>
  <c r="Q171" i="18"/>
  <c r="Q176" i="18"/>
  <c r="Q177" i="18"/>
  <c r="I222" i="18"/>
  <c r="J223" i="18"/>
  <c r="J222" i="18"/>
  <c r="K222" i="18"/>
  <c r="K224" i="18"/>
  <c r="K223" i="18"/>
  <c r="L223" i="18"/>
  <c r="L224" i="18"/>
  <c r="L225" i="18"/>
  <c r="L222" i="18"/>
  <c r="M223" i="18"/>
  <c r="M222" i="18"/>
  <c r="M224" i="18"/>
  <c r="M225" i="18"/>
  <c r="M226" i="18"/>
  <c r="N224" i="18"/>
  <c r="N226" i="18"/>
  <c r="N227" i="18"/>
  <c r="N222" i="18"/>
  <c r="N225" i="18"/>
  <c r="N223" i="18"/>
  <c r="O223" i="18"/>
  <c r="O224" i="18"/>
  <c r="O227" i="18"/>
  <c r="O226" i="18"/>
  <c r="O222" i="18"/>
  <c r="O225" i="18"/>
  <c r="O228" i="18"/>
  <c r="E447" i="7949"/>
  <c r="E477" i="7949" s="1"/>
  <c r="P223" i="18"/>
  <c r="P226" i="18"/>
  <c r="P227" i="18"/>
  <c r="I447" i="7949"/>
  <c r="I481" i="7949" s="1"/>
  <c r="L447" i="7949"/>
  <c r="L484" i="7949" s="1"/>
  <c r="M447" i="7949"/>
  <c r="M485" i="7949" s="1"/>
  <c r="P222" i="18"/>
  <c r="P224" i="18"/>
  <c r="P225" i="18"/>
  <c r="P229" i="18"/>
  <c r="D447" i="7949"/>
  <c r="D476" i="7949" s="1"/>
  <c r="G447" i="7949"/>
  <c r="G479" i="7949" s="1"/>
  <c r="F447" i="7949"/>
  <c r="F478" i="7949" s="1"/>
  <c r="J447" i="7949"/>
  <c r="J482" i="7949" s="1"/>
  <c r="K447" i="7949"/>
  <c r="K483" i="7949" s="1"/>
  <c r="P228" i="18"/>
  <c r="H447" i="7949"/>
  <c r="H480" i="7949" s="1"/>
  <c r="Q222" i="18"/>
  <c r="Q226" i="18"/>
  <c r="Q228" i="18"/>
  <c r="Q230" i="18"/>
  <c r="Q225" i="18"/>
  <c r="Q227" i="18"/>
  <c r="Q223" i="18"/>
  <c r="Q224" i="18"/>
  <c r="Q229" i="18"/>
  <c r="I274" i="18"/>
  <c r="J274" i="18"/>
  <c r="J275" i="18"/>
  <c r="K275" i="18"/>
  <c r="K274" i="18"/>
  <c r="K276" i="18"/>
  <c r="L276" i="18"/>
  <c r="L277" i="18"/>
  <c r="L275" i="18"/>
  <c r="L274" i="18"/>
  <c r="M274" i="18"/>
  <c r="M275" i="18"/>
  <c r="M277" i="18"/>
  <c r="M276" i="18"/>
  <c r="M278" i="18"/>
  <c r="N278" i="18"/>
  <c r="N275" i="18"/>
  <c r="N276" i="18"/>
  <c r="N277" i="18"/>
  <c r="N279" i="18"/>
  <c r="O276" i="18"/>
  <c r="O278" i="18"/>
  <c r="O279" i="18"/>
  <c r="O280" i="18"/>
  <c r="O277" i="18"/>
  <c r="E663" i="7949"/>
  <c r="E693" i="7949" s="1"/>
  <c r="H663" i="7949"/>
  <c r="H696" i="7949" s="1"/>
  <c r="M663" i="7949"/>
  <c r="M701" i="7949" s="1"/>
  <c r="P279" i="18"/>
  <c r="F663" i="7949"/>
  <c r="F694" i="7949" s="1"/>
  <c r="I663" i="7949"/>
  <c r="I697" i="7949" s="1"/>
  <c r="J663" i="7949"/>
  <c r="J698" i="7949" s="1"/>
  <c r="K663" i="7949"/>
  <c r="K699" i="7949" s="1"/>
  <c r="P281" i="18"/>
  <c r="D663" i="7949"/>
  <c r="D692" i="7949" s="1"/>
  <c r="G663" i="7949"/>
  <c r="G695" i="7949" s="1"/>
  <c r="L663" i="7949"/>
  <c r="L700" i="7949" s="1"/>
  <c r="P277" i="18"/>
  <c r="P280" i="18"/>
  <c r="P278" i="18"/>
  <c r="Q279" i="18"/>
  <c r="Q280" i="18"/>
  <c r="Q281" i="18"/>
  <c r="Q278" i="18"/>
  <c r="Q282" i="18"/>
  <c r="I166" i="7944"/>
  <c r="J166" i="7944"/>
  <c r="J167" i="7944"/>
  <c r="K168" i="7944"/>
  <c r="K167" i="7944"/>
  <c r="K166" i="7944"/>
  <c r="L168" i="7944"/>
  <c r="L167" i="7944"/>
  <c r="L166" i="7944"/>
  <c r="L169" i="7944"/>
  <c r="M170" i="7944"/>
  <c r="M169" i="7944"/>
  <c r="M167" i="7944"/>
  <c r="M168" i="7944"/>
  <c r="M166" i="7944"/>
  <c r="N166" i="7944"/>
  <c r="N171" i="7944"/>
  <c r="N169" i="7944"/>
  <c r="N170" i="7944"/>
  <c r="N168" i="7944"/>
  <c r="N167" i="7944"/>
  <c r="O172" i="7944"/>
  <c r="O170" i="7944"/>
  <c r="O169" i="7944"/>
  <c r="O167" i="7944"/>
  <c r="O168" i="7944"/>
  <c r="O166" i="7944"/>
  <c r="O171" i="7944"/>
  <c r="L226" i="7950"/>
  <c r="L263" i="7950" s="1"/>
  <c r="M226" i="7950"/>
  <c r="M264" i="7950" s="1"/>
  <c r="K226" i="7950"/>
  <c r="K262" i="7950" s="1"/>
  <c r="P166" i="7944"/>
  <c r="P173" i="7944"/>
  <c r="P171" i="7944"/>
  <c r="E226" i="7950"/>
  <c r="E256" i="7950" s="1"/>
  <c r="I226" i="7950"/>
  <c r="I260" i="7950" s="1"/>
  <c r="J226" i="7950"/>
  <c r="J261" i="7950" s="1"/>
  <c r="G226" i="7950"/>
  <c r="G258" i="7950" s="1"/>
  <c r="P172" i="7944"/>
  <c r="D226" i="7950"/>
  <c r="D255" i="7950" s="1"/>
  <c r="F226" i="7950"/>
  <c r="F257" i="7950" s="1"/>
  <c r="H226" i="7950"/>
  <c r="H259" i="7950" s="1"/>
  <c r="P170" i="7944"/>
  <c r="P169" i="7944"/>
  <c r="P167" i="7944"/>
  <c r="P168" i="7944"/>
  <c r="Q168" i="7944"/>
  <c r="Q171" i="7944"/>
  <c r="Q173" i="7944"/>
  <c r="Q170" i="7944"/>
  <c r="Q172" i="7944"/>
  <c r="Q167" i="7944"/>
  <c r="Q169" i="7944"/>
  <c r="Q174" i="7944"/>
  <c r="Q166" i="7944"/>
  <c r="I218" i="7944"/>
  <c r="J218" i="7944"/>
  <c r="J219" i="7944"/>
  <c r="K220" i="7944"/>
  <c r="K219" i="7944"/>
  <c r="K218" i="7944"/>
  <c r="L221" i="7944"/>
  <c r="L218" i="7944"/>
  <c r="L220" i="7944"/>
  <c r="L219" i="7944"/>
  <c r="M221" i="7944"/>
  <c r="M220" i="7944"/>
  <c r="M222" i="7944"/>
  <c r="M219" i="7944"/>
  <c r="M218" i="7944"/>
  <c r="N220" i="7944"/>
  <c r="N218" i="7944"/>
  <c r="N223" i="7944"/>
  <c r="N222" i="7944"/>
  <c r="N221" i="7944"/>
  <c r="N219" i="7944"/>
  <c r="O222" i="7944"/>
  <c r="O220" i="7944"/>
  <c r="O219" i="7944"/>
  <c r="O218" i="7944"/>
  <c r="O224" i="7944"/>
  <c r="O223" i="7944"/>
  <c r="O221" i="7944"/>
  <c r="G442" i="7950"/>
  <c r="G474" i="7950" s="1"/>
  <c r="I442" i="7950"/>
  <c r="I476" i="7950" s="1"/>
  <c r="P220" i="7944"/>
  <c r="D442" i="7950"/>
  <c r="D471" i="7950" s="1"/>
  <c r="L442" i="7950"/>
  <c r="L479" i="7950" s="1"/>
  <c r="P225" i="7944"/>
  <c r="P223" i="7944"/>
  <c r="P224" i="7944"/>
  <c r="P222" i="7944"/>
  <c r="P219" i="7944"/>
  <c r="K442" i="7950"/>
  <c r="K478" i="7950" s="1"/>
  <c r="J442" i="7950"/>
  <c r="J477" i="7950" s="1"/>
  <c r="M442" i="7950"/>
  <c r="M480" i="7950" s="1"/>
  <c r="E442" i="7950"/>
  <c r="E472" i="7950" s="1"/>
  <c r="F442" i="7950"/>
  <c r="F473" i="7950" s="1"/>
  <c r="H442" i="7950"/>
  <c r="H475" i="7950" s="1"/>
  <c r="P221" i="7944"/>
  <c r="P218" i="7944"/>
  <c r="Q223" i="7944"/>
  <c r="Q222" i="7944"/>
  <c r="Q225" i="7944"/>
  <c r="Q219" i="7944"/>
  <c r="Q224" i="7944"/>
  <c r="Q220" i="7944"/>
  <c r="Q226" i="7944"/>
  <c r="Q218" i="7944"/>
  <c r="Q221" i="7944"/>
  <c r="I270" i="7944"/>
  <c r="J270" i="7944"/>
  <c r="J271" i="7944"/>
  <c r="K271" i="7944"/>
  <c r="K270" i="7944"/>
  <c r="K272" i="7944"/>
  <c r="L270" i="7944"/>
  <c r="L272" i="7944"/>
  <c r="L273" i="7944"/>
  <c r="L271" i="7944"/>
  <c r="M271" i="7944"/>
  <c r="M270" i="7944"/>
  <c r="M274" i="7944"/>
  <c r="M273" i="7944"/>
  <c r="M272" i="7944"/>
  <c r="N272" i="7944"/>
  <c r="N275" i="7944"/>
  <c r="N274" i="7944"/>
  <c r="N273" i="7944"/>
  <c r="N271" i="7944"/>
  <c r="O276" i="7944"/>
  <c r="O275" i="7944"/>
  <c r="O272" i="7944"/>
  <c r="O273" i="7944"/>
  <c r="O274" i="7944"/>
  <c r="P277" i="7944"/>
  <c r="P274" i="7944"/>
  <c r="E658" i="7950"/>
  <c r="E688" i="7950" s="1"/>
  <c r="L658" i="7950"/>
  <c r="L695" i="7950" s="1"/>
  <c r="P276" i="7944"/>
  <c r="H658" i="7950"/>
  <c r="H691" i="7950" s="1"/>
  <c r="G658" i="7950"/>
  <c r="G690" i="7950" s="1"/>
  <c r="K658" i="7950"/>
  <c r="K694" i="7950" s="1"/>
  <c r="P273" i="7944"/>
  <c r="D658" i="7950"/>
  <c r="D687" i="7950" s="1"/>
  <c r="M658" i="7950"/>
  <c r="M696" i="7950" s="1"/>
  <c r="F658" i="7950"/>
  <c r="F689" i="7950" s="1"/>
  <c r="I658" i="7950"/>
  <c r="I692" i="7950" s="1"/>
  <c r="J658" i="7950"/>
  <c r="J693" i="7950" s="1"/>
  <c r="P275" i="7944"/>
  <c r="Q274" i="7944"/>
  <c r="Q277" i="7944"/>
  <c r="Q278" i="7944"/>
  <c r="Q276" i="7944"/>
  <c r="Q275" i="7944"/>
  <c r="I283" i="7944"/>
  <c r="J283" i="7944"/>
  <c r="J284" i="7944"/>
  <c r="K285" i="7944"/>
  <c r="K284" i="7944"/>
  <c r="K283" i="7944"/>
  <c r="L286" i="7944"/>
  <c r="L284" i="7944"/>
  <c r="L283" i="7944"/>
  <c r="L285" i="7944"/>
  <c r="M286" i="7944"/>
  <c r="M284" i="7944"/>
  <c r="M285" i="7944"/>
  <c r="M283" i="7944"/>
  <c r="M287" i="7944"/>
  <c r="N287" i="7944"/>
  <c r="N285" i="7944"/>
  <c r="N286" i="7944"/>
  <c r="N284" i="7944"/>
  <c r="N288" i="7944"/>
  <c r="O286" i="7944"/>
  <c r="O288" i="7944"/>
  <c r="O285" i="7944"/>
  <c r="O287" i="7944"/>
  <c r="O289" i="7944"/>
  <c r="G712" i="7950"/>
  <c r="G744" i="7950" s="1"/>
  <c r="H712" i="7950"/>
  <c r="H745" i="7950" s="1"/>
  <c r="P288" i="7944"/>
  <c r="M712" i="7950"/>
  <c r="M750" i="7950" s="1"/>
  <c r="I712" i="7950"/>
  <c r="I746" i="7950" s="1"/>
  <c r="J712" i="7950"/>
  <c r="J747" i="7950" s="1"/>
  <c r="P287" i="7944"/>
  <c r="P289" i="7944"/>
  <c r="P290" i="7944"/>
  <c r="P286" i="7944"/>
  <c r="D712" i="7950"/>
  <c r="D741" i="7950" s="1"/>
  <c r="F712" i="7950"/>
  <c r="F743" i="7950" s="1"/>
  <c r="L712" i="7950"/>
  <c r="L749" i="7950" s="1"/>
  <c r="E712" i="7950"/>
  <c r="E742" i="7950" s="1"/>
  <c r="K712" i="7950"/>
  <c r="K748" i="7950" s="1"/>
  <c r="Q287" i="7944"/>
  <c r="Q290" i="7944"/>
  <c r="Q289" i="7944"/>
  <c r="Q291" i="7944"/>
  <c r="Q288" i="7944"/>
  <c r="I157" i="18"/>
  <c r="J157" i="18"/>
  <c r="J158" i="18"/>
  <c r="K157" i="18"/>
  <c r="K158" i="18"/>
  <c r="K159" i="18"/>
  <c r="L158" i="18"/>
  <c r="L159" i="18"/>
  <c r="L157" i="18"/>
  <c r="L160" i="18"/>
  <c r="M160" i="18"/>
  <c r="M158" i="18"/>
  <c r="M161" i="18"/>
  <c r="M157" i="18"/>
  <c r="M159" i="18"/>
  <c r="N159" i="18"/>
  <c r="N158" i="18"/>
  <c r="N160" i="18"/>
  <c r="N161" i="18"/>
  <c r="N157" i="18"/>
  <c r="N162" i="18"/>
  <c r="O163" i="18"/>
  <c r="O159" i="18"/>
  <c r="O157" i="18"/>
  <c r="O158" i="18"/>
  <c r="O160" i="18"/>
  <c r="O161" i="18"/>
  <c r="O162" i="18"/>
  <c r="M177" i="7949"/>
  <c r="M215" i="7949" s="1"/>
  <c r="G177" i="7949"/>
  <c r="G209" i="7949" s="1"/>
  <c r="K177" i="7949"/>
  <c r="K213" i="7949" s="1"/>
  <c r="P159" i="18"/>
  <c r="P162" i="18"/>
  <c r="P164" i="18"/>
  <c r="E177" i="7949"/>
  <c r="E207" i="7949" s="1"/>
  <c r="J177" i="7949"/>
  <c r="J212" i="7949" s="1"/>
  <c r="L177" i="7949"/>
  <c r="L214" i="7949" s="1"/>
  <c r="P161" i="18"/>
  <c r="D177" i="7949"/>
  <c r="D206" i="7949" s="1"/>
  <c r="F177" i="7949"/>
  <c r="F208" i="7949" s="1"/>
  <c r="I177" i="7949"/>
  <c r="I211" i="7949" s="1"/>
  <c r="H177" i="7949"/>
  <c r="H210" i="7949" s="1"/>
  <c r="P163" i="18"/>
  <c r="P158" i="18"/>
  <c r="P160" i="18"/>
  <c r="P157" i="18"/>
  <c r="Q164" i="18"/>
  <c r="Q157" i="18"/>
  <c r="Q165" i="18"/>
  <c r="Q158" i="18"/>
  <c r="Q159" i="18"/>
  <c r="Q161" i="18"/>
  <c r="Q160" i="18"/>
  <c r="Q162" i="18"/>
  <c r="Q163" i="18"/>
  <c r="I131" i="18"/>
  <c r="J131" i="18"/>
  <c r="J132" i="18"/>
  <c r="K132" i="18"/>
  <c r="K133" i="18"/>
  <c r="K131" i="18"/>
  <c r="L133" i="18"/>
  <c r="L131" i="18"/>
  <c r="L132" i="18"/>
  <c r="L134" i="18"/>
  <c r="M134" i="18"/>
  <c r="M133" i="18"/>
  <c r="M135" i="18"/>
  <c r="M131" i="18"/>
  <c r="M132" i="18"/>
  <c r="N131" i="18"/>
  <c r="N133" i="18"/>
  <c r="N136" i="18"/>
  <c r="N135" i="18"/>
  <c r="N132" i="18"/>
  <c r="N134" i="18"/>
  <c r="O132" i="18"/>
  <c r="O134" i="18"/>
  <c r="O137" i="18"/>
  <c r="O131" i="18"/>
  <c r="O133" i="18"/>
  <c r="O135" i="18"/>
  <c r="O136" i="18"/>
  <c r="H69" i="7949"/>
  <c r="H102" i="7949" s="1"/>
  <c r="K69" i="7949"/>
  <c r="K105" i="7949" s="1"/>
  <c r="L69" i="7949"/>
  <c r="L106" i="7949" s="1"/>
  <c r="E69" i="7949"/>
  <c r="E99" i="7949" s="1"/>
  <c r="G69" i="7949"/>
  <c r="G101" i="7949" s="1"/>
  <c r="I69" i="7949"/>
  <c r="I103" i="7949" s="1"/>
  <c r="P138" i="18"/>
  <c r="P135" i="18"/>
  <c r="P132" i="18"/>
  <c r="D69" i="7949"/>
  <c r="D98" i="7949" s="1"/>
  <c r="P133" i="18"/>
  <c r="P134" i="18"/>
  <c r="P137" i="18"/>
  <c r="F69" i="7949"/>
  <c r="F100" i="7949" s="1"/>
  <c r="J69" i="7949"/>
  <c r="J104" i="7949" s="1"/>
  <c r="M69" i="7949"/>
  <c r="M107" i="7949" s="1"/>
  <c r="P131" i="18"/>
  <c r="P136" i="18"/>
  <c r="Q135" i="18"/>
  <c r="Q138" i="18"/>
  <c r="Q131" i="18"/>
  <c r="Q133" i="18"/>
  <c r="Q137" i="18"/>
  <c r="Q134" i="18"/>
  <c r="Q136" i="18"/>
  <c r="Q139" i="18"/>
  <c r="Q132" i="18"/>
  <c r="I183" i="18"/>
  <c r="J184" i="18"/>
  <c r="J183" i="18"/>
  <c r="K183" i="18"/>
  <c r="K184" i="18"/>
  <c r="K185" i="18"/>
  <c r="L186" i="18"/>
  <c r="L183" i="18"/>
  <c r="L185" i="18"/>
  <c r="L184" i="18"/>
  <c r="M187" i="18"/>
  <c r="M185" i="18"/>
  <c r="M186" i="18"/>
  <c r="M183" i="18"/>
  <c r="M184" i="18"/>
  <c r="N183" i="18"/>
  <c r="N184" i="18"/>
  <c r="N186" i="18"/>
  <c r="N187" i="18"/>
  <c r="N185" i="18"/>
  <c r="N188" i="18"/>
  <c r="O183" i="18"/>
  <c r="O184" i="18"/>
  <c r="O186" i="18"/>
  <c r="O187" i="18"/>
  <c r="O188" i="18"/>
  <c r="O185" i="18"/>
  <c r="O189" i="18"/>
  <c r="F285" i="7949"/>
  <c r="F316" i="7949" s="1"/>
  <c r="E285" i="7949"/>
  <c r="E315" i="7949" s="1"/>
  <c r="H285" i="7949"/>
  <c r="H318" i="7949" s="1"/>
  <c r="K285" i="7949"/>
  <c r="K321" i="7949" s="1"/>
  <c r="M285" i="7949"/>
  <c r="M323" i="7949" s="1"/>
  <c r="P189" i="18"/>
  <c r="G285" i="7949"/>
  <c r="G317" i="7949" s="1"/>
  <c r="L285" i="7949"/>
  <c r="L322" i="7949" s="1"/>
  <c r="P185" i="18"/>
  <c r="P187" i="18"/>
  <c r="P184" i="18"/>
  <c r="P186" i="18"/>
  <c r="J285" i="7949"/>
  <c r="J320" i="7949" s="1"/>
  <c r="I285" i="7949"/>
  <c r="I319" i="7949" s="1"/>
  <c r="D285" i="7949"/>
  <c r="D314" i="7949" s="1"/>
  <c r="P183" i="18"/>
  <c r="P188" i="18"/>
  <c r="P190" i="18"/>
  <c r="Q186" i="18"/>
  <c r="Q189" i="18"/>
  <c r="Q184" i="18"/>
  <c r="Q188" i="18"/>
  <c r="Q183" i="18"/>
  <c r="Q185" i="18"/>
  <c r="Q191" i="18"/>
  <c r="Q187" i="18"/>
  <c r="Q190" i="18"/>
  <c r="I235" i="18"/>
  <c r="J235" i="18"/>
  <c r="J236" i="18"/>
  <c r="K235" i="18"/>
  <c r="K237" i="18"/>
  <c r="K236" i="18"/>
  <c r="L235" i="18"/>
  <c r="L237" i="18"/>
  <c r="L236" i="18"/>
  <c r="L238" i="18"/>
  <c r="M235" i="18"/>
  <c r="M236" i="18"/>
  <c r="M237" i="18"/>
  <c r="M238" i="18"/>
  <c r="M239" i="18"/>
  <c r="N238" i="18"/>
  <c r="N239" i="18"/>
  <c r="N236" i="18"/>
  <c r="N237" i="18"/>
  <c r="N240" i="18"/>
  <c r="O240" i="18"/>
  <c r="O241" i="18"/>
  <c r="O238" i="18"/>
  <c r="O237" i="18"/>
  <c r="O239" i="18"/>
  <c r="E501" i="7949"/>
  <c r="E531" i="7949" s="1"/>
  <c r="K501" i="7949"/>
  <c r="K537" i="7949" s="1"/>
  <c r="G501" i="7949"/>
  <c r="G533" i="7949" s="1"/>
  <c r="J501" i="7949"/>
  <c r="J536" i="7949" s="1"/>
  <c r="P238" i="18"/>
  <c r="P239" i="18"/>
  <c r="P241" i="18"/>
  <c r="D501" i="7949"/>
  <c r="D530" i="7949" s="1"/>
  <c r="F501" i="7949"/>
  <c r="F532" i="7949" s="1"/>
  <c r="I501" i="7949"/>
  <c r="I535" i="7949" s="1"/>
  <c r="H501" i="7949"/>
  <c r="H534" i="7949" s="1"/>
  <c r="M501" i="7949"/>
  <c r="M539" i="7949" s="1"/>
  <c r="P242" i="18"/>
  <c r="L501" i="7949"/>
  <c r="L538" i="7949" s="1"/>
  <c r="P240" i="18"/>
  <c r="Q240" i="18"/>
  <c r="Q241" i="18"/>
  <c r="Q239" i="18"/>
  <c r="Q242" i="18"/>
  <c r="Q243" i="18"/>
  <c r="I127" i="7944"/>
  <c r="J128" i="7944"/>
  <c r="J127" i="7944"/>
  <c r="K129" i="7944"/>
  <c r="K128" i="7944"/>
  <c r="K127" i="7944"/>
  <c r="L129" i="7944"/>
  <c r="L128" i="7944"/>
  <c r="L127" i="7944"/>
  <c r="L130" i="7944"/>
  <c r="M127" i="7944"/>
  <c r="M129" i="7944"/>
  <c r="M131" i="7944"/>
  <c r="M128" i="7944"/>
  <c r="M130" i="7944"/>
  <c r="N129" i="7944"/>
  <c r="N131" i="7944"/>
  <c r="N128" i="7944"/>
  <c r="N127" i="7944"/>
  <c r="N130" i="7944"/>
  <c r="N132" i="7944"/>
  <c r="O127" i="7944"/>
  <c r="O129" i="7944"/>
  <c r="O132" i="7944"/>
  <c r="O131" i="7944"/>
  <c r="O133" i="7944"/>
  <c r="O128" i="7944"/>
  <c r="O130" i="7944"/>
  <c r="M64" i="7950"/>
  <c r="M102" i="7950" s="1"/>
  <c r="E64" i="7950"/>
  <c r="E94" i="7950" s="1"/>
  <c r="G64" i="7950"/>
  <c r="G96" i="7950" s="1"/>
  <c r="H64" i="7950"/>
  <c r="H97" i="7950" s="1"/>
  <c r="D64" i="7950"/>
  <c r="D93" i="7950" s="1"/>
  <c r="F64" i="7950"/>
  <c r="F95" i="7950" s="1"/>
  <c r="K64" i="7950"/>
  <c r="K100" i="7950" s="1"/>
  <c r="L64" i="7950"/>
  <c r="L101" i="7950" s="1"/>
  <c r="P134" i="7944"/>
  <c r="P128" i="7944"/>
  <c r="P133" i="7944"/>
  <c r="P127" i="7944"/>
  <c r="P129" i="7944"/>
  <c r="J64" i="7950"/>
  <c r="J99" i="7950" s="1"/>
  <c r="I64" i="7950"/>
  <c r="I98" i="7950" s="1"/>
  <c r="P130" i="7944"/>
  <c r="P132" i="7944"/>
  <c r="P131" i="7944"/>
  <c r="Q135" i="7944"/>
  <c r="Q127" i="7944"/>
  <c r="Q129" i="7944"/>
  <c r="Q132" i="7944"/>
  <c r="Q134" i="7944"/>
  <c r="Q131" i="7944"/>
  <c r="Q133" i="7944"/>
  <c r="Q128" i="7944"/>
  <c r="Q130" i="7944"/>
  <c r="I179" i="7944"/>
  <c r="J180" i="7944"/>
  <c r="J179" i="7944"/>
  <c r="K180" i="7944"/>
  <c r="K179" i="7944"/>
  <c r="K181" i="7944"/>
  <c r="L181" i="7944"/>
  <c r="L180" i="7944"/>
  <c r="L179" i="7944"/>
  <c r="L182" i="7944"/>
  <c r="M179" i="7944"/>
  <c r="M183" i="7944"/>
  <c r="M182" i="7944"/>
  <c r="M180" i="7944"/>
  <c r="M181" i="7944"/>
  <c r="N181" i="7944"/>
  <c r="N179" i="7944"/>
  <c r="N184" i="7944"/>
  <c r="N183" i="7944"/>
  <c r="N182" i="7944"/>
  <c r="N180" i="7944"/>
  <c r="O184" i="7944"/>
  <c r="O185" i="7944"/>
  <c r="O183" i="7944"/>
  <c r="O182" i="7944"/>
  <c r="O180" i="7944"/>
  <c r="O181" i="7944"/>
  <c r="O179" i="7944"/>
  <c r="M280" i="7950"/>
  <c r="M318" i="7950" s="1"/>
  <c r="F280" i="7950"/>
  <c r="F311" i="7950" s="1"/>
  <c r="K280" i="7950"/>
  <c r="K316" i="7950" s="1"/>
  <c r="L280" i="7950"/>
  <c r="L317" i="7950" s="1"/>
  <c r="P182" i="7944"/>
  <c r="P179" i="7944"/>
  <c r="E280" i="7950"/>
  <c r="E310" i="7950" s="1"/>
  <c r="J280" i="7950"/>
  <c r="J315" i="7950" s="1"/>
  <c r="P181" i="7944"/>
  <c r="P184" i="7944"/>
  <c r="P183" i="7944"/>
  <c r="D280" i="7950"/>
  <c r="D309" i="7950" s="1"/>
  <c r="H280" i="7950"/>
  <c r="H313" i="7950" s="1"/>
  <c r="P186" i="7944"/>
  <c r="G280" i="7950"/>
  <c r="G312" i="7950" s="1"/>
  <c r="I280" i="7950"/>
  <c r="I314" i="7950" s="1"/>
  <c r="P185" i="7944"/>
  <c r="P180" i="7944"/>
  <c r="Q187" i="7944"/>
  <c r="Q179" i="7944"/>
  <c r="Q185" i="7944"/>
  <c r="Q184" i="7944"/>
  <c r="Q182" i="7944"/>
  <c r="Q183" i="7944"/>
  <c r="Q181" i="7944"/>
  <c r="Q180" i="7944"/>
  <c r="Q186" i="7944"/>
  <c r="I231" i="7944"/>
  <c r="J232" i="7944"/>
  <c r="J231" i="7944"/>
  <c r="K233" i="7944"/>
  <c r="K232" i="7944"/>
  <c r="K231" i="7944"/>
  <c r="L234" i="7944"/>
  <c r="L232" i="7944"/>
  <c r="L233" i="7944"/>
  <c r="L231" i="7944"/>
  <c r="M233" i="7944"/>
  <c r="M235" i="7944"/>
  <c r="M232" i="7944"/>
  <c r="M234" i="7944"/>
  <c r="N235" i="7944"/>
  <c r="N233" i="7944"/>
  <c r="N236" i="7944"/>
  <c r="N234" i="7944"/>
  <c r="O237" i="7944"/>
  <c r="O234" i="7944"/>
  <c r="O236" i="7944"/>
  <c r="O235" i="7944"/>
  <c r="G496" i="7950"/>
  <c r="G528" i="7950" s="1"/>
  <c r="K496" i="7950"/>
  <c r="K532" i="7950" s="1"/>
  <c r="D496" i="7950"/>
  <c r="D525" i="7950" s="1"/>
  <c r="E496" i="7950"/>
  <c r="E526" i="7950" s="1"/>
  <c r="J496" i="7950"/>
  <c r="J531" i="7950" s="1"/>
  <c r="L496" i="7950"/>
  <c r="L533" i="7950" s="1"/>
  <c r="P236" i="7944"/>
  <c r="P238" i="7944"/>
  <c r="P235" i="7944"/>
  <c r="P237" i="7944"/>
  <c r="M496" i="7950"/>
  <c r="M534" i="7950" s="1"/>
  <c r="F496" i="7950"/>
  <c r="F527" i="7950" s="1"/>
  <c r="H496" i="7950"/>
  <c r="H529" i="7950" s="1"/>
  <c r="I496" i="7950"/>
  <c r="I530" i="7950" s="1"/>
  <c r="Q237" i="7944"/>
  <c r="Q239" i="7944"/>
  <c r="Q236" i="7944"/>
  <c r="Q238" i="7944"/>
  <c r="Q235" i="7944" l="1"/>
  <c r="O233" i="7944"/>
  <c r="P233" i="7944" s="1"/>
  <c r="Q233" i="7944" s="1"/>
  <c r="N270" i="7944"/>
  <c r="P263" i="18"/>
  <c r="Q263" i="18" s="1"/>
  <c r="P234" i="7944"/>
  <c r="Q234" i="7944" s="1"/>
  <c r="Q264" i="18"/>
  <c r="N235" i="18"/>
  <c r="O235" i="18" s="1"/>
  <c r="P235" i="18" s="1"/>
  <c r="N261" i="18"/>
  <c r="O261" i="18" s="1"/>
  <c r="P261" i="18" s="1"/>
  <c r="Q261" i="18" s="1"/>
  <c r="Q238" i="18"/>
  <c r="Q286" i="7944"/>
  <c r="Q277" i="18"/>
  <c r="P285" i="7944"/>
  <c r="Q285" i="7944" s="1"/>
  <c r="P259" i="7944"/>
  <c r="Q259" i="7944" s="1"/>
  <c r="O236" i="18"/>
  <c r="P236" i="18" s="1"/>
  <c r="Q236" i="18" s="1"/>
  <c r="O270" i="7944"/>
  <c r="P270" i="7944" s="1"/>
  <c r="Q270" i="7944" s="1"/>
  <c r="M231" i="7944"/>
  <c r="N231" i="7944" s="1"/>
  <c r="Q273" i="7944"/>
  <c r="Q260" i="7944"/>
  <c r="P272" i="7944"/>
  <c r="Q272" i="7944" s="1"/>
  <c r="P276" i="18"/>
  <c r="Q276" i="18" s="1"/>
  <c r="P237" i="18"/>
  <c r="Q237" i="18" s="1"/>
  <c r="O284" i="7944"/>
  <c r="P284" i="7944" s="1"/>
  <c r="Q284" i="7944" s="1"/>
  <c r="O271" i="7944"/>
  <c r="P271" i="7944" s="1"/>
  <c r="Q271" i="7944" s="1"/>
  <c r="O258" i="7944"/>
  <c r="P258" i="7944" s="1"/>
  <c r="O262" i="18"/>
  <c r="N232" i="7944"/>
  <c r="O232" i="7944" s="1"/>
  <c r="P232" i="7944" s="1"/>
  <c r="N274" i="18"/>
  <c r="O274" i="18" s="1"/>
  <c r="P274" i="18" s="1"/>
  <c r="Q274" i="18" s="1"/>
  <c r="N257" i="7944"/>
  <c r="N283" i="7944"/>
  <c r="O283" i="7944" s="1"/>
  <c r="I529" i="7950"/>
  <c r="I505" i="7950"/>
  <c r="K531" i="7950"/>
  <c r="K507" i="7950"/>
  <c r="H312" i="7950"/>
  <c r="H288" i="7950"/>
  <c r="F310" i="7950"/>
  <c r="F286" i="7950"/>
  <c r="L316" i="7950"/>
  <c r="L292" i="7950"/>
  <c r="J74" i="7950"/>
  <c r="J98" i="7950"/>
  <c r="L100" i="7950"/>
  <c r="L76" i="7950"/>
  <c r="H96" i="7950"/>
  <c r="H72"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H533" i="7949"/>
  <c r="H509"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H293" i="7949"/>
  <c r="H317" i="7949"/>
  <c r="I318" i="7949"/>
  <c r="I294" i="7949"/>
  <c r="K104" i="7949"/>
  <c r="L104" i="7949" s="1"/>
  <c r="M104" i="7949" s="1"/>
  <c r="N104" i="7949" s="1"/>
  <c r="O104" i="7949" s="1"/>
  <c r="P104" i="7949" s="1"/>
  <c r="Q104" i="7949" s="1"/>
  <c r="R104" i="7949" s="1"/>
  <c r="S104" i="7949" s="1"/>
  <c r="T104" i="7949" s="1"/>
  <c r="U104" i="7949" s="1"/>
  <c r="V104" i="7949" s="1"/>
  <c r="W104" i="7949" s="1"/>
  <c r="K80" i="7949"/>
  <c r="M106" i="7949"/>
  <c r="N106" i="7949" s="1"/>
  <c r="O106" i="7949" s="1"/>
  <c r="P106" i="7949" s="1"/>
  <c r="Q106" i="7949" s="1"/>
  <c r="R106" i="7949" s="1"/>
  <c r="S106" i="7949" s="1"/>
  <c r="T106" i="7949" s="1"/>
  <c r="U106" i="7949" s="1"/>
  <c r="V106" i="7949" s="1"/>
  <c r="W106" i="7949" s="1"/>
  <c r="M82" i="7949"/>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L213" i="7949"/>
  <c r="M213" i="7949" s="1"/>
  <c r="N213" i="7949" s="1"/>
  <c r="O213" i="7949" s="1"/>
  <c r="P213" i="7949" s="1"/>
  <c r="Q213" i="7949" s="1"/>
  <c r="R213" i="7949" s="1"/>
  <c r="S213" i="7949" s="1"/>
  <c r="T213" i="7949" s="1"/>
  <c r="U213" i="7949" s="1"/>
  <c r="V213" i="7949" s="1"/>
  <c r="W213" i="7949" s="1"/>
  <c r="L189" i="7949"/>
  <c r="M749" i="7950"/>
  <c r="M725" i="7950"/>
  <c r="K693" i="7950"/>
  <c r="K669" i="7950"/>
  <c r="E687" i="7950"/>
  <c r="F687" i="7950" s="1"/>
  <c r="G687" i="7950" s="1"/>
  <c r="H687" i="7950" s="1"/>
  <c r="I687" i="7950" s="1"/>
  <c r="J687" i="7950" s="1"/>
  <c r="K687" i="7950" s="1"/>
  <c r="L687" i="7950" s="1"/>
  <c r="E663" i="7950"/>
  <c r="I691" i="7950"/>
  <c r="I667" i="7950"/>
  <c r="G473" i="7950"/>
  <c r="G449" i="7950"/>
  <c r="L478" i="7950"/>
  <c r="L454" i="7950"/>
  <c r="F232" i="7950"/>
  <c r="F256" i="7950"/>
  <c r="L238"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J697" i="7949"/>
  <c r="K697" i="7949" s="1"/>
  <c r="L697" i="7949" s="1"/>
  <c r="M697" i="7949" s="1"/>
  <c r="N697" i="7949" s="1"/>
  <c r="O697" i="7949" s="1"/>
  <c r="P697" i="7949" s="1"/>
  <c r="Q697" i="7949" s="1"/>
  <c r="R697" i="7949" s="1"/>
  <c r="S697" i="7949" s="1"/>
  <c r="T697" i="7949" s="1"/>
  <c r="U697" i="7949" s="1"/>
  <c r="V697" i="7949" s="1"/>
  <c r="W697" i="7949" s="1"/>
  <c r="J673" i="7949"/>
  <c r="N701" i="7949"/>
  <c r="O701" i="7949" s="1"/>
  <c r="P701" i="7949" s="1"/>
  <c r="Q701" i="7949" s="1"/>
  <c r="R701" i="7949" s="1"/>
  <c r="S701" i="7949" s="1"/>
  <c r="T701" i="7949" s="1"/>
  <c r="U701" i="7949" s="1"/>
  <c r="V701" i="7949" s="1"/>
  <c r="W701" i="7949" s="1"/>
  <c r="N677" i="7949"/>
  <c r="O275" i="18"/>
  <c r="P275" i="18" s="1"/>
  <c r="K482" i="7949"/>
  <c r="L482" i="7949" s="1"/>
  <c r="M482" i="7949" s="1"/>
  <c r="N482" i="7949" s="1"/>
  <c r="O482" i="7949" s="1"/>
  <c r="P482" i="7949" s="1"/>
  <c r="Q482" i="7949" s="1"/>
  <c r="R482" i="7949" s="1"/>
  <c r="S482" i="7949" s="1"/>
  <c r="T482" i="7949" s="1"/>
  <c r="U482" i="7949" s="1"/>
  <c r="V482" i="7949" s="1"/>
  <c r="W482" i="7949" s="1"/>
  <c r="K458" i="7949"/>
  <c r="N485" i="7949"/>
  <c r="O485" i="7949" s="1"/>
  <c r="P485" i="7949" s="1"/>
  <c r="Q485" i="7949" s="1"/>
  <c r="R485" i="7949" s="1"/>
  <c r="S485" i="7949" s="1"/>
  <c r="T485" i="7949" s="1"/>
  <c r="U485" i="7949" s="1"/>
  <c r="V485" i="7949" s="1"/>
  <c r="W485" i="7949" s="1"/>
  <c r="N461" i="7949"/>
  <c r="J265" i="7949"/>
  <c r="K265" i="7949" s="1"/>
  <c r="L265" i="7949" s="1"/>
  <c r="M265" i="7949" s="1"/>
  <c r="N265" i="7949" s="1"/>
  <c r="O265" i="7949" s="1"/>
  <c r="P265" i="7949" s="1"/>
  <c r="Q265" i="7949" s="1"/>
  <c r="R265" i="7949" s="1"/>
  <c r="S265" i="7949" s="1"/>
  <c r="T265" i="7949" s="1"/>
  <c r="U265" i="7949" s="1"/>
  <c r="V265" i="7949" s="1"/>
  <c r="W265" i="7949" s="1"/>
  <c r="J241" i="7949"/>
  <c r="K266" i="7949"/>
  <c r="L266" i="7949" s="1"/>
  <c r="M266" i="7949" s="1"/>
  <c r="N266" i="7949" s="1"/>
  <c r="O266" i="7949" s="1"/>
  <c r="P266" i="7949" s="1"/>
  <c r="Q266" i="7949" s="1"/>
  <c r="R266" i="7949" s="1"/>
  <c r="S266" i="7949" s="1"/>
  <c r="T266" i="7949" s="1"/>
  <c r="U266" i="7949" s="1"/>
  <c r="V266" i="7949" s="1"/>
  <c r="W266" i="7949" s="1"/>
  <c r="K242"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L616" i="7950"/>
  <c r="L640" i="7950"/>
  <c r="E633" i="7950"/>
  <c r="F633" i="7950" s="1"/>
  <c r="G633" i="7950" s="1"/>
  <c r="H633" i="7950" s="1"/>
  <c r="I633" i="7950" s="1"/>
  <c r="J633" i="7950" s="1"/>
  <c r="K633" i="7950" s="1"/>
  <c r="L633" i="7950" s="1"/>
  <c r="E609" i="7950"/>
  <c r="J638" i="7950"/>
  <c r="J614" i="7950"/>
  <c r="L400" i="7950"/>
  <c r="L424" i="7950"/>
  <c r="I421" i="7950"/>
  <c r="I397" i="7950"/>
  <c r="E201" i="7950"/>
  <c r="F201" i="7950" s="1"/>
  <c r="G201" i="7950" s="1"/>
  <c r="H201" i="7950" s="1"/>
  <c r="I201" i="7950" s="1"/>
  <c r="J201" i="7950" s="1"/>
  <c r="K201" i="7950" s="1"/>
  <c r="L201" i="7950" s="1"/>
  <c r="E177" i="7950"/>
  <c r="J206" i="7950"/>
  <c r="J182" i="7950"/>
  <c r="L46" i="7950"/>
  <c r="M46" i="7950" s="1"/>
  <c r="N46" i="7950" s="1"/>
  <c r="O46" i="7950" s="1"/>
  <c r="P46" i="7950" s="1"/>
  <c r="Q46" i="7950" s="1"/>
  <c r="R46" i="7950" s="1"/>
  <c r="S46" i="7950" s="1"/>
  <c r="T46" i="7950" s="1"/>
  <c r="U46" i="7950" s="1"/>
  <c r="V46" i="7950" s="1"/>
  <c r="W46" i="7950" s="1"/>
  <c r="L22" i="7950"/>
  <c r="G41" i="7950"/>
  <c r="G17" i="7950"/>
  <c r="I618" i="7949"/>
  <c r="I642" i="7949"/>
  <c r="M646" i="7949"/>
  <c r="N646" i="7949" s="1"/>
  <c r="O646" i="7949" s="1"/>
  <c r="P646" i="7949" s="1"/>
  <c r="Q646" i="7949" s="1"/>
  <c r="R646" i="7949" s="1"/>
  <c r="S646" i="7949" s="1"/>
  <c r="T646" i="7949" s="1"/>
  <c r="U646" i="7949" s="1"/>
  <c r="V646" i="7949" s="1"/>
  <c r="W646" i="7949" s="1"/>
  <c r="M622" i="7949"/>
  <c r="N431" i="7949"/>
  <c r="O431" i="7949" s="1"/>
  <c r="P431" i="7949" s="1"/>
  <c r="Q431" i="7949" s="1"/>
  <c r="R431" i="7949" s="1"/>
  <c r="S431" i="7949" s="1"/>
  <c r="T431" i="7949" s="1"/>
  <c r="U431" i="7949" s="1"/>
  <c r="V431" i="7949" s="1"/>
  <c r="W431" i="7949" s="1"/>
  <c r="N407" i="7949"/>
  <c r="K428" i="7949"/>
  <c r="L428" i="7949" s="1"/>
  <c r="M428" i="7949" s="1"/>
  <c r="N428" i="7949" s="1"/>
  <c r="O428" i="7949" s="1"/>
  <c r="P428" i="7949" s="1"/>
  <c r="Q428" i="7949" s="1"/>
  <c r="R428" i="7949" s="1"/>
  <c r="S428" i="7949" s="1"/>
  <c r="T428" i="7949" s="1"/>
  <c r="U428" i="7949" s="1"/>
  <c r="V428" i="7949" s="1"/>
  <c r="W428" i="7949" s="1"/>
  <c r="K404" i="7949"/>
  <c r="M430" i="7949"/>
  <c r="N430" i="7949" s="1"/>
  <c r="O430" i="7949" s="1"/>
  <c r="P430" i="7949" s="1"/>
  <c r="Q430" i="7949" s="1"/>
  <c r="R430" i="7949" s="1"/>
  <c r="S430" i="7949" s="1"/>
  <c r="T430" i="7949" s="1"/>
  <c r="U430" i="7949" s="1"/>
  <c r="V430" i="7949" s="1"/>
  <c r="W430" i="7949" s="1"/>
  <c r="M406"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L753" i="7949"/>
  <c r="M753" i="7949" s="1"/>
  <c r="N753" i="7949" s="1"/>
  <c r="O753" i="7949" s="1"/>
  <c r="P753" i="7949" s="1"/>
  <c r="Q753" i="7949" s="1"/>
  <c r="R753" i="7949" s="1"/>
  <c r="S753" i="7949" s="1"/>
  <c r="T753" i="7949" s="1"/>
  <c r="U753" i="7949" s="1"/>
  <c r="V753" i="7949" s="1"/>
  <c r="W753" i="7949" s="1"/>
  <c r="L729" i="7949"/>
  <c r="M347" i="7950"/>
  <c r="M371" i="7950"/>
  <c r="F340" i="7950"/>
  <c r="F364" i="7950"/>
  <c r="I151" i="7950"/>
  <c r="I127" i="7950"/>
  <c r="L154" i="7950"/>
  <c r="L130" i="7950"/>
  <c r="H371" i="7949"/>
  <c r="H347" i="7949"/>
  <c r="M376" i="7949"/>
  <c r="N376" i="7949" s="1"/>
  <c r="O376" i="7949" s="1"/>
  <c r="P376" i="7949" s="1"/>
  <c r="Q376" i="7949" s="1"/>
  <c r="R376" i="7949" s="1"/>
  <c r="S376" i="7949" s="1"/>
  <c r="T376" i="7949" s="1"/>
  <c r="U376" i="7949" s="1"/>
  <c r="V376" i="7949" s="1"/>
  <c r="W376" i="7949" s="1"/>
  <c r="M352" i="7949"/>
  <c r="J373" i="7949"/>
  <c r="K373" i="7949" s="1"/>
  <c r="L373" i="7949" s="1"/>
  <c r="M373" i="7949" s="1"/>
  <c r="N373" i="7949" s="1"/>
  <c r="O373" i="7949" s="1"/>
  <c r="P373" i="7949" s="1"/>
  <c r="Q373" i="7949" s="1"/>
  <c r="R373" i="7949" s="1"/>
  <c r="S373" i="7949" s="1"/>
  <c r="T373" i="7949" s="1"/>
  <c r="U373" i="7949" s="1"/>
  <c r="V373" i="7949" s="1"/>
  <c r="W373" i="7949" s="1"/>
  <c r="J349" i="7949"/>
  <c r="I156" i="7949"/>
  <c r="I132"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M160" i="7949"/>
  <c r="N160" i="7949" s="1"/>
  <c r="O160" i="7949" s="1"/>
  <c r="P160" i="7949" s="1"/>
  <c r="Q160" i="7949" s="1"/>
  <c r="R160" i="7949" s="1"/>
  <c r="S160" i="7949" s="1"/>
  <c r="T160" i="7949" s="1"/>
  <c r="U160" i="7949" s="1"/>
  <c r="V160" i="7949" s="1"/>
  <c r="W160" i="7949" s="1"/>
  <c r="M136" i="7949"/>
  <c r="F502" i="7950"/>
  <c r="F526" i="7950"/>
  <c r="L532" i="7950"/>
  <c r="L508" i="7950"/>
  <c r="G311" i="7950"/>
  <c r="G287" i="7950"/>
  <c r="K99" i="7950"/>
  <c r="K75" i="7950"/>
  <c r="G71" i="7950"/>
  <c r="G95" i="7950"/>
  <c r="F70"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L537" i="7949"/>
  <c r="M537" i="7949" s="1"/>
  <c r="N537" i="7949" s="1"/>
  <c r="O537" i="7949" s="1"/>
  <c r="P537" i="7949" s="1"/>
  <c r="Q537" i="7949" s="1"/>
  <c r="R537" i="7949" s="1"/>
  <c r="S537" i="7949" s="1"/>
  <c r="T537" i="7949" s="1"/>
  <c r="U537" i="7949" s="1"/>
  <c r="V537" i="7949" s="1"/>
  <c r="W537" i="7949" s="1"/>
  <c r="L513" i="7949"/>
  <c r="J319" i="7949"/>
  <c r="K319" i="7949" s="1"/>
  <c r="L319" i="7949" s="1"/>
  <c r="M319" i="7949" s="1"/>
  <c r="N319" i="7949" s="1"/>
  <c r="O319" i="7949" s="1"/>
  <c r="P319" i="7949" s="1"/>
  <c r="Q319" i="7949" s="1"/>
  <c r="R319" i="7949" s="1"/>
  <c r="S319" i="7949" s="1"/>
  <c r="T319" i="7949" s="1"/>
  <c r="U319" i="7949" s="1"/>
  <c r="V319" i="7949" s="1"/>
  <c r="W319" i="7949" s="1"/>
  <c r="J295" i="7949"/>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E74" i="7949"/>
  <c r="E98" i="7949"/>
  <c r="J103" i="7949"/>
  <c r="K103" i="7949" s="1"/>
  <c r="L103" i="7949" s="1"/>
  <c r="M103" i="7949" s="1"/>
  <c r="N103" i="7949" s="1"/>
  <c r="O103" i="7949" s="1"/>
  <c r="P103" i="7949" s="1"/>
  <c r="Q103" i="7949" s="1"/>
  <c r="R103" i="7949" s="1"/>
  <c r="S103" i="7949" s="1"/>
  <c r="T103" i="7949" s="1"/>
  <c r="U103" i="7949" s="1"/>
  <c r="V103" i="7949" s="1"/>
  <c r="W103" i="7949" s="1"/>
  <c r="J79" i="7949"/>
  <c r="L105" i="7949"/>
  <c r="M105" i="7949" s="1"/>
  <c r="N105" i="7949" s="1"/>
  <c r="O105" i="7949" s="1"/>
  <c r="P105" i="7949" s="1"/>
  <c r="Q105" i="7949" s="1"/>
  <c r="R105" i="7949" s="1"/>
  <c r="S105" i="7949" s="1"/>
  <c r="T105" i="7949" s="1"/>
  <c r="U105" i="7949" s="1"/>
  <c r="V105" i="7949" s="1"/>
  <c r="W105" i="7949" s="1"/>
  <c r="L81" i="7949"/>
  <c r="I210" i="7949"/>
  <c r="I186" i="7949"/>
  <c r="H209" i="7949"/>
  <c r="H185" i="7949"/>
  <c r="G719" i="7950"/>
  <c r="G743" i="7950"/>
  <c r="K747" i="7950"/>
  <c r="K723" i="7950"/>
  <c r="I745" i="7950"/>
  <c r="I721" i="7950"/>
  <c r="J668" i="7950"/>
  <c r="J692" i="7950"/>
  <c r="F448" i="7950"/>
  <c r="F472" i="7950"/>
  <c r="J452" i="7950"/>
  <c r="J476" i="7950"/>
  <c r="I259" i="7950"/>
  <c r="I235" i="7950"/>
  <c r="H258" i="7950"/>
  <c r="H234"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I672" i="7949"/>
  <c r="I480" i="7949"/>
  <c r="I456"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M484" i="7949"/>
  <c r="N484" i="7949" s="1"/>
  <c r="O484" i="7949" s="1"/>
  <c r="P484" i="7949" s="1"/>
  <c r="Q484" i="7949" s="1"/>
  <c r="R484" i="7949" s="1"/>
  <c r="S484" i="7949" s="1"/>
  <c r="T484" i="7949" s="1"/>
  <c r="U484" i="7949" s="1"/>
  <c r="V484" i="7949" s="1"/>
  <c r="W484" i="7949" s="1"/>
  <c r="M460" i="7949"/>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L243" i="7949"/>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N53" i="7949"/>
  <c r="O53" i="7949" s="1"/>
  <c r="P53" i="7949" s="1"/>
  <c r="Q53" i="7949" s="1"/>
  <c r="R53" i="7949" s="1"/>
  <c r="S53" i="7949" s="1"/>
  <c r="T53" i="7949" s="1"/>
  <c r="U53" i="7949" s="1"/>
  <c r="V53" i="7949" s="1"/>
  <c r="W53" i="7949" s="1"/>
  <c r="N29" i="7949"/>
  <c r="H23" i="7949"/>
  <c r="H47" i="7949"/>
  <c r="G611" i="7950"/>
  <c r="G635" i="7950"/>
  <c r="I613" i="7950"/>
  <c r="I637" i="7950"/>
  <c r="G419" i="7950"/>
  <c r="G395" i="7950"/>
  <c r="N402" i="7950"/>
  <c r="N426" i="7950"/>
  <c r="M401" i="7950"/>
  <c r="M425" i="7950"/>
  <c r="J422" i="7950"/>
  <c r="J398" i="7950"/>
  <c r="G203" i="7950"/>
  <c r="G179" i="7950"/>
  <c r="M185" i="7950"/>
  <c r="M209" i="7950"/>
  <c r="J20"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K644" i="7949"/>
  <c r="L644" i="7949" s="1"/>
  <c r="M644" i="7949" s="1"/>
  <c r="N644" i="7949" s="1"/>
  <c r="O644" i="7949" s="1"/>
  <c r="P644" i="7949" s="1"/>
  <c r="Q644" i="7949" s="1"/>
  <c r="R644" i="7949" s="1"/>
  <c r="S644" i="7949" s="1"/>
  <c r="T644" i="7949" s="1"/>
  <c r="U644" i="7949" s="1"/>
  <c r="V644" i="7949" s="1"/>
  <c r="W644" i="7949" s="1"/>
  <c r="K620" i="7949"/>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01" i="7949"/>
  <c r="H425" i="7949"/>
  <c r="I426" i="7949"/>
  <c r="I402" i="7949"/>
  <c r="J751" i="7949"/>
  <c r="K751" i="7949" s="1"/>
  <c r="L751" i="7949" s="1"/>
  <c r="M751" i="7949" s="1"/>
  <c r="N751" i="7949" s="1"/>
  <c r="O751" i="7949" s="1"/>
  <c r="P751" i="7949" s="1"/>
  <c r="Q751" i="7949" s="1"/>
  <c r="R751" i="7949" s="1"/>
  <c r="S751" i="7949" s="1"/>
  <c r="T751" i="7949" s="1"/>
  <c r="U751" i="7949" s="1"/>
  <c r="V751" i="7949" s="1"/>
  <c r="W751" i="7949" s="1"/>
  <c r="J727" i="7949"/>
  <c r="I750" i="7949"/>
  <c r="I726" i="7949"/>
  <c r="K752" i="7949"/>
  <c r="L752" i="7949" s="1"/>
  <c r="M752" i="7949" s="1"/>
  <c r="N752" i="7949" s="1"/>
  <c r="O752" i="7949" s="1"/>
  <c r="P752" i="7949" s="1"/>
  <c r="Q752" i="7949" s="1"/>
  <c r="R752" i="7949" s="1"/>
  <c r="S752" i="7949" s="1"/>
  <c r="T752" i="7949" s="1"/>
  <c r="U752" i="7949" s="1"/>
  <c r="V752" i="7949" s="1"/>
  <c r="W752" i="7949" s="1"/>
  <c r="K728" i="7949"/>
  <c r="J344" i="7950"/>
  <c r="J368" i="7950"/>
  <c r="G341" i="7950"/>
  <c r="G365" i="7950"/>
  <c r="K369" i="7950"/>
  <c r="K345" i="7950"/>
  <c r="J128" i="7950"/>
  <c r="J152" i="7950"/>
  <c r="G125" i="7950"/>
  <c r="G149" i="7950"/>
  <c r="H150" i="7950"/>
  <c r="H126"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K374" i="7949"/>
  <c r="L374" i="7949" s="1"/>
  <c r="M374" i="7949" s="1"/>
  <c r="N374" i="7949" s="1"/>
  <c r="O374" i="7949" s="1"/>
  <c r="P374" i="7949" s="1"/>
  <c r="Q374" i="7949" s="1"/>
  <c r="R374" i="7949" s="1"/>
  <c r="S374" i="7949" s="1"/>
  <c r="T374" i="7949" s="1"/>
  <c r="U374" i="7949" s="1"/>
  <c r="V374" i="7949" s="1"/>
  <c r="W374" i="7949" s="1"/>
  <c r="K350" i="7949"/>
  <c r="H131" i="7949"/>
  <c r="H155" i="7949"/>
  <c r="K158" i="7949"/>
  <c r="L158" i="7949" s="1"/>
  <c r="M158" i="7949" s="1"/>
  <c r="N158" i="7949" s="1"/>
  <c r="O158" i="7949" s="1"/>
  <c r="P158" i="7949" s="1"/>
  <c r="Q158" i="7949" s="1"/>
  <c r="R158" i="7949" s="1"/>
  <c r="S158" i="7949" s="1"/>
  <c r="T158" i="7949" s="1"/>
  <c r="U158" i="7949" s="1"/>
  <c r="V158" i="7949" s="1"/>
  <c r="W158" i="7949" s="1"/>
  <c r="K134" i="7949"/>
  <c r="N534" i="7950"/>
  <c r="E525" i="7950"/>
  <c r="F525" i="7950" s="1"/>
  <c r="G525" i="7950" s="1"/>
  <c r="H525" i="7950" s="1"/>
  <c r="I525" i="7950" s="1"/>
  <c r="J525" i="7950" s="1"/>
  <c r="K525" i="7950" s="1"/>
  <c r="L525" i="7950" s="1"/>
  <c r="E501" i="7950"/>
  <c r="H528" i="7950"/>
  <c r="H504" i="7950"/>
  <c r="I313" i="7950"/>
  <c r="I289" i="7950"/>
  <c r="N318" i="7950"/>
  <c r="N294" i="7950"/>
  <c r="E93" i="7950"/>
  <c r="F93" i="7950" s="1"/>
  <c r="G93" i="7950" s="1"/>
  <c r="H93" i="7950" s="1"/>
  <c r="I93" i="7950" s="1"/>
  <c r="J93" i="7950" s="1"/>
  <c r="K93" i="7950" s="1"/>
  <c r="L93" i="7950" s="1"/>
  <c r="E69" i="7950"/>
  <c r="N102" i="7950"/>
  <c r="N78" i="7950"/>
  <c r="M538" i="7949"/>
  <c r="N538" i="7949" s="1"/>
  <c r="O538" i="7949" s="1"/>
  <c r="P538" i="7949" s="1"/>
  <c r="Q538" i="7949" s="1"/>
  <c r="R538" i="7949" s="1"/>
  <c r="S538" i="7949" s="1"/>
  <c r="T538" i="7949" s="1"/>
  <c r="U538" i="7949" s="1"/>
  <c r="V538" i="7949" s="1"/>
  <c r="W538" i="7949" s="1"/>
  <c r="M514" i="7949"/>
  <c r="I534" i="7949"/>
  <c r="I510"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K320" i="7949"/>
  <c r="L320" i="7949" s="1"/>
  <c r="M320" i="7949" s="1"/>
  <c r="N320" i="7949" s="1"/>
  <c r="O320" i="7949" s="1"/>
  <c r="P320" i="7949" s="1"/>
  <c r="Q320" i="7949" s="1"/>
  <c r="R320" i="7949" s="1"/>
  <c r="S320" i="7949" s="1"/>
  <c r="T320" i="7949" s="1"/>
  <c r="U320" i="7949" s="1"/>
  <c r="V320" i="7949" s="1"/>
  <c r="W320" i="7949" s="1"/>
  <c r="K296" i="7949"/>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H101" i="7949"/>
  <c r="H77" i="7949"/>
  <c r="I102" i="7949"/>
  <c r="I78" i="7949"/>
  <c r="J211" i="7949"/>
  <c r="K211" i="7949" s="1"/>
  <c r="L211" i="7949" s="1"/>
  <c r="M211" i="7949" s="1"/>
  <c r="N211" i="7949" s="1"/>
  <c r="O211" i="7949" s="1"/>
  <c r="P211" i="7949" s="1"/>
  <c r="Q211" i="7949" s="1"/>
  <c r="R211" i="7949" s="1"/>
  <c r="S211" i="7949" s="1"/>
  <c r="T211" i="7949" s="1"/>
  <c r="U211" i="7949" s="1"/>
  <c r="V211" i="7949" s="1"/>
  <c r="W211" i="7949" s="1"/>
  <c r="J187" i="7949"/>
  <c r="M214" i="7949"/>
  <c r="N214" i="7949" s="1"/>
  <c r="O214" i="7949" s="1"/>
  <c r="P214" i="7949" s="1"/>
  <c r="Q214" i="7949" s="1"/>
  <c r="R214" i="7949" s="1"/>
  <c r="S214" i="7949" s="1"/>
  <c r="T214" i="7949" s="1"/>
  <c r="U214" i="7949" s="1"/>
  <c r="V214" i="7949" s="1"/>
  <c r="W214" i="7949" s="1"/>
  <c r="M190" i="7949"/>
  <c r="N215" i="7949"/>
  <c r="O215" i="7949" s="1"/>
  <c r="P215" i="7949" s="1"/>
  <c r="Q215" i="7949" s="1"/>
  <c r="R215" i="7949" s="1"/>
  <c r="S215" i="7949" s="1"/>
  <c r="T215" i="7949" s="1"/>
  <c r="U215" i="7949" s="1"/>
  <c r="V215" i="7949" s="1"/>
  <c r="W215" i="7949" s="1"/>
  <c r="N191" i="7949"/>
  <c r="L724" i="7950"/>
  <c r="L748" i="7950"/>
  <c r="E741" i="7950"/>
  <c r="F741" i="7950" s="1"/>
  <c r="G741" i="7950" s="1"/>
  <c r="H741" i="7950" s="1"/>
  <c r="I741" i="7950" s="1"/>
  <c r="J741" i="7950" s="1"/>
  <c r="K741" i="7950" s="1"/>
  <c r="L741" i="7950" s="1"/>
  <c r="E717" i="7950"/>
  <c r="J722" i="7950"/>
  <c r="J746" i="7950"/>
  <c r="H744" i="7950"/>
  <c r="H720" i="7950"/>
  <c r="G689" i="7950"/>
  <c r="G665" i="7950"/>
  <c r="L670" i="7950"/>
  <c r="L694" i="7950"/>
  <c r="M695" i="7950"/>
  <c r="M671" i="7950"/>
  <c r="N480" i="7950"/>
  <c r="N456" i="7950"/>
  <c r="M455" i="7950"/>
  <c r="M479" i="7950"/>
  <c r="H474" i="7950"/>
  <c r="H450" i="7950"/>
  <c r="G257" i="7950"/>
  <c r="G233" i="7950"/>
  <c r="K261" i="7950"/>
  <c r="K237" i="7950"/>
  <c r="M239" i="7950"/>
  <c r="M263" i="7950"/>
  <c r="M700" i="7949"/>
  <c r="N700" i="7949" s="1"/>
  <c r="O700" i="7949" s="1"/>
  <c r="P700" i="7949" s="1"/>
  <c r="Q700" i="7949" s="1"/>
  <c r="R700" i="7949" s="1"/>
  <c r="S700" i="7949" s="1"/>
  <c r="T700" i="7949" s="1"/>
  <c r="U700" i="7949" s="1"/>
  <c r="V700" i="7949" s="1"/>
  <c r="W700" i="7949" s="1"/>
  <c r="M676" i="7949"/>
  <c r="L699" i="7949"/>
  <c r="M699" i="7949" s="1"/>
  <c r="N699" i="7949" s="1"/>
  <c r="O699" i="7949" s="1"/>
  <c r="P699" i="7949" s="1"/>
  <c r="Q699" i="7949" s="1"/>
  <c r="R699" i="7949" s="1"/>
  <c r="S699" i="7949" s="1"/>
  <c r="T699" i="7949" s="1"/>
  <c r="U699" i="7949" s="1"/>
  <c r="V699" i="7949" s="1"/>
  <c r="W699" i="7949" s="1"/>
  <c r="L675" i="7949"/>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H455" i="7949"/>
  <c r="H479" i="7949"/>
  <c r="J481" i="7949"/>
  <c r="K481" i="7949" s="1"/>
  <c r="L481" i="7949" s="1"/>
  <c r="M481" i="7949" s="1"/>
  <c r="N481" i="7949" s="1"/>
  <c r="O481" i="7949" s="1"/>
  <c r="P481" i="7949" s="1"/>
  <c r="Q481" i="7949" s="1"/>
  <c r="R481" i="7949" s="1"/>
  <c r="S481" i="7949" s="1"/>
  <c r="T481" i="7949" s="1"/>
  <c r="U481" i="7949" s="1"/>
  <c r="V481" i="7949" s="1"/>
  <c r="W481" i="7949" s="1"/>
  <c r="J457" i="7949"/>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M268" i="7949"/>
  <c r="N268" i="7949" s="1"/>
  <c r="O268" i="7949" s="1"/>
  <c r="P268" i="7949" s="1"/>
  <c r="Q268" i="7949" s="1"/>
  <c r="R268" i="7949" s="1"/>
  <c r="S268" i="7949" s="1"/>
  <c r="T268" i="7949" s="1"/>
  <c r="U268" i="7949" s="1"/>
  <c r="V268" i="7949" s="1"/>
  <c r="W268" i="7949" s="1"/>
  <c r="M244" i="7949"/>
  <c r="H263" i="7949"/>
  <c r="H239"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M52" i="7949"/>
  <c r="N52" i="7949" s="1"/>
  <c r="O52" i="7949" s="1"/>
  <c r="P52" i="7949" s="1"/>
  <c r="Q52" i="7949" s="1"/>
  <c r="R52" i="7949" s="1"/>
  <c r="S52" i="7949" s="1"/>
  <c r="T52" i="7949" s="1"/>
  <c r="U52" i="7949" s="1"/>
  <c r="V52" i="7949" s="1"/>
  <c r="W52" i="7949" s="1"/>
  <c r="M28" i="7949"/>
  <c r="I24" i="7949"/>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610" i="7950"/>
  <c r="F634" i="7950"/>
  <c r="N642" i="7950"/>
  <c r="N618" i="7950"/>
  <c r="F418" i="7950"/>
  <c r="F394" i="7950"/>
  <c r="K423" i="7950"/>
  <c r="K399" i="7950"/>
  <c r="E417" i="7950"/>
  <c r="F417" i="7950" s="1"/>
  <c r="G417" i="7950" s="1"/>
  <c r="H417" i="7950" s="1"/>
  <c r="I417" i="7950" s="1"/>
  <c r="J417" i="7950" s="1"/>
  <c r="K417" i="7950" s="1"/>
  <c r="L417" i="7950" s="1"/>
  <c r="E393" i="7950"/>
  <c r="H204" i="7950"/>
  <c r="H180" i="7950"/>
  <c r="N210" i="7950"/>
  <c r="N186" i="7950"/>
  <c r="L208" i="7950"/>
  <c r="L184" i="7950"/>
  <c r="F16" i="7950"/>
  <c r="F40" i="7950"/>
  <c r="K21" i="7950"/>
  <c r="K45" i="7950"/>
  <c r="H42" i="7950"/>
  <c r="H18" i="7950"/>
  <c r="J643" i="7949"/>
  <c r="K643" i="7949" s="1"/>
  <c r="L643" i="7949" s="1"/>
  <c r="M643" i="7949" s="1"/>
  <c r="N643" i="7949" s="1"/>
  <c r="O643" i="7949" s="1"/>
  <c r="P643" i="7949" s="1"/>
  <c r="Q643" i="7949" s="1"/>
  <c r="R643" i="7949" s="1"/>
  <c r="S643" i="7949" s="1"/>
  <c r="T643" i="7949" s="1"/>
  <c r="U643" i="7949" s="1"/>
  <c r="V643" i="7949" s="1"/>
  <c r="W643" i="7949" s="1"/>
  <c r="J619" i="7949"/>
  <c r="H617" i="7949"/>
  <c r="H641" i="7949"/>
  <c r="N647" i="7949"/>
  <c r="O647" i="7949" s="1"/>
  <c r="P647" i="7949" s="1"/>
  <c r="Q647" i="7949" s="1"/>
  <c r="R647" i="7949" s="1"/>
  <c r="S647" i="7949" s="1"/>
  <c r="T647" i="7949" s="1"/>
  <c r="U647" i="7949" s="1"/>
  <c r="V647" i="7949" s="1"/>
  <c r="W647" i="7949" s="1"/>
  <c r="N623" i="7949"/>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L429" i="7949"/>
  <c r="M429" i="7949" s="1"/>
  <c r="N429" i="7949" s="1"/>
  <c r="O429" i="7949" s="1"/>
  <c r="P429" i="7949" s="1"/>
  <c r="Q429" i="7949" s="1"/>
  <c r="R429" i="7949" s="1"/>
  <c r="S429" i="7949" s="1"/>
  <c r="T429" i="7949" s="1"/>
  <c r="U429" i="7949" s="1"/>
  <c r="V429" i="7949" s="1"/>
  <c r="W429" i="7949" s="1"/>
  <c r="L405" i="7949"/>
  <c r="J427" i="7949"/>
  <c r="K427" i="7949" s="1"/>
  <c r="L427" i="7949" s="1"/>
  <c r="M427" i="7949" s="1"/>
  <c r="N427" i="7949" s="1"/>
  <c r="O427" i="7949" s="1"/>
  <c r="P427" i="7949" s="1"/>
  <c r="Q427" i="7949" s="1"/>
  <c r="R427" i="7949" s="1"/>
  <c r="S427" i="7949" s="1"/>
  <c r="T427" i="7949" s="1"/>
  <c r="U427" i="7949" s="1"/>
  <c r="V427" i="7949" s="1"/>
  <c r="W427" i="7949" s="1"/>
  <c r="J40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M754" i="7949"/>
  <c r="N754" i="7949" s="1"/>
  <c r="O754" i="7949" s="1"/>
  <c r="P754" i="7949" s="1"/>
  <c r="Q754" i="7949" s="1"/>
  <c r="R754" i="7949" s="1"/>
  <c r="S754" i="7949" s="1"/>
  <c r="T754" i="7949" s="1"/>
  <c r="U754" i="7949" s="1"/>
  <c r="V754" i="7949" s="1"/>
  <c r="W754" i="7949" s="1"/>
  <c r="M730" i="7949"/>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L370" i="7950"/>
  <c r="L346" i="7950"/>
  <c r="N348" i="7950"/>
  <c r="N372" i="7950"/>
  <c r="I367" i="7950"/>
  <c r="I343" i="7950"/>
  <c r="K153" i="7950"/>
  <c r="K129" i="7950"/>
  <c r="F148" i="7950"/>
  <c r="F124"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I372" i="7949"/>
  <c r="I348" i="7949"/>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J157" i="7949"/>
  <c r="K157" i="7949" s="1"/>
  <c r="L157" i="7949" s="1"/>
  <c r="M157" i="7949" s="1"/>
  <c r="N157" i="7949" s="1"/>
  <c r="O157" i="7949" s="1"/>
  <c r="P157" i="7949" s="1"/>
  <c r="Q157" i="7949" s="1"/>
  <c r="R157" i="7949" s="1"/>
  <c r="S157" i="7949" s="1"/>
  <c r="T157" i="7949" s="1"/>
  <c r="U157" i="7949" s="1"/>
  <c r="V157" i="7949" s="1"/>
  <c r="W157" i="7949" s="1"/>
  <c r="J133" i="7949"/>
  <c r="G503" i="7950"/>
  <c r="G527" i="7950"/>
  <c r="J530" i="7950"/>
  <c r="J506" i="7950"/>
  <c r="M533" i="7950"/>
  <c r="M509" i="7950"/>
  <c r="J290" i="7950"/>
  <c r="J314" i="7950"/>
  <c r="E309" i="7950"/>
  <c r="F309" i="7950" s="1"/>
  <c r="G309" i="7950" s="1"/>
  <c r="H309" i="7950" s="1"/>
  <c r="I309" i="7950" s="1"/>
  <c r="J309" i="7950" s="1"/>
  <c r="K309" i="7950" s="1"/>
  <c r="L309" i="7950" s="1"/>
  <c r="E285" i="7950"/>
  <c r="K315" i="7950"/>
  <c r="K291" i="7950"/>
  <c r="M293" i="7950"/>
  <c r="M317" i="7950"/>
  <c r="M101" i="7950"/>
  <c r="M77" i="7950"/>
  <c r="I97" i="7950"/>
  <c r="I73" i="7950"/>
  <c r="J535" i="7949"/>
  <c r="K535" i="7949" s="1"/>
  <c r="L535" i="7949" s="1"/>
  <c r="M535" i="7949" s="1"/>
  <c r="N535" i="7949" s="1"/>
  <c r="O535" i="7949" s="1"/>
  <c r="P535" i="7949" s="1"/>
  <c r="Q535" i="7949" s="1"/>
  <c r="R535" i="7949" s="1"/>
  <c r="S535" i="7949" s="1"/>
  <c r="T535" i="7949" s="1"/>
  <c r="U535" i="7949" s="1"/>
  <c r="V535" i="7949" s="1"/>
  <c r="W535" i="7949" s="1"/>
  <c r="J511" i="7949"/>
  <c r="K536" i="7949"/>
  <c r="L536" i="7949" s="1"/>
  <c r="M536" i="7949" s="1"/>
  <c r="N536" i="7949" s="1"/>
  <c r="O536" i="7949" s="1"/>
  <c r="P536" i="7949" s="1"/>
  <c r="Q536" i="7949" s="1"/>
  <c r="R536" i="7949" s="1"/>
  <c r="S536" i="7949" s="1"/>
  <c r="T536" i="7949" s="1"/>
  <c r="U536" i="7949" s="1"/>
  <c r="V536" i="7949" s="1"/>
  <c r="W536" i="7949" s="1"/>
  <c r="K512" i="7949"/>
  <c r="M322" i="7949"/>
  <c r="N322" i="7949" s="1"/>
  <c r="O322" i="7949" s="1"/>
  <c r="P322" i="7949" s="1"/>
  <c r="Q322" i="7949" s="1"/>
  <c r="R322" i="7949" s="1"/>
  <c r="S322" i="7949" s="1"/>
  <c r="T322" i="7949" s="1"/>
  <c r="U322" i="7949" s="1"/>
  <c r="V322" i="7949" s="1"/>
  <c r="W322" i="7949" s="1"/>
  <c r="M298" i="7949"/>
  <c r="L321" i="7949"/>
  <c r="M321" i="7949" s="1"/>
  <c r="N321" i="7949" s="1"/>
  <c r="O321" i="7949" s="1"/>
  <c r="P321" i="7949" s="1"/>
  <c r="Q321" i="7949" s="1"/>
  <c r="R321" i="7949" s="1"/>
  <c r="S321" i="7949" s="1"/>
  <c r="T321" i="7949" s="1"/>
  <c r="U321" i="7949" s="1"/>
  <c r="V321" i="7949" s="1"/>
  <c r="W321" i="7949" s="1"/>
  <c r="L297" i="7949"/>
  <c r="N107" i="7949"/>
  <c r="O107" i="7949" s="1"/>
  <c r="P107" i="7949" s="1"/>
  <c r="Q107" i="7949" s="1"/>
  <c r="R107" i="7949" s="1"/>
  <c r="S107" i="7949" s="1"/>
  <c r="T107" i="7949" s="1"/>
  <c r="U107" i="7949" s="1"/>
  <c r="V107" i="7949" s="1"/>
  <c r="W107" i="7949" s="1"/>
  <c r="N83"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K212" i="7949"/>
  <c r="L212" i="7949" s="1"/>
  <c r="M212" i="7949" s="1"/>
  <c r="N212" i="7949" s="1"/>
  <c r="O212" i="7949" s="1"/>
  <c r="P212" i="7949" s="1"/>
  <c r="Q212" i="7949" s="1"/>
  <c r="R212" i="7949" s="1"/>
  <c r="S212" i="7949" s="1"/>
  <c r="T212" i="7949" s="1"/>
  <c r="U212" i="7949" s="1"/>
  <c r="V212" i="7949" s="1"/>
  <c r="W212" i="7949" s="1"/>
  <c r="K188" i="7949"/>
  <c r="F718" i="7950"/>
  <c r="F742" i="7950"/>
  <c r="N750" i="7950"/>
  <c r="N726" i="7950"/>
  <c r="N696" i="7950"/>
  <c r="N672" i="7950"/>
  <c r="H690" i="7950"/>
  <c r="H666" i="7950"/>
  <c r="F688" i="7950"/>
  <c r="F664" i="7950"/>
  <c r="I475" i="7950"/>
  <c r="I451" i="7950"/>
  <c r="K477" i="7950"/>
  <c r="K453" i="7950"/>
  <c r="E471" i="7950"/>
  <c r="F471" i="7950" s="1"/>
  <c r="G471" i="7950" s="1"/>
  <c r="H471" i="7950" s="1"/>
  <c r="I471" i="7950" s="1"/>
  <c r="J471" i="7950" s="1"/>
  <c r="K471" i="7950" s="1"/>
  <c r="L471" i="7950" s="1"/>
  <c r="E447" i="7950"/>
  <c r="E255" i="7950"/>
  <c r="F255" i="7950" s="1"/>
  <c r="G255" i="7950" s="1"/>
  <c r="H255" i="7950" s="1"/>
  <c r="I255" i="7950" s="1"/>
  <c r="J255" i="7950" s="1"/>
  <c r="K255" i="7950" s="1"/>
  <c r="L255" i="7950" s="1"/>
  <c r="E231" i="7950"/>
  <c r="J260" i="7950"/>
  <c r="J236" i="7950"/>
  <c r="H695" i="7949"/>
  <c r="H671" i="7949"/>
  <c r="K698" i="7949"/>
  <c r="L698" i="7949" s="1"/>
  <c r="M698" i="7949" s="1"/>
  <c r="N698" i="7949" s="1"/>
  <c r="O698" i="7949" s="1"/>
  <c r="P698" i="7949" s="1"/>
  <c r="Q698" i="7949" s="1"/>
  <c r="R698" i="7949" s="1"/>
  <c r="S698" i="7949" s="1"/>
  <c r="T698" i="7949" s="1"/>
  <c r="U698" i="7949" s="1"/>
  <c r="V698" i="7949" s="1"/>
  <c r="W698" i="7949" s="1"/>
  <c r="K674" i="7949"/>
  <c r="L483" i="7949"/>
  <c r="M483" i="7949" s="1"/>
  <c r="N483" i="7949" s="1"/>
  <c r="O483" i="7949" s="1"/>
  <c r="P483" i="7949" s="1"/>
  <c r="Q483" i="7949" s="1"/>
  <c r="R483" i="7949" s="1"/>
  <c r="S483" i="7949" s="1"/>
  <c r="T483" i="7949" s="1"/>
  <c r="U483" i="7949" s="1"/>
  <c r="V483" i="7949" s="1"/>
  <c r="W483" i="7949" s="1"/>
  <c r="L459"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I240"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K50" i="7949"/>
  <c r="L50" i="7949" s="1"/>
  <c r="M50" i="7949" s="1"/>
  <c r="N50" i="7949" s="1"/>
  <c r="O50" i="7949" s="1"/>
  <c r="P50" i="7949" s="1"/>
  <c r="Q50" i="7949" s="1"/>
  <c r="R50" i="7949" s="1"/>
  <c r="S50" i="7949" s="1"/>
  <c r="T50" i="7949" s="1"/>
  <c r="U50" i="7949" s="1"/>
  <c r="V50" i="7949" s="1"/>
  <c r="W50" i="7949" s="1"/>
  <c r="K26" i="7949"/>
  <c r="J49" i="7949"/>
  <c r="K49" i="7949" s="1"/>
  <c r="L49" i="7949" s="1"/>
  <c r="M49" i="7949" s="1"/>
  <c r="N49" i="7949" s="1"/>
  <c r="O49" i="7949" s="1"/>
  <c r="P49" i="7949" s="1"/>
  <c r="Q49" i="7949" s="1"/>
  <c r="R49" i="7949" s="1"/>
  <c r="S49" i="7949" s="1"/>
  <c r="T49" i="7949" s="1"/>
  <c r="U49" i="7949" s="1"/>
  <c r="V49" i="7949" s="1"/>
  <c r="W49" i="7949" s="1"/>
  <c r="J25" i="7949"/>
  <c r="L51" i="7949"/>
  <c r="M51" i="7949" s="1"/>
  <c r="N51" i="7949" s="1"/>
  <c r="O51" i="7949" s="1"/>
  <c r="P51" i="7949" s="1"/>
  <c r="Q51" i="7949" s="1"/>
  <c r="R51" i="7949" s="1"/>
  <c r="S51" i="7949" s="1"/>
  <c r="T51" i="7949" s="1"/>
  <c r="U51" i="7949" s="1"/>
  <c r="V51" i="7949" s="1"/>
  <c r="W51" i="7949" s="1"/>
  <c r="L27" i="7949"/>
  <c r="M617" i="7950"/>
  <c r="M641" i="7950"/>
  <c r="H636" i="7950"/>
  <c r="H612" i="7950"/>
  <c r="K639" i="7950"/>
  <c r="K615" i="7950"/>
  <c r="H420" i="7950"/>
  <c r="H396" i="7950"/>
  <c r="I205" i="7950"/>
  <c r="I181" i="7950"/>
  <c r="F202" i="7950"/>
  <c r="F178" i="7950"/>
  <c r="K207" i="7950"/>
  <c r="K183" i="7950"/>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I43" i="7950"/>
  <c r="I19" i="7950"/>
  <c r="L645" i="7949"/>
  <c r="M645" i="7949" s="1"/>
  <c r="N645" i="7949" s="1"/>
  <c r="O645" i="7949" s="1"/>
  <c r="P645" i="7949" s="1"/>
  <c r="Q645" i="7949" s="1"/>
  <c r="R645" i="7949" s="1"/>
  <c r="S645" i="7949" s="1"/>
  <c r="T645" i="7949" s="1"/>
  <c r="U645" i="7949" s="1"/>
  <c r="V645" i="7949" s="1"/>
  <c r="W645" i="7949" s="1"/>
  <c r="L621" i="7949"/>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H725" i="7949"/>
  <c r="H749" i="7949"/>
  <c r="N755" i="7949"/>
  <c r="O755" i="7949" s="1"/>
  <c r="P755" i="7949" s="1"/>
  <c r="Q755" i="7949" s="1"/>
  <c r="R755" i="7949" s="1"/>
  <c r="S755" i="7949" s="1"/>
  <c r="T755" i="7949" s="1"/>
  <c r="U755" i="7949" s="1"/>
  <c r="V755" i="7949" s="1"/>
  <c r="W755" i="7949" s="1"/>
  <c r="N731" i="7949"/>
  <c r="H366" i="7950"/>
  <c r="H342" i="7950"/>
  <c r="E363" i="7950"/>
  <c r="F363" i="7950" s="1"/>
  <c r="G363" i="7950" s="1"/>
  <c r="H363" i="7950" s="1"/>
  <c r="I363" i="7950" s="1"/>
  <c r="J363" i="7950" s="1"/>
  <c r="K363" i="7950" s="1"/>
  <c r="L363" i="7950" s="1"/>
  <c r="E339" i="7950"/>
  <c r="E147" i="7950"/>
  <c r="F147" i="7950" s="1"/>
  <c r="G147" i="7950" s="1"/>
  <c r="H147" i="7950" s="1"/>
  <c r="I147" i="7950" s="1"/>
  <c r="J147" i="7950" s="1"/>
  <c r="K147" i="7950" s="1"/>
  <c r="E123" i="7950"/>
  <c r="M131" i="7950"/>
  <c r="M155" i="7950"/>
  <c r="L375" i="7949"/>
  <c r="M375" i="7949" s="1"/>
  <c r="N375" i="7949" s="1"/>
  <c r="O375" i="7949" s="1"/>
  <c r="P375" i="7949" s="1"/>
  <c r="Q375" i="7949" s="1"/>
  <c r="R375" i="7949" s="1"/>
  <c r="S375" i="7949" s="1"/>
  <c r="T375" i="7949" s="1"/>
  <c r="U375" i="7949" s="1"/>
  <c r="V375" i="7949" s="1"/>
  <c r="W375" i="7949" s="1"/>
  <c r="L351" i="7949"/>
  <c r="N377" i="7949"/>
  <c r="O377" i="7949" s="1"/>
  <c r="P377" i="7949" s="1"/>
  <c r="Q377" i="7949" s="1"/>
  <c r="R377" i="7949" s="1"/>
  <c r="S377" i="7949" s="1"/>
  <c r="T377" i="7949" s="1"/>
  <c r="U377" i="7949" s="1"/>
  <c r="V377" i="7949" s="1"/>
  <c r="W377" i="7949" s="1"/>
  <c r="N353" i="7949"/>
  <c r="L159" i="7949"/>
  <c r="M159" i="7949" s="1"/>
  <c r="N159" i="7949" s="1"/>
  <c r="O159" i="7949" s="1"/>
  <c r="P159" i="7949" s="1"/>
  <c r="Q159" i="7949" s="1"/>
  <c r="R159" i="7949" s="1"/>
  <c r="S159" i="7949" s="1"/>
  <c r="T159" i="7949" s="1"/>
  <c r="U159" i="7949" s="1"/>
  <c r="V159" i="7949" s="1"/>
  <c r="W159" i="7949" s="1"/>
  <c r="L135" i="7949"/>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Q235" i="18" l="1"/>
  <c r="L674" i="7949"/>
  <c r="M674" i="7949" s="1"/>
  <c r="N674" i="7949" s="1"/>
  <c r="O674" i="7949" s="1"/>
  <c r="P674" i="7949" s="1"/>
  <c r="Q674" i="7949" s="1"/>
  <c r="R674" i="7949" s="1"/>
  <c r="S674" i="7949" s="1"/>
  <c r="T674" i="7949" s="1"/>
  <c r="U674" i="7949" s="1"/>
  <c r="V674" i="7949" s="1"/>
  <c r="W674" i="7949" s="1"/>
  <c r="F447" i="7950"/>
  <c r="G447" i="7950" s="1"/>
  <c r="H447" i="7950" s="1"/>
  <c r="I447" i="7950" s="1"/>
  <c r="J447" i="7950" s="1"/>
  <c r="K447" i="7950" s="1"/>
  <c r="L447" i="7950" s="1"/>
  <c r="M447" i="7950" s="1"/>
  <c r="K673" i="7949"/>
  <c r="L673" i="7949" s="1"/>
  <c r="M673" i="7949" s="1"/>
  <c r="N673" i="7949" s="1"/>
  <c r="O673" i="7949" s="1"/>
  <c r="P673" i="7949" s="1"/>
  <c r="Q673" i="7949" s="1"/>
  <c r="R673" i="7949" s="1"/>
  <c r="S673" i="7949" s="1"/>
  <c r="T673" i="7949" s="1"/>
  <c r="U673" i="7949" s="1"/>
  <c r="V673" i="7949" s="1"/>
  <c r="W673" i="7949" s="1"/>
  <c r="M189" i="7949"/>
  <c r="N189" i="7949" s="1"/>
  <c r="O189" i="7949" s="1"/>
  <c r="P189" i="7949" s="1"/>
  <c r="Q189" i="7949" s="1"/>
  <c r="R189" i="7949" s="1"/>
  <c r="S189" i="7949" s="1"/>
  <c r="T189" i="7949" s="1"/>
  <c r="U189" i="7949" s="1"/>
  <c r="V189" i="7949" s="1"/>
  <c r="W189" i="7949"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L80" i="7949"/>
  <c r="M80" i="7949" s="1"/>
  <c r="N80" i="7949" s="1"/>
  <c r="O80" i="7949" s="1"/>
  <c r="P80" i="7949" s="1"/>
  <c r="Q80" i="7949" s="1"/>
  <c r="R80" i="7949" s="1"/>
  <c r="S80" i="7949" s="1"/>
  <c r="T80" i="7949" s="1"/>
  <c r="U80" i="7949" s="1"/>
  <c r="V80" i="7949" s="1"/>
  <c r="W80" i="7949" s="1"/>
  <c r="O677" i="7949"/>
  <c r="P677" i="7949" s="1"/>
  <c r="Q677" i="7949" s="1"/>
  <c r="R677" i="7949" s="1"/>
  <c r="S677" i="7949" s="1"/>
  <c r="T677" i="7949" s="1"/>
  <c r="U677" i="7949" s="1"/>
  <c r="V677" i="7949" s="1"/>
  <c r="W677" i="7949" s="1"/>
  <c r="F668" i="7949"/>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F663" i="7950"/>
  <c r="G663" i="7950" s="1"/>
  <c r="H663" i="7950" s="1"/>
  <c r="I663" i="7950" s="1"/>
  <c r="J663" i="7950" s="1"/>
  <c r="K663" i="7950" s="1"/>
  <c r="L663" i="7950" s="1"/>
  <c r="M663" i="7950" s="1"/>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N82" i="7949"/>
  <c r="O82" i="7949" s="1"/>
  <c r="P82" i="7949" s="1"/>
  <c r="Q82" i="7949" s="1"/>
  <c r="R82" i="7949" s="1"/>
  <c r="S82" i="7949" s="1"/>
  <c r="T82" i="7949" s="1"/>
  <c r="U82" i="7949" s="1"/>
  <c r="V82" i="7949" s="1"/>
  <c r="W82"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H508" i="7949"/>
  <c r="I508" i="7949" s="1"/>
  <c r="J508" i="7949" s="1"/>
  <c r="K508" i="7949" s="1"/>
  <c r="L508" i="7949" s="1"/>
  <c r="M508" i="7949" s="1"/>
  <c r="N508" i="7949" s="1"/>
  <c r="O508" i="7949" s="1"/>
  <c r="P508" i="7949" s="1"/>
  <c r="Q508" i="7949" s="1"/>
  <c r="R508" i="7949" s="1"/>
  <c r="S508" i="7949" s="1"/>
  <c r="T508" i="7949" s="1"/>
  <c r="U508" i="7949" s="1"/>
  <c r="V508" i="7949" s="1"/>
  <c r="W508" i="7949" s="1"/>
  <c r="Q258" i="7944"/>
  <c r="Q232" i="7944"/>
  <c r="P262" i="18"/>
  <c r="Q262" i="18" s="1"/>
  <c r="O257" i="7944"/>
  <c r="P257" i="7944" s="1"/>
  <c r="M351" i="7949"/>
  <c r="N351" i="7949" s="1"/>
  <c r="O351" i="7949" s="1"/>
  <c r="P351" i="7949" s="1"/>
  <c r="Q351" i="7949" s="1"/>
  <c r="R351" i="7949" s="1"/>
  <c r="S351" i="7949" s="1"/>
  <c r="T351" i="7949" s="1"/>
  <c r="U351" i="7949" s="1"/>
  <c r="V351" i="7949" s="1"/>
  <c r="W351" i="7949" s="1"/>
  <c r="O24" i="7950"/>
  <c r="P24" i="7950" s="1"/>
  <c r="Q24" i="7950" s="1"/>
  <c r="R24" i="7950" s="1"/>
  <c r="S24" i="7950" s="1"/>
  <c r="T24" i="7950" s="1"/>
  <c r="U24" i="7950" s="1"/>
  <c r="V24" i="7950" s="1"/>
  <c r="W24" i="7950" s="1"/>
  <c r="M27" i="7949"/>
  <c r="N27" i="7949" s="1"/>
  <c r="O27" i="7949" s="1"/>
  <c r="P27" i="7949" s="1"/>
  <c r="Q27" i="7949" s="1"/>
  <c r="R27" i="7949" s="1"/>
  <c r="S27" i="7949" s="1"/>
  <c r="T27" i="7949" s="1"/>
  <c r="U27" i="7949" s="1"/>
  <c r="V27" i="7949" s="1"/>
  <c r="W27" i="7949" s="1"/>
  <c r="L26" i="7949"/>
  <c r="M26" i="7949" s="1"/>
  <c r="N26" i="7949" s="1"/>
  <c r="O26" i="7949" s="1"/>
  <c r="P26" i="7949" s="1"/>
  <c r="Q26" i="7949" s="1"/>
  <c r="R26" i="7949" s="1"/>
  <c r="S26" i="7949" s="1"/>
  <c r="T26" i="7949" s="1"/>
  <c r="U26" i="7949" s="1"/>
  <c r="V26" i="7949" s="1"/>
  <c r="W26"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O353" i="7949"/>
  <c r="P353" i="7949" s="1"/>
  <c r="Q353" i="7949" s="1"/>
  <c r="R353" i="7949" s="1"/>
  <c r="S353" i="7949" s="1"/>
  <c r="T353" i="7949" s="1"/>
  <c r="U353" i="7949" s="1"/>
  <c r="V353" i="7949" s="1"/>
  <c r="W353" i="7949" s="1"/>
  <c r="F123" i="7950"/>
  <c r="G123" i="7950" s="1"/>
  <c r="H123" i="7950" s="1"/>
  <c r="I123" i="7950" s="1"/>
  <c r="J123" i="7950" s="1"/>
  <c r="K123" i="7950" s="1"/>
  <c r="L123" i="7950"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N23" i="7950"/>
  <c r="O23" i="7950" s="1"/>
  <c r="P23" i="7950" s="1"/>
  <c r="Q23" i="7950" s="1"/>
  <c r="R23" i="7950" s="1"/>
  <c r="S23" i="7950" s="1"/>
  <c r="T23" i="7950" s="1"/>
  <c r="U23" i="7950" s="1"/>
  <c r="V23" i="7950" s="1"/>
  <c r="W23" i="7950" s="1"/>
  <c r="K25" i="7949"/>
  <c r="L25" i="7949" s="1"/>
  <c r="M25" i="7949" s="1"/>
  <c r="N25" i="7949" s="1"/>
  <c r="O25" i="7949" s="1"/>
  <c r="P25" i="7949" s="1"/>
  <c r="Q25" i="7949" s="1"/>
  <c r="R25" i="7949" s="1"/>
  <c r="S25" i="7949" s="1"/>
  <c r="T25" i="7949" s="1"/>
  <c r="U25" i="7949" s="1"/>
  <c r="V25" i="7949" s="1"/>
  <c r="W25" i="7949" s="1"/>
  <c r="M459" i="7949"/>
  <c r="N459" i="7949" s="1"/>
  <c r="O459" i="7949" s="1"/>
  <c r="P459" i="7949" s="1"/>
  <c r="Q459" i="7949" s="1"/>
  <c r="R459" i="7949" s="1"/>
  <c r="S459" i="7949" s="1"/>
  <c r="T459" i="7949" s="1"/>
  <c r="U459" i="7949" s="1"/>
  <c r="V459" i="7949" s="1"/>
  <c r="W459" i="7949" s="1"/>
  <c r="O83" i="7949"/>
  <c r="P83" i="7949" s="1"/>
  <c r="Q83" i="7949" s="1"/>
  <c r="R83" i="7949" s="1"/>
  <c r="S83" i="7949" s="1"/>
  <c r="T83" i="7949" s="1"/>
  <c r="U83" i="7949" s="1"/>
  <c r="V83" i="7949" s="1"/>
  <c r="W83"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L147" i="7950"/>
  <c r="F339" i="7950"/>
  <c r="G339" i="7950" s="1"/>
  <c r="H339" i="7950" s="1"/>
  <c r="I339" i="7950" s="1"/>
  <c r="J339" i="7950" s="1"/>
  <c r="K339" i="7950" s="1"/>
  <c r="L339" i="7950" s="1"/>
  <c r="M339" i="7950" s="1"/>
  <c r="I749" i="7949"/>
  <c r="J749" i="7949" s="1"/>
  <c r="K749" i="7949" s="1"/>
  <c r="L749" i="7949" s="1"/>
  <c r="M749" i="7949" s="1"/>
  <c r="N749" i="7949" s="1"/>
  <c r="O749" i="7949" s="1"/>
  <c r="P749" i="7949" s="1"/>
  <c r="Q749" i="7949" s="1"/>
  <c r="R749" i="7949" s="1"/>
  <c r="S749" i="7949" s="1"/>
  <c r="T749" i="7949" s="1"/>
  <c r="U749" i="7949" s="1"/>
  <c r="V749" i="7949" s="1"/>
  <c r="W749" i="7949" s="1"/>
  <c r="I725" i="7949"/>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J43" i="7950"/>
  <c r="K43" i="7950" s="1"/>
  <c r="L43" i="7950" s="1"/>
  <c r="M43" i="7950" s="1"/>
  <c r="N43" i="7950" s="1"/>
  <c r="O43" i="7950" s="1"/>
  <c r="P43" i="7950" s="1"/>
  <c r="Q43" i="7950" s="1"/>
  <c r="R43" i="7950" s="1"/>
  <c r="S43" i="7950" s="1"/>
  <c r="T43" i="7950" s="1"/>
  <c r="J19" i="7950"/>
  <c r="W48" i="7950"/>
  <c r="I396" i="7950"/>
  <c r="I420" i="7950"/>
  <c r="N617" i="7950"/>
  <c r="N641" i="7950"/>
  <c r="J264" i="7949"/>
  <c r="K264" i="7949" s="1"/>
  <c r="L264" i="7949" s="1"/>
  <c r="M264" i="7949" s="1"/>
  <c r="N264" i="7949" s="1"/>
  <c r="O264" i="7949" s="1"/>
  <c r="P264" i="7949" s="1"/>
  <c r="Q264" i="7949" s="1"/>
  <c r="R264" i="7949" s="1"/>
  <c r="S264" i="7949" s="1"/>
  <c r="T264" i="7949" s="1"/>
  <c r="U264" i="7949" s="1"/>
  <c r="V264" i="7949" s="1"/>
  <c r="W264" i="7949" s="1"/>
  <c r="J240" i="7949"/>
  <c r="F231" i="7950"/>
  <c r="G231" i="7950" s="1"/>
  <c r="H231" i="7950" s="1"/>
  <c r="I231" i="7950" s="1"/>
  <c r="J231" i="7950" s="1"/>
  <c r="K231" i="7950" s="1"/>
  <c r="L231" i="7950" s="1"/>
  <c r="M231" i="7950" s="1"/>
  <c r="L477" i="7950"/>
  <c r="L453" i="7950"/>
  <c r="L188" i="7949"/>
  <c r="M188" i="7949" s="1"/>
  <c r="N188" i="7949" s="1"/>
  <c r="O188" i="7949" s="1"/>
  <c r="P188" i="7949" s="1"/>
  <c r="Q188" i="7949" s="1"/>
  <c r="R188" i="7949" s="1"/>
  <c r="S188" i="7949" s="1"/>
  <c r="T188" i="7949" s="1"/>
  <c r="U188" i="7949" s="1"/>
  <c r="V188" i="7949" s="1"/>
  <c r="W188" i="7949" s="1"/>
  <c r="N298" i="7949"/>
  <c r="O298" i="7949" s="1"/>
  <c r="P298" i="7949" s="1"/>
  <c r="Q298" i="7949" s="1"/>
  <c r="R298" i="7949" s="1"/>
  <c r="S298" i="7949" s="1"/>
  <c r="T298" i="7949" s="1"/>
  <c r="U298" i="7949" s="1"/>
  <c r="V298" i="7949" s="1"/>
  <c r="W298" i="7949" s="1"/>
  <c r="L512" i="7949"/>
  <c r="M512" i="7949" s="1"/>
  <c r="N512" i="7949" s="1"/>
  <c r="O512" i="7949" s="1"/>
  <c r="P512" i="7949" s="1"/>
  <c r="Q512" i="7949" s="1"/>
  <c r="R512" i="7949" s="1"/>
  <c r="S512" i="7949" s="1"/>
  <c r="T512" i="7949" s="1"/>
  <c r="U512" i="7949" s="1"/>
  <c r="V512" i="7949" s="1"/>
  <c r="W512" i="7949" s="1"/>
  <c r="J73" i="7950"/>
  <c r="J97" i="7950"/>
  <c r="K290" i="7950"/>
  <c r="K314" i="7950"/>
  <c r="H503" i="7950"/>
  <c r="H527" i="7950"/>
  <c r="H130" i="7949"/>
  <c r="I130" i="7949" s="1"/>
  <c r="J130" i="7949" s="1"/>
  <c r="K130" i="7949" s="1"/>
  <c r="L130" i="7949" s="1"/>
  <c r="M130" i="7949" s="1"/>
  <c r="N130" i="7949" s="1"/>
  <c r="O130" i="7949" s="1"/>
  <c r="P130" i="7949" s="1"/>
  <c r="Q130" i="7949" s="1"/>
  <c r="R130" i="7949" s="1"/>
  <c r="S130" i="7949" s="1"/>
  <c r="T130" i="7949" s="1"/>
  <c r="U130" i="7949" s="1"/>
  <c r="V130" i="7949" s="1"/>
  <c r="W130" i="7949" s="1"/>
  <c r="N730" i="7949"/>
  <c r="O730" i="7949" s="1"/>
  <c r="P730" i="7949" s="1"/>
  <c r="Q730" i="7949" s="1"/>
  <c r="R730" i="7949" s="1"/>
  <c r="S730" i="7949" s="1"/>
  <c r="T730" i="7949" s="1"/>
  <c r="U730" i="7949" s="1"/>
  <c r="V730" i="7949" s="1"/>
  <c r="W730" i="7949" s="1"/>
  <c r="K403" i="7949"/>
  <c r="L403" i="7949" s="1"/>
  <c r="M403" i="7949" s="1"/>
  <c r="N403" i="7949" s="1"/>
  <c r="O403" i="7949" s="1"/>
  <c r="P403" i="7949" s="1"/>
  <c r="Q403" i="7949" s="1"/>
  <c r="R403" i="7949" s="1"/>
  <c r="S403" i="7949" s="1"/>
  <c r="T403" i="7949" s="1"/>
  <c r="U403" i="7949" s="1"/>
  <c r="V403" i="7949" s="1"/>
  <c r="W403" i="7949"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K619" i="7949"/>
  <c r="L619" i="7949" s="1"/>
  <c r="M619" i="7949" s="1"/>
  <c r="N619" i="7949" s="1"/>
  <c r="O619" i="7949" s="1"/>
  <c r="P619" i="7949" s="1"/>
  <c r="Q619" i="7949" s="1"/>
  <c r="R619" i="7949" s="1"/>
  <c r="S619" i="7949" s="1"/>
  <c r="T619" i="7949" s="1"/>
  <c r="U619" i="7949" s="1"/>
  <c r="V619" i="7949" s="1"/>
  <c r="W619" i="7949" s="1"/>
  <c r="L45" i="7950"/>
  <c r="M45" i="7950" s="1"/>
  <c r="N45" i="7950" s="1"/>
  <c r="O45" i="7950" s="1"/>
  <c r="P45" i="7950" s="1"/>
  <c r="Q45" i="7950" s="1"/>
  <c r="R45" i="7950" s="1"/>
  <c r="S45" i="7950" s="1"/>
  <c r="T45" i="7950" s="1"/>
  <c r="L21" i="7950"/>
  <c r="F20" i="7949"/>
  <c r="G20" i="7949" s="1"/>
  <c r="H20" i="7949" s="1"/>
  <c r="I20" i="7949" s="1"/>
  <c r="J20" i="7949" s="1"/>
  <c r="K20" i="7949" s="1"/>
  <c r="L20" i="7949" s="1"/>
  <c r="M20" i="7949" s="1"/>
  <c r="N20" i="7949" s="1"/>
  <c r="O20" i="7949" s="1"/>
  <c r="P20" i="7949" s="1"/>
  <c r="Q20" i="7949" s="1"/>
  <c r="R20" i="7949" s="1"/>
  <c r="S20" i="7949" s="1"/>
  <c r="T20" i="7949" s="1"/>
  <c r="U20" i="7949" s="1"/>
  <c r="V20" i="7949" s="1"/>
  <c r="W20" i="7949" s="1"/>
  <c r="N28" i="7949"/>
  <c r="O28" i="7949" s="1"/>
  <c r="P28" i="7949" s="1"/>
  <c r="Q28" i="7949" s="1"/>
  <c r="R28" i="7949" s="1"/>
  <c r="S28" i="7949" s="1"/>
  <c r="T28" i="7949" s="1"/>
  <c r="U28" i="7949" s="1"/>
  <c r="V28" i="7949" s="1"/>
  <c r="W28" i="7949" s="1"/>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I479" i="7949"/>
  <c r="J479" i="7949" s="1"/>
  <c r="K479" i="7949" s="1"/>
  <c r="L479" i="7949" s="1"/>
  <c r="M479" i="7949" s="1"/>
  <c r="N479" i="7949" s="1"/>
  <c r="O479" i="7949" s="1"/>
  <c r="P479" i="7949" s="1"/>
  <c r="Q479" i="7949" s="1"/>
  <c r="R479" i="7949" s="1"/>
  <c r="S479" i="7949" s="1"/>
  <c r="T479" i="7949" s="1"/>
  <c r="U479" i="7949" s="1"/>
  <c r="V479" i="7949" s="1"/>
  <c r="W479" i="7949" s="1"/>
  <c r="I455" i="7949"/>
  <c r="M675" i="7949"/>
  <c r="N675" i="7949" s="1"/>
  <c r="O675" i="7949" s="1"/>
  <c r="P675" i="7949" s="1"/>
  <c r="Q675" i="7949" s="1"/>
  <c r="R675" i="7949" s="1"/>
  <c r="S675" i="7949" s="1"/>
  <c r="T675" i="7949" s="1"/>
  <c r="U675" i="7949" s="1"/>
  <c r="V675" i="7949" s="1"/>
  <c r="W675" i="7949" s="1"/>
  <c r="N263" i="7950"/>
  <c r="N239" i="7950"/>
  <c r="N479" i="7950"/>
  <c r="N455" i="7950"/>
  <c r="K722" i="7950"/>
  <c r="K746" i="7950"/>
  <c r="M748" i="7950"/>
  <c r="M724" i="7950"/>
  <c r="N190" i="7949"/>
  <c r="O190" i="7949" s="1"/>
  <c r="P190" i="7949" s="1"/>
  <c r="Q190" i="7949" s="1"/>
  <c r="R190" i="7949" s="1"/>
  <c r="S190" i="7949" s="1"/>
  <c r="T190" i="7949" s="1"/>
  <c r="U190" i="7949" s="1"/>
  <c r="V190" i="7949" s="1"/>
  <c r="W190"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L296" i="7949"/>
  <c r="M296" i="7949" s="1"/>
  <c r="N296" i="7949" s="1"/>
  <c r="O296" i="7949" s="1"/>
  <c r="P296" i="7949" s="1"/>
  <c r="Q296" i="7949" s="1"/>
  <c r="R296" i="7949" s="1"/>
  <c r="S296" i="7949" s="1"/>
  <c r="T296" i="7949" s="1"/>
  <c r="U296" i="7949" s="1"/>
  <c r="V296" i="7949" s="1"/>
  <c r="W296" i="7949" s="1"/>
  <c r="I155" i="7949"/>
  <c r="J155" i="7949" s="1"/>
  <c r="K155" i="7949" s="1"/>
  <c r="L155" i="7949" s="1"/>
  <c r="M155" i="7949" s="1"/>
  <c r="N155" i="7949" s="1"/>
  <c r="O155" i="7949" s="1"/>
  <c r="P155" i="7949" s="1"/>
  <c r="Q155" i="7949" s="1"/>
  <c r="R155" i="7949" s="1"/>
  <c r="S155" i="7949" s="1"/>
  <c r="T155" i="7949" s="1"/>
  <c r="U155" i="7949" s="1"/>
  <c r="V155" i="7949" s="1"/>
  <c r="W155" i="7949" s="1"/>
  <c r="I131" i="7949"/>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H125" i="7950"/>
  <c r="H149" i="7950"/>
  <c r="K368" i="7950"/>
  <c r="K344" i="7950"/>
  <c r="L728" i="7949"/>
  <c r="M728" i="7949" s="1"/>
  <c r="N728" i="7949" s="1"/>
  <c r="O728" i="7949" s="1"/>
  <c r="P728" i="7949" s="1"/>
  <c r="Q728" i="7949" s="1"/>
  <c r="R728" i="7949" s="1"/>
  <c r="S728" i="7949" s="1"/>
  <c r="T728" i="7949" s="1"/>
  <c r="U728" i="7949" s="1"/>
  <c r="V728" i="7949" s="1"/>
  <c r="W728" i="7949" s="1"/>
  <c r="K727" i="7949"/>
  <c r="L727" i="7949" s="1"/>
  <c r="M727" i="7949" s="1"/>
  <c r="N727" i="7949" s="1"/>
  <c r="O727" i="7949" s="1"/>
  <c r="P727" i="7949" s="1"/>
  <c r="Q727" i="7949" s="1"/>
  <c r="R727" i="7949" s="1"/>
  <c r="S727" i="7949" s="1"/>
  <c r="T727" i="7949" s="1"/>
  <c r="U727" i="7949" s="1"/>
  <c r="V727" i="7949" s="1"/>
  <c r="W727" i="7949" s="1"/>
  <c r="I425" i="7949"/>
  <c r="J425" i="7949" s="1"/>
  <c r="K425" i="7949" s="1"/>
  <c r="L425" i="7949" s="1"/>
  <c r="M425" i="7949" s="1"/>
  <c r="N425" i="7949" s="1"/>
  <c r="O425" i="7949" s="1"/>
  <c r="P425" i="7949" s="1"/>
  <c r="Q425" i="7949" s="1"/>
  <c r="R425" i="7949" s="1"/>
  <c r="S425" i="7949" s="1"/>
  <c r="T425" i="7949" s="1"/>
  <c r="U425" i="7949" s="1"/>
  <c r="V425" i="7949" s="1"/>
  <c r="W425" i="7949" s="1"/>
  <c r="I401" i="7949"/>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H616" i="7949"/>
  <c r="I616" i="7949" s="1"/>
  <c r="J616" i="7949" s="1"/>
  <c r="K616" i="7949" s="1"/>
  <c r="L616" i="7949" s="1"/>
  <c r="M616" i="7949" s="1"/>
  <c r="N616" i="7949" s="1"/>
  <c r="O616" i="7949" s="1"/>
  <c r="P616" i="7949" s="1"/>
  <c r="Q616" i="7949" s="1"/>
  <c r="R616" i="7949" s="1"/>
  <c r="S616" i="7949" s="1"/>
  <c r="T616" i="7949" s="1"/>
  <c r="U616" i="7949" s="1"/>
  <c r="V616" i="7949" s="1"/>
  <c r="W616" i="7949" s="1"/>
  <c r="N209" i="7950"/>
  <c r="N185" i="7950"/>
  <c r="O402" i="7950"/>
  <c r="O426" i="7950"/>
  <c r="J637" i="7950"/>
  <c r="J613" i="7950"/>
  <c r="I47" i="7949"/>
  <c r="J47" i="7949" s="1"/>
  <c r="K47" i="7949" s="1"/>
  <c r="L47" i="7949" s="1"/>
  <c r="M47" i="7949" s="1"/>
  <c r="N47" i="7949" s="1"/>
  <c r="O47" i="7949" s="1"/>
  <c r="P47" i="7949" s="1"/>
  <c r="Q47" i="7949" s="1"/>
  <c r="R47" i="7949" s="1"/>
  <c r="S47" i="7949" s="1"/>
  <c r="T47" i="7949" s="1"/>
  <c r="U47" i="7949" s="1"/>
  <c r="V47" i="7949" s="1"/>
  <c r="W47" i="7949" s="1"/>
  <c r="I23" i="7949"/>
  <c r="H238" i="7949"/>
  <c r="I238" i="7949" s="1"/>
  <c r="J238" i="7949" s="1"/>
  <c r="K238" i="7949" s="1"/>
  <c r="L238" i="7949" s="1"/>
  <c r="M238" i="7949" s="1"/>
  <c r="N238" i="7949" s="1"/>
  <c r="O238" i="7949" s="1"/>
  <c r="P238" i="7949" s="1"/>
  <c r="Q238" i="7949" s="1"/>
  <c r="R238" i="7949" s="1"/>
  <c r="S238" i="7949" s="1"/>
  <c r="T238" i="7949" s="1"/>
  <c r="U238" i="7949" s="1"/>
  <c r="V238" i="7949" s="1"/>
  <c r="W238" i="7949" s="1"/>
  <c r="O245" i="7949"/>
  <c r="P245" i="7949" s="1"/>
  <c r="Q245" i="7949" s="1"/>
  <c r="R245" i="7949" s="1"/>
  <c r="S245" i="7949" s="1"/>
  <c r="T245" i="7949" s="1"/>
  <c r="U245" i="7949" s="1"/>
  <c r="V245" i="7949" s="1"/>
  <c r="W245" i="7949" s="1"/>
  <c r="H454" i="7949"/>
  <c r="I454" i="7949" s="1"/>
  <c r="J454" i="7949" s="1"/>
  <c r="K454" i="7949" s="1"/>
  <c r="L454" i="7949" s="1"/>
  <c r="M454" i="7949" s="1"/>
  <c r="N454" i="7949" s="1"/>
  <c r="O454" i="7949" s="1"/>
  <c r="P454" i="7949" s="1"/>
  <c r="Q454" i="7949" s="1"/>
  <c r="R454" i="7949" s="1"/>
  <c r="S454" i="7949" s="1"/>
  <c r="T454" i="7949" s="1"/>
  <c r="U454" i="7949" s="1"/>
  <c r="V454" i="7949" s="1"/>
  <c r="W454" i="7949" s="1"/>
  <c r="O264" i="7950"/>
  <c r="O240" i="7950"/>
  <c r="G448" i="7950"/>
  <c r="G472" i="7950"/>
  <c r="H743" i="7950"/>
  <c r="H719" i="7950"/>
  <c r="K79" i="7949"/>
  <c r="L79" i="7949" s="1"/>
  <c r="M79" i="7949" s="1"/>
  <c r="N79" i="7949" s="1"/>
  <c r="O79" i="7949" s="1"/>
  <c r="P79" i="7949" s="1"/>
  <c r="Q79" i="7949" s="1"/>
  <c r="R79" i="7949" s="1"/>
  <c r="S79" i="7949" s="1"/>
  <c r="T79" i="7949" s="1"/>
  <c r="U79" i="7949" s="1"/>
  <c r="V79" i="7949" s="1"/>
  <c r="W79" i="7949" s="1"/>
  <c r="H76" i="7949"/>
  <c r="I76" i="7949" s="1"/>
  <c r="J76" i="7949" s="1"/>
  <c r="K76" i="7949" s="1"/>
  <c r="L76" i="7949" s="1"/>
  <c r="M76" i="7949" s="1"/>
  <c r="N76" i="7949" s="1"/>
  <c r="O76" i="7949" s="1"/>
  <c r="P76" i="7949" s="1"/>
  <c r="Q76" i="7949" s="1"/>
  <c r="R76" i="7949" s="1"/>
  <c r="S76" i="7949" s="1"/>
  <c r="T76" i="7949" s="1"/>
  <c r="U76" i="7949" s="1"/>
  <c r="V76" i="7949" s="1"/>
  <c r="W76" i="7949" s="1"/>
  <c r="K295" i="7949"/>
  <c r="L295" i="7949" s="1"/>
  <c r="M295" i="7949" s="1"/>
  <c r="N295" i="7949" s="1"/>
  <c r="O295" i="7949" s="1"/>
  <c r="P295" i="7949" s="1"/>
  <c r="Q295" i="7949" s="1"/>
  <c r="R295" i="7949" s="1"/>
  <c r="S295" i="7949" s="1"/>
  <c r="T295" i="7949" s="1"/>
  <c r="U295" i="7949" s="1"/>
  <c r="V295" i="7949" s="1"/>
  <c r="W295"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70" i="7950"/>
  <c r="G94" i="7950"/>
  <c r="N136" i="7949"/>
  <c r="O136" i="7949" s="1"/>
  <c r="P136" i="7949" s="1"/>
  <c r="Q136" i="7949" s="1"/>
  <c r="R136" i="7949" s="1"/>
  <c r="S136" i="7949" s="1"/>
  <c r="T136" i="7949" s="1"/>
  <c r="U136" i="7949" s="1"/>
  <c r="V136" i="7949" s="1"/>
  <c r="W136" i="7949" s="1"/>
  <c r="N352" i="7949"/>
  <c r="O352" i="7949" s="1"/>
  <c r="P352" i="7949" s="1"/>
  <c r="Q352" i="7949" s="1"/>
  <c r="R352" i="7949" s="1"/>
  <c r="S352" i="7949" s="1"/>
  <c r="T352" i="7949" s="1"/>
  <c r="U352" i="7949" s="1"/>
  <c r="V352" i="7949" s="1"/>
  <c r="W352" i="7949" s="1"/>
  <c r="G340" i="7950"/>
  <c r="G364" i="7950"/>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L404" i="7949"/>
  <c r="M404" i="7949" s="1"/>
  <c r="N404" i="7949" s="1"/>
  <c r="O404" i="7949" s="1"/>
  <c r="P404" i="7949" s="1"/>
  <c r="Q404" i="7949" s="1"/>
  <c r="R404" i="7949" s="1"/>
  <c r="S404" i="7949" s="1"/>
  <c r="T404" i="7949" s="1"/>
  <c r="U404" i="7949" s="1"/>
  <c r="V404" i="7949" s="1"/>
  <c r="W404" i="7949" s="1"/>
  <c r="N622" i="7949"/>
  <c r="O622" i="7949" s="1"/>
  <c r="P622" i="7949" s="1"/>
  <c r="Q622" i="7949" s="1"/>
  <c r="R622" i="7949" s="1"/>
  <c r="S622" i="7949" s="1"/>
  <c r="T622" i="7949" s="1"/>
  <c r="U622" i="7949" s="1"/>
  <c r="V622" i="7949" s="1"/>
  <c r="W622" i="7949" s="1"/>
  <c r="M640" i="7950"/>
  <c r="M616" i="7950"/>
  <c r="G21" i="7949"/>
  <c r="H21" i="7949" s="1"/>
  <c r="I21" i="7949" s="1"/>
  <c r="J21" i="7949" s="1"/>
  <c r="K21" i="7949" s="1"/>
  <c r="L21" i="7949" s="1"/>
  <c r="M21" i="7949" s="1"/>
  <c r="N21" i="7949" s="1"/>
  <c r="O21" i="7949" s="1"/>
  <c r="P21" i="7949" s="1"/>
  <c r="Q21" i="7949" s="1"/>
  <c r="R21" i="7949" s="1"/>
  <c r="S21" i="7949" s="1"/>
  <c r="T21" i="7949" s="1"/>
  <c r="U21" i="7949" s="1"/>
  <c r="V21" i="7949" s="1"/>
  <c r="W21" i="7949" s="1"/>
  <c r="K241" i="7949"/>
  <c r="L241" i="7949" s="1"/>
  <c r="M241" i="7949" s="1"/>
  <c r="N241" i="7949" s="1"/>
  <c r="O241" i="7949" s="1"/>
  <c r="P241" i="7949" s="1"/>
  <c r="Q241" i="7949" s="1"/>
  <c r="R241" i="7949" s="1"/>
  <c r="S241" i="7949" s="1"/>
  <c r="T241" i="7949" s="1"/>
  <c r="U241" i="7949" s="1"/>
  <c r="V241" i="7949" s="1"/>
  <c r="W241" i="7949" s="1"/>
  <c r="L458" i="7949"/>
  <c r="M458" i="7949" s="1"/>
  <c r="N458" i="7949" s="1"/>
  <c r="O458" i="7949" s="1"/>
  <c r="P458" i="7949" s="1"/>
  <c r="Q458" i="7949" s="1"/>
  <c r="R458" i="7949" s="1"/>
  <c r="S458" i="7949" s="1"/>
  <c r="T458" i="7949" s="1"/>
  <c r="U458" i="7949" s="1"/>
  <c r="V458" i="7949" s="1"/>
  <c r="W458" i="7949" s="1"/>
  <c r="H473" i="7950"/>
  <c r="H449" i="7950"/>
  <c r="M687" i="7950"/>
  <c r="N749" i="7950"/>
  <c r="N725" i="7950"/>
  <c r="J318" i="7949"/>
  <c r="K318" i="7949" s="1"/>
  <c r="L318" i="7949" s="1"/>
  <c r="M318" i="7949" s="1"/>
  <c r="N318" i="7949" s="1"/>
  <c r="O318" i="7949" s="1"/>
  <c r="P318" i="7949" s="1"/>
  <c r="Q318" i="7949" s="1"/>
  <c r="R318" i="7949" s="1"/>
  <c r="S318" i="7949" s="1"/>
  <c r="T318" i="7949" s="1"/>
  <c r="U318" i="7949" s="1"/>
  <c r="V318" i="7949" s="1"/>
  <c r="W318" i="7949" s="1"/>
  <c r="J294" i="7949"/>
  <c r="M76" i="7950"/>
  <c r="M100" i="7950"/>
  <c r="M316" i="7950"/>
  <c r="M292" i="7950"/>
  <c r="I312" i="7950"/>
  <c r="I288" i="7950"/>
  <c r="L531" i="7950"/>
  <c r="L507" i="7950"/>
  <c r="O231" i="7944"/>
  <c r="P231" i="7944" s="1"/>
  <c r="Q231" i="7944" s="1"/>
  <c r="P283" i="7944"/>
  <c r="Q283" i="7944" s="1"/>
  <c r="N131" i="7950"/>
  <c r="N155" i="7950"/>
  <c r="G178" i="7950"/>
  <c r="G202" i="7950"/>
  <c r="L639" i="7950"/>
  <c r="L615" i="7950"/>
  <c r="M255" i="7950"/>
  <c r="G664" i="7950"/>
  <c r="G688" i="7950"/>
  <c r="O672" i="7950"/>
  <c r="O696" i="7950"/>
  <c r="L315" i="7950"/>
  <c r="L291" i="7950"/>
  <c r="N533" i="7950"/>
  <c r="N509" i="7950"/>
  <c r="J372" i="7949"/>
  <c r="K372" i="7949" s="1"/>
  <c r="L372" i="7949" s="1"/>
  <c r="M372" i="7949" s="1"/>
  <c r="N372" i="7949" s="1"/>
  <c r="O372" i="7949" s="1"/>
  <c r="P372" i="7949" s="1"/>
  <c r="Q372" i="7949" s="1"/>
  <c r="R372" i="7949" s="1"/>
  <c r="S372" i="7949" s="1"/>
  <c r="T372" i="7949" s="1"/>
  <c r="U372" i="7949" s="1"/>
  <c r="V372" i="7949" s="1"/>
  <c r="W372" i="7949" s="1"/>
  <c r="J348" i="7949"/>
  <c r="G124" i="7950"/>
  <c r="G148" i="7950"/>
  <c r="J367" i="7950"/>
  <c r="J343" i="7950"/>
  <c r="M346" i="7950"/>
  <c r="M370" i="7950"/>
  <c r="M184" i="7950"/>
  <c r="M208" i="7950"/>
  <c r="I180" i="7950"/>
  <c r="I204" i="7950"/>
  <c r="L423" i="7950"/>
  <c r="L399" i="7950"/>
  <c r="O618" i="7950"/>
  <c r="O642" i="7950"/>
  <c r="I263" i="7949"/>
  <c r="J263" i="7949" s="1"/>
  <c r="K263" i="7949" s="1"/>
  <c r="L263" i="7949" s="1"/>
  <c r="M263" i="7949" s="1"/>
  <c r="N263" i="7949" s="1"/>
  <c r="O263" i="7949" s="1"/>
  <c r="P263" i="7949" s="1"/>
  <c r="Q263" i="7949" s="1"/>
  <c r="R263" i="7949" s="1"/>
  <c r="S263" i="7949" s="1"/>
  <c r="T263" i="7949" s="1"/>
  <c r="U263" i="7949" s="1"/>
  <c r="V263" i="7949" s="1"/>
  <c r="W263" i="7949" s="1"/>
  <c r="I239" i="7949"/>
  <c r="H257" i="7950"/>
  <c r="H233" i="7950"/>
  <c r="N695" i="7950"/>
  <c r="N671" i="7950"/>
  <c r="H689" i="7950"/>
  <c r="H665" i="7950"/>
  <c r="J102" i="7949"/>
  <c r="K102" i="7949" s="1"/>
  <c r="L102" i="7949" s="1"/>
  <c r="M102" i="7949" s="1"/>
  <c r="N102" i="7949" s="1"/>
  <c r="O102" i="7949" s="1"/>
  <c r="P102" i="7949" s="1"/>
  <c r="Q102" i="7949" s="1"/>
  <c r="R102" i="7949" s="1"/>
  <c r="S102" i="7949" s="1"/>
  <c r="T102" i="7949" s="1"/>
  <c r="U102" i="7949" s="1"/>
  <c r="V102" i="7949" s="1"/>
  <c r="W102" i="7949" s="1"/>
  <c r="J78" i="7949"/>
  <c r="J534" i="7949"/>
  <c r="K534" i="7949" s="1"/>
  <c r="L534" i="7949" s="1"/>
  <c r="M534" i="7949" s="1"/>
  <c r="N534" i="7949" s="1"/>
  <c r="O534" i="7949" s="1"/>
  <c r="P534" i="7949" s="1"/>
  <c r="Q534" i="7949" s="1"/>
  <c r="R534" i="7949" s="1"/>
  <c r="S534" i="7949" s="1"/>
  <c r="T534" i="7949" s="1"/>
  <c r="U534" i="7949" s="1"/>
  <c r="V534" i="7949" s="1"/>
  <c r="W534" i="7949" s="1"/>
  <c r="J510" i="7949"/>
  <c r="O78" i="7950"/>
  <c r="O102" i="7950"/>
  <c r="O318" i="7950"/>
  <c r="O294" i="7950"/>
  <c r="I528" i="7950"/>
  <c r="I504" i="7950"/>
  <c r="O534" i="7950"/>
  <c r="L369" i="7950"/>
  <c r="L345" i="7950"/>
  <c r="K398" i="7950"/>
  <c r="K422" i="7950"/>
  <c r="J696" i="7949"/>
  <c r="K696" i="7949" s="1"/>
  <c r="L696" i="7949" s="1"/>
  <c r="M696" i="7949" s="1"/>
  <c r="N696" i="7949" s="1"/>
  <c r="O696" i="7949" s="1"/>
  <c r="P696" i="7949" s="1"/>
  <c r="Q696" i="7949" s="1"/>
  <c r="R696" i="7949" s="1"/>
  <c r="S696" i="7949" s="1"/>
  <c r="T696" i="7949" s="1"/>
  <c r="U696" i="7949" s="1"/>
  <c r="V696" i="7949" s="1"/>
  <c r="W696" i="7949" s="1"/>
  <c r="J672" i="7949"/>
  <c r="J259" i="7950"/>
  <c r="J235" i="7950"/>
  <c r="J721" i="7950"/>
  <c r="J745" i="7950"/>
  <c r="J210" i="7949"/>
  <c r="K210" i="7949" s="1"/>
  <c r="L210" i="7949" s="1"/>
  <c r="M210" i="7949" s="1"/>
  <c r="N210" i="7949" s="1"/>
  <c r="O210" i="7949" s="1"/>
  <c r="P210" i="7949" s="1"/>
  <c r="Q210" i="7949" s="1"/>
  <c r="R210" i="7949" s="1"/>
  <c r="S210" i="7949" s="1"/>
  <c r="T210" i="7949" s="1"/>
  <c r="U210" i="7949" s="1"/>
  <c r="V210" i="7949" s="1"/>
  <c r="W210" i="7949" s="1"/>
  <c r="J186" i="7949"/>
  <c r="L75" i="7950"/>
  <c r="L99" i="7950"/>
  <c r="M532" i="7950"/>
  <c r="M508" i="7950"/>
  <c r="J156" i="7949"/>
  <c r="K156" i="7949" s="1"/>
  <c r="L156" i="7949" s="1"/>
  <c r="M156" i="7949" s="1"/>
  <c r="N156" i="7949" s="1"/>
  <c r="O156" i="7949" s="1"/>
  <c r="P156" i="7949" s="1"/>
  <c r="Q156" i="7949" s="1"/>
  <c r="R156" i="7949" s="1"/>
  <c r="S156" i="7949" s="1"/>
  <c r="T156" i="7949" s="1"/>
  <c r="U156" i="7949" s="1"/>
  <c r="V156" i="7949" s="1"/>
  <c r="W156" i="7949" s="1"/>
  <c r="J132" i="7949"/>
  <c r="M130" i="7950"/>
  <c r="M154" i="7950"/>
  <c r="H41" i="7950"/>
  <c r="I41" i="7950" s="1"/>
  <c r="J41" i="7950" s="1"/>
  <c r="K41" i="7950" s="1"/>
  <c r="L41" i="7950" s="1"/>
  <c r="M41" i="7950" s="1"/>
  <c r="N41" i="7950" s="1"/>
  <c r="O41" i="7950" s="1"/>
  <c r="P41" i="7950" s="1"/>
  <c r="Q41" i="7950" s="1"/>
  <c r="R41" i="7950" s="1"/>
  <c r="H17" i="7950"/>
  <c r="K182" i="7950"/>
  <c r="K206" i="7950"/>
  <c r="J421" i="7950"/>
  <c r="J397" i="7950"/>
  <c r="K614" i="7950"/>
  <c r="K638" i="7950"/>
  <c r="M262" i="7950"/>
  <c r="M238" i="7950"/>
  <c r="I317" i="7949"/>
  <c r="J317" i="7949" s="1"/>
  <c r="K317" i="7949" s="1"/>
  <c r="L317" i="7949" s="1"/>
  <c r="M317" i="7949" s="1"/>
  <c r="N317" i="7949" s="1"/>
  <c r="O317" i="7949" s="1"/>
  <c r="P317" i="7949" s="1"/>
  <c r="Q317" i="7949" s="1"/>
  <c r="R317" i="7949" s="1"/>
  <c r="S317" i="7949" s="1"/>
  <c r="T317" i="7949" s="1"/>
  <c r="U317" i="7949" s="1"/>
  <c r="V317" i="7949" s="1"/>
  <c r="W317" i="7949" s="1"/>
  <c r="I293" i="7949"/>
  <c r="K98" i="7950"/>
  <c r="K74" i="7950"/>
  <c r="M363" i="7950"/>
  <c r="M135" i="7949"/>
  <c r="N135" i="7949" s="1"/>
  <c r="O135" i="7949" s="1"/>
  <c r="P135" i="7949" s="1"/>
  <c r="Q135" i="7949" s="1"/>
  <c r="R135" i="7949" s="1"/>
  <c r="S135" i="7949" s="1"/>
  <c r="T135" i="7949" s="1"/>
  <c r="U135" i="7949" s="1"/>
  <c r="V135" i="7949" s="1"/>
  <c r="W135" i="7949" s="1"/>
  <c r="O731" i="7949"/>
  <c r="P731" i="7949" s="1"/>
  <c r="Q731" i="7949" s="1"/>
  <c r="R731" i="7949" s="1"/>
  <c r="S731" i="7949" s="1"/>
  <c r="T731" i="7949" s="1"/>
  <c r="U731" i="7949" s="1"/>
  <c r="V731" i="7949" s="1"/>
  <c r="W731" i="7949" s="1"/>
  <c r="M621" i="7949"/>
  <c r="N621" i="7949" s="1"/>
  <c r="O621" i="7949" s="1"/>
  <c r="P621" i="7949" s="1"/>
  <c r="Q621" i="7949" s="1"/>
  <c r="R621" i="7949" s="1"/>
  <c r="S621" i="7949" s="1"/>
  <c r="T621" i="7949" s="1"/>
  <c r="U621" i="7949" s="1"/>
  <c r="V621" i="7949" s="1"/>
  <c r="W621" i="7949" s="1"/>
  <c r="W39" i="7950"/>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I695" i="7949"/>
  <c r="J695" i="7949" s="1"/>
  <c r="K695" i="7949" s="1"/>
  <c r="L695" i="7949" s="1"/>
  <c r="M695" i="7949" s="1"/>
  <c r="N695" i="7949" s="1"/>
  <c r="O695" i="7949" s="1"/>
  <c r="P695" i="7949" s="1"/>
  <c r="Q695" i="7949" s="1"/>
  <c r="R695" i="7949" s="1"/>
  <c r="S695" i="7949" s="1"/>
  <c r="T695" i="7949" s="1"/>
  <c r="U695" i="7949" s="1"/>
  <c r="V695" i="7949" s="1"/>
  <c r="W695" i="7949" s="1"/>
  <c r="I671" i="7949"/>
  <c r="M471" i="7950"/>
  <c r="J475" i="7950"/>
  <c r="J451" i="7950"/>
  <c r="O750" i="7950"/>
  <c r="O726" i="7950"/>
  <c r="H184" i="7949"/>
  <c r="I184" i="7949" s="1"/>
  <c r="J184" i="7949" s="1"/>
  <c r="K184" i="7949" s="1"/>
  <c r="L184" i="7949" s="1"/>
  <c r="M184" i="7949" s="1"/>
  <c r="N184" i="7949" s="1"/>
  <c r="O184" i="7949" s="1"/>
  <c r="P184" i="7949" s="1"/>
  <c r="Q184" i="7949" s="1"/>
  <c r="R184" i="7949" s="1"/>
  <c r="S184" i="7949" s="1"/>
  <c r="T184" i="7949" s="1"/>
  <c r="U184" i="7949" s="1"/>
  <c r="V184" i="7949" s="1"/>
  <c r="W184" i="7949" s="1"/>
  <c r="M297" i="7949"/>
  <c r="N297" i="7949" s="1"/>
  <c r="O297" i="7949" s="1"/>
  <c r="P297" i="7949" s="1"/>
  <c r="Q297" i="7949" s="1"/>
  <c r="R297" i="7949" s="1"/>
  <c r="S297" i="7949" s="1"/>
  <c r="T297" i="7949" s="1"/>
  <c r="U297" i="7949" s="1"/>
  <c r="V297" i="7949" s="1"/>
  <c r="W297" i="7949" s="1"/>
  <c r="K511" i="7949"/>
  <c r="L511" i="7949" s="1"/>
  <c r="M511" i="7949" s="1"/>
  <c r="N511" i="7949" s="1"/>
  <c r="O511" i="7949" s="1"/>
  <c r="P511" i="7949" s="1"/>
  <c r="Q511" i="7949" s="1"/>
  <c r="R511" i="7949" s="1"/>
  <c r="S511" i="7949" s="1"/>
  <c r="T511" i="7949" s="1"/>
  <c r="U511" i="7949" s="1"/>
  <c r="V511" i="7949" s="1"/>
  <c r="W511" i="7949" s="1"/>
  <c r="N77" i="7950"/>
  <c r="N101" i="7950"/>
  <c r="N317" i="7950"/>
  <c r="N293" i="7950"/>
  <c r="F285" i="7950"/>
  <c r="G285" i="7950" s="1"/>
  <c r="H285" i="7950" s="1"/>
  <c r="I285" i="7950" s="1"/>
  <c r="J285" i="7950" s="1"/>
  <c r="K285" i="7950" s="1"/>
  <c r="L285" i="7950" s="1"/>
  <c r="M285" i="7950" s="1"/>
  <c r="K133" i="7949"/>
  <c r="L133" i="7949" s="1"/>
  <c r="M133" i="7949" s="1"/>
  <c r="N133" i="7949" s="1"/>
  <c r="O133" i="7949" s="1"/>
  <c r="P133" i="7949" s="1"/>
  <c r="Q133" i="7949" s="1"/>
  <c r="R133" i="7949" s="1"/>
  <c r="S133" i="7949" s="1"/>
  <c r="T133" i="7949" s="1"/>
  <c r="U133" i="7949" s="1"/>
  <c r="V133" i="7949" s="1"/>
  <c r="W133" i="7949" s="1"/>
  <c r="O137" i="7949"/>
  <c r="P137" i="7949" s="1"/>
  <c r="Q137" i="7949" s="1"/>
  <c r="R137" i="7949" s="1"/>
  <c r="S137" i="7949" s="1"/>
  <c r="T137" i="7949" s="1"/>
  <c r="U137" i="7949" s="1"/>
  <c r="V137" i="7949" s="1"/>
  <c r="W137" i="7949"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O372" i="7950"/>
  <c r="O348"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H724" i="7949"/>
  <c r="I724" i="7949" s="1"/>
  <c r="J724" i="7949" s="1"/>
  <c r="K724" i="7949" s="1"/>
  <c r="L724" i="7949" s="1"/>
  <c r="M724" i="7949" s="1"/>
  <c r="N724" i="7949" s="1"/>
  <c r="O724" i="7949" s="1"/>
  <c r="P724" i="7949" s="1"/>
  <c r="Q724" i="7949" s="1"/>
  <c r="R724" i="7949" s="1"/>
  <c r="S724" i="7949" s="1"/>
  <c r="T724" i="7949" s="1"/>
  <c r="U724" i="7949" s="1"/>
  <c r="V724" i="7949" s="1"/>
  <c r="W724" i="7949" s="1"/>
  <c r="M405" i="7949"/>
  <c r="N405" i="7949" s="1"/>
  <c r="O405" i="7949" s="1"/>
  <c r="P405" i="7949" s="1"/>
  <c r="Q405" i="7949" s="1"/>
  <c r="R405" i="7949" s="1"/>
  <c r="S405" i="7949" s="1"/>
  <c r="T405" i="7949" s="1"/>
  <c r="U405" i="7949" s="1"/>
  <c r="V405" i="7949" s="1"/>
  <c r="W405"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I641" i="7949"/>
  <c r="J641" i="7949" s="1"/>
  <c r="K641" i="7949" s="1"/>
  <c r="L641" i="7949" s="1"/>
  <c r="M641" i="7949" s="1"/>
  <c r="N641" i="7949" s="1"/>
  <c r="O641" i="7949" s="1"/>
  <c r="P641" i="7949" s="1"/>
  <c r="Q641" i="7949" s="1"/>
  <c r="R641" i="7949" s="1"/>
  <c r="S641" i="7949" s="1"/>
  <c r="T641" i="7949" s="1"/>
  <c r="U641" i="7949" s="1"/>
  <c r="V641" i="7949" s="1"/>
  <c r="W641" i="7949" s="1"/>
  <c r="I617" i="7949"/>
  <c r="G40" i="7950"/>
  <c r="H40" i="7950" s="1"/>
  <c r="I40" i="7950" s="1"/>
  <c r="J40" i="7950" s="1"/>
  <c r="K40" i="7950" s="1"/>
  <c r="L40" i="7950" s="1"/>
  <c r="M40" i="7950" s="1"/>
  <c r="N40" i="7950" s="1"/>
  <c r="O40" i="7950" s="1"/>
  <c r="P40" i="7950" s="1"/>
  <c r="Q40" i="7950" s="1"/>
  <c r="G16" i="7950"/>
  <c r="F393" i="7950"/>
  <c r="G393" i="7950" s="1"/>
  <c r="H393" i="7950" s="1"/>
  <c r="I393" i="7950" s="1"/>
  <c r="J393" i="7950" s="1"/>
  <c r="K393" i="7950" s="1"/>
  <c r="L393" i="7950" s="1"/>
  <c r="M393" i="7950" s="1"/>
  <c r="G634" i="7950"/>
  <c r="G610" i="7950"/>
  <c r="J48" i="7949"/>
  <c r="K48" i="7949" s="1"/>
  <c r="L48" i="7949" s="1"/>
  <c r="M48" i="7949" s="1"/>
  <c r="N48" i="7949" s="1"/>
  <c r="O48" i="7949" s="1"/>
  <c r="P48" i="7949" s="1"/>
  <c r="Q48" i="7949" s="1"/>
  <c r="R48" i="7949" s="1"/>
  <c r="S48" i="7949" s="1"/>
  <c r="T48" i="7949" s="1"/>
  <c r="U48" i="7949" s="1"/>
  <c r="V48" i="7949" s="1"/>
  <c r="W48" i="7949" s="1"/>
  <c r="J24" i="7949"/>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N244" i="7949"/>
  <c r="O244" i="7949" s="1"/>
  <c r="P244" i="7949" s="1"/>
  <c r="Q244" i="7949" s="1"/>
  <c r="R244" i="7949" s="1"/>
  <c r="S244" i="7949" s="1"/>
  <c r="T244" i="7949" s="1"/>
  <c r="U244" i="7949" s="1"/>
  <c r="V244" i="7949" s="1"/>
  <c r="W244" i="7949" s="1"/>
  <c r="K457" i="7949"/>
  <c r="L457" i="7949" s="1"/>
  <c r="M457" i="7949" s="1"/>
  <c r="N457" i="7949" s="1"/>
  <c r="O457" i="7949" s="1"/>
  <c r="P457" i="7949" s="1"/>
  <c r="Q457" i="7949" s="1"/>
  <c r="R457" i="7949" s="1"/>
  <c r="S457" i="7949" s="1"/>
  <c r="T457" i="7949" s="1"/>
  <c r="U457" i="7949" s="1"/>
  <c r="V457" i="7949" s="1"/>
  <c r="W457" i="7949"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N676" i="7949"/>
  <c r="O676" i="7949" s="1"/>
  <c r="P676" i="7949" s="1"/>
  <c r="Q676" i="7949" s="1"/>
  <c r="R676" i="7949" s="1"/>
  <c r="S676" i="7949" s="1"/>
  <c r="T676" i="7949" s="1"/>
  <c r="U676" i="7949" s="1"/>
  <c r="V676" i="7949" s="1"/>
  <c r="W676" i="7949" s="1"/>
  <c r="M694" i="7950"/>
  <c r="M670" i="7950"/>
  <c r="F717" i="7950"/>
  <c r="G717" i="7950" s="1"/>
  <c r="H717" i="7950" s="1"/>
  <c r="I717" i="7950" s="1"/>
  <c r="J717" i="7950" s="1"/>
  <c r="K717" i="7950" s="1"/>
  <c r="L717" i="7950" s="1"/>
  <c r="M717" i="7950" s="1"/>
  <c r="O191" i="7949"/>
  <c r="P191" i="7949" s="1"/>
  <c r="Q191" i="7949" s="1"/>
  <c r="R191" i="7949" s="1"/>
  <c r="S191" i="7949" s="1"/>
  <c r="T191" i="7949" s="1"/>
  <c r="U191" i="7949" s="1"/>
  <c r="V191" i="7949" s="1"/>
  <c r="W191" i="7949" s="1"/>
  <c r="K187" i="7949"/>
  <c r="L187" i="7949" s="1"/>
  <c r="M187" i="7949" s="1"/>
  <c r="N187" i="7949" s="1"/>
  <c r="O187" i="7949" s="1"/>
  <c r="P187" i="7949" s="1"/>
  <c r="Q187" i="7949" s="1"/>
  <c r="R187" i="7949" s="1"/>
  <c r="S187" i="7949" s="1"/>
  <c r="T187" i="7949" s="1"/>
  <c r="U187" i="7949" s="1"/>
  <c r="V187" i="7949" s="1"/>
  <c r="W187" i="7949" s="1"/>
  <c r="O299" i="7949"/>
  <c r="P299" i="7949" s="1"/>
  <c r="Q299" i="7949" s="1"/>
  <c r="R299" i="7949" s="1"/>
  <c r="S299" i="7949" s="1"/>
  <c r="T299" i="7949" s="1"/>
  <c r="U299" i="7949" s="1"/>
  <c r="V299" i="7949" s="1"/>
  <c r="W299"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N514" i="7949"/>
  <c r="O514" i="7949" s="1"/>
  <c r="P514" i="7949" s="1"/>
  <c r="Q514" i="7949" s="1"/>
  <c r="R514" i="7949" s="1"/>
  <c r="S514" i="7949" s="1"/>
  <c r="T514" i="7949" s="1"/>
  <c r="U514" i="7949" s="1"/>
  <c r="V514" i="7949" s="1"/>
  <c r="W514" i="7949" s="1"/>
  <c r="F69" i="7950"/>
  <c r="G69" i="7950" s="1"/>
  <c r="H69" i="7950" s="1"/>
  <c r="I69" i="7950" s="1"/>
  <c r="J69" i="7950" s="1"/>
  <c r="K69" i="7950" s="1"/>
  <c r="L69" i="7950" s="1"/>
  <c r="M69" i="7950" s="1"/>
  <c r="F501" i="7950"/>
  <c r="G501" i="7950" s="1"/>
  <c r="H501" i="7950" s="1"/>
  <c r="I501" i="7950" s="1"/>
  <c r="J501" i="7950" s="1"/>
  <c r="K501" i="7950" s="1"/>
  <c r="L501" i="7950" s="1"/>
  <c r="M501" i="7950" s="1"/>
  <c r="L134" i="7949"/>
  <c r="M134" i="7949" s="1"/>
  <c r="N134" i="7949" s="1"/>
  <c r="O134" i="7949" s="1"/>
  <c r="P134" i="7949" s="1"/>
  <c r="Q134" i="7949" s="1"/>
  <c r="R134" i="7949" s="1"/>
  <c r="S134" i="7949" s="1"/>
  <c r="T134" i="7949" s="1"/>
  <c r="U134" i="7949" s="1"/>
  <c r="V134" i="7949" s="1"/>
  <c r="W134" i="7949" s="1"/>
  <c r="L350" i="7949"/>
  <c r="M350" i="7949" s="1"/>
  <c r="N350" i="7949" s="1"/>
  <c r="O350" i="7949" s="1"/>
  <c r="P350" i="7949" s="1"/>
  <c r="Q350" i="7949" s="1"/>
  <c r="R350" i="7949" s="1"/>
  <c r="S350" i="7949" s="1"/>
  <c r="T350" i="7949" s="1"/>
  <c r="U350" i="7949" s="1"/>
  <c r="V350" i="7949" s="1"/>
  <c r="W350"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K128" i="7950"/>
  <c r="K152" i="7950"/>
  <c r="H365" i="7950"/>
  <c r="H341" i="7950"/>
  <c r="H400" i="7949"/>
  <c r="I400" i="7949" s="1"/>
  <c r="J400" i="7949" s="1"/>
  <c r="K400" i="7949" s="1"/>
  <c r="L400" i="7949" s="1"/>
  <c r="M400" i="7949" s="1"/>
  <c r="N400" i="7949" s="1"/>
  <c r="O400" i="7949" s="1"/>
  <c r="P400" i="7949" s="1"/>
  <c r="Q400" i="7949" s="1"/>
  <c r="R400" i="7949" s="1"/>
  <c r="S400" i="7949" s="1"/>
  <c r="T400" i="7949" s="1"/>
  <c r="U400" i="7949" s="1"/>
  <c r="V400" i="7949" s="1"/>
  <c r="W400" i="7949" s="1"/>
  <c r="L620" i="7949"/>
  <c r="M620" i="7949" s="1"/>
  <c r="N620" i="7949" s="1"/>
  <c r="O620" i="7949" s="1"/>
  <c r="P620" i="7949" s="1"/>
  <c r="Q620" i="7949" s="1"/>
  <c r="R620" i="7949" s="1"/>
  <c r="S620" i="7949" s="1"/>
  <c r="T620" i="7949" s="1"/>
  <c r="U620" i="7949" s="1"/>
  <c r="V620" i="7949" s="1"/>
  <c r="W620" i="7949" s="1"/>
  <c r="K44" i="7950"/>
  <c r="L44" i="7950" s="1"/>
  <c r="M44" i="7950" s="1"/>
  <c r="N44" i="7950" s="1"/>
  <c r="O44" i="7950" s="1"/>
  <c r="P44" i="7950" s="1"/>
  <c r="Q44" i="7950" s="1"/>
  <c r="R44" i="7950" s="1"/>
  <c r="S44" i="7950" s="1"/>
  <c r="K20" i="7950"/>
  <c r="N425" i="7950"/>
  <c r="N401" i="7950"/>
  <c r="H611" i="7950"/>
  <c r="H635" i="7950"/>
  <c r="O29" i="7949"/>
  <c r="P29" i="7949" s="1"/>
  <c r="Q29" i="7949" s="1"/>
  <c r="R29" i="7949" s="1"/>
  <c r="S29" i="7949" s="1"/>
  <c r="T29" i="7949" s="1"/>
  <c r="U29" i="7949" s="1"/>
  <c r="V29" i="7949" s="1"/>
  <c r="W29" i="7949" s="1"/>
  <c r="M243" i="7949"/>
  <c r="N243" i="7949" s="1"/>
  <c r="O243" i="7949" s="1"/>
  <c r="P243" i="7949" s="1"/>
  <c r="Q243" i="7949" s="1"/>
  <c r="R243" i="7949" s="1"/>
  <c r="S243" i="7949" s="1"/>
  <c r="T243" i="7949" s="1"/>
  <c r="U243" i="7949" s="1"/>
  <c r="V243" i="7949" s="1"/>
  <c r="W243" i="7949" s="1"/>
  <c r="N460" i="7949"/>
  <c r="O460" i="7949" s="1"/>
  <c r="P460" i="7949" s="1"/>
  <c r="Q460" i="7949" s="1"/>
  <c r="R460" i="7949" s="1"/>
  <c r="S460" i="7949" s="1"/>
  <c r="T460" i="7949" s="1"/>
  <c r="U460" i="7949" s="1"/>
  <c r="V460" i="7949" s="1"/>
  <c r="W460" i="7949" s="1"/>
  <c r="H670" i="7949"/>
  <c r="I670" i="7949" s="1"/>
  <c r="J670" i="7949" s="1"/>
  <c r="K670" i="7949" s="1"/>
  <c r="L670" i="7949" s="1"/>
  <c r="M670" i="7949" s="1"/>
  <c r="N670" i="7949" s="1"/>
  <c r="O670" i="7949" s="1"/>
  <c r="P670" i="7949" s="1"/>
  <c r="Q670" i="7949" s="1"/>
  <c r="R670" i="7949" s="1"/>
  <c r="S670" i="7949" s="1"/>
  <c r="T670" i="7949" s="1"/>
  <c r="U670" i="7949" s="1"/>
  <c r="V670" i="7949" s="1"/>
  <c r="W670" i="7949" s="1"/>
  <c r="K476" i="7950"/>
  <c r="K452" i="7950"/>
  <c r="K692" i="7950"/>
  <c r="K668" i="7950"/>
  <c r="M81" i="7949"/>
  <c r="N81" i="7949" s="1"/>
  <c r="O81" i="7949" s="1"/>
  <c r="P81" i="7949" s="1"/>
  <c r="Q81" i="7949" s="1"/>
  <c r="R81" i="7949" s="1"/>
  <c r="S81" i="7949" s="1"/>
  <c r="T81" i="7949" s="1"/>
  <c r="U81" i="7949" s="1"/>
  <c r="V81" i="7949" s="1"/>
  <c r="W8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M513" i="7949"/>
  <c r="N513" i="7949" s="1"/>
  <c r="O513" i="7949" s="1"/>
  <c r="P513" i="7949" s="1"/>
  <c r="Q513" i="7949" s="1"/>
  <c r="R513" i="7949" s="1"/>
  <c r="S513" i="7949" s="1"/>
  <c r="T513" i="7949" s="1"/>
  <c r="U513" i="7949" s="1"/>
  <c r="V513" i="7949" s="1"/>
  <c r="W513" i="7949" s="1"/>
  <c r="H95" i="7950"/>
  <c r="H71" i="7950"/>
  <c r="G502" i="7950"/>
  <c r="G526" i="7950"/>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K349" i="7949"/>
  <c r="L349" i="7949" s="1"/>
  <c r="M349" i="7949" s="1"/>
  <c r="N349" i="7949" s="1"/>
  <c r="O349" i="7949" s="1"/>
  <c r="P349" i="7949" s="1"/>
  <c r="Q349" i="7949" s="1"/>
  <c r="R349" i="7949" s="1"/>
  <c r="S349" i="7949" s="1"/>
  <c r="T349" i="7949" s="1"/>
  <c r="U349" i="7949" s="1"/>
  <c r="V349" i="7949" s="1"/>
  <c r="W349" i="7949" s="1"/>
  <c r="N347" i="7950"/>
  <c r="N371" i="7950"/>
  <c r="M729" i="7949"/>
  <c r="N729" i="7949" s="1"/>
  <c r="O729" i="7949" s="1"/>
  <c r="P729" i="7949" s="1"/>
  <c r="Q729" i="7949" s="1"/>
  <c r="R729" i="7949" s="1"/>
  <c r="S729" i="7949" s="1"/>
  <c r="T729" i="7949" s="1"/>
  <c r="U729" i="7949" s="1"/>
  <c r="V729" i="7949" s="1"/>
  <c r="W729" i="7949" s="1"/>
  <c r="N406" i="7949"/>
  <c r="O406" i="7949" s="1"/>
  <c r="P406" i="7949" s="1"/>
  <c r="Q406" i="7949" s="1"/>
  <c r="R406" i="7949" s="1"/>
  <c r="S406" i="7949" s="1"/>
  <c r="T406" i="7949" s="1"/>
  <c r="U406" i="7949" s="1"/>
  <c r="V406" i="7949" s="1"/>
  <c r="W406" i="7949" s="1"/>
  <c r="O407" i="7949"/>
  <c r="P407" i="7949" s="1"/>
  <c r="Q407" i="7949" s="1"/>
  <c r="R407" i="7949" s="1"/>
  <c r="S407" i="7949" s="1"/>
  <c r="T407" i="7949" s="1"/>
  <c r="U407" i="7949" s="1"/>
  <c r="V407" i="7949" s="1"/>
  <c r="W407" i="7949" s="1"/>
  <c r="J642" i="7949"/>
  <c r="K642" i="7949" s="1"/>
  <c r="L642" i="7949" s="1"/>
  <c r="M642" i="7949" s="1"/>
  <c r="N642" i="7949" s="1"/>
  <c r="O642" i="7949" s="1"/>
  <c r="P642" i="7949" s="1"/>
  <c r="Q642" i="7949" s="1"/>
  <c r="R642" i="7949" s="1"/>
  <c r="S642" i="7949" s="1"/>
  <c r="T642" i="7949" s="1"/>
  <c r="U642" i="7949" s="1"/>
  <c r="V642" i="7949" s="1"/>
  <c r="W642" i="7949" s="1"/>
  <c r="J618" i="7949"/>
  <c r="M22" i="7950"/>
  <c r="N22" i="7950" s="1"/>
  <c r="O22" i="7950" s="1"/>
  <c r="P22" i="7950" s="1"/>
  <c r="Q22" i="7950" s="1"/>
  <c r="R22" i="7950" s="1"/>
  <c r="S22" i="7950" s="1"/>
  <c r="T22" i="7950" s="1"/>
  <c r="U22" i="7950" s="1"/>
  <c r="V22" i="7950" s="1"/>
  <c r="W22" i="7950" s="1"/>
  <c r="F177" i="7950"/>
  <c r="G177" i="7950" s="1"/>
  <c r="H177" i="7950" s="1"/>
  <c r="I177" i="7950" s="1"/>
  <c r="J177" i="7950" s="1"/>
  <c r="K177" i="7950" s="1"/>
  <c r="L177" i="7950" s="1"/>
  <c r="M177" i="7950" s="1"/>
  <c r="M424" i="7950"/>
  <c r="M400" i="7950"/>
  <c r="F609" i="7950"/>
  <c r="G609" i="7950" s="1"/>
  <c r="H609" i="7950" s="1"/>
  <c r="I609" i="7950" s="1"/>
  <c r="J609" i="7950" s="1"/>
  <c r="K609" i="7950" s="1"/>
  <c r="L609" i="7950" s="1"/>
  <c r="M609" i="7950" s="1"/>
  <c r="H22" i="7949"/>
  <c r="I22" i="7949" s="1"/>
  <c r="J22" i="7949" s="1"/>
  <c r="K22" i="7949" s="1"/>
  <c r="L22" i="7949" s="1"/>
  <c r="M22" i="7949" s="1"/>
  <c r="N22" i="7949" s="1"/>
  <c r="O22" i="7949" s="1"/>
  <c r="P22" i="7949" s="1"/>
  <c r="Q22" i="7949" s="1"/>
  <c r="R22" i="7949" s="1"/>
  <c r="S22" i="7949" s="1"/>
  <c r="T22" i="7949" s="1"/>
  <c r="U22" i="7949" s="1"/>
  <c r="V22" i="7949" s="1"/>
  <c r="W22" i="7949" s="1"/>
  <c r="L242" i="7949"/>
  <c r="M242" i="7949" s="1"/>
  <c r="N242" i="7949" s="1"/>
  <c r="O242" i="7949" s="1"/>
  <c r="P242" i="7949" s="1"/>
  <c r="Q242" i="7949" s="1"/>
  <c r="R242" i="7949" s="1"/>
  <c r="S242" i="7949" s="1"/>
  <c r="T242" i="7949" s="1"/>
  <c r="U242" i="7949" s="1"/>
  <c r="V242" i="7949" s="1"/>
  <c r="W242" i="7949" s="1"/>
  <c r="O461" i="7949"/>
  <c r="P461" i="7949" s="1"/>
  <c r="Q461" i="7949" s="1"/>
  <c r="R461" i="7949" s="1"/>
  <c r="S461" i="7949" s="1"/>
  <c r="T461" i="7949" s="1"/>
  <c r="U461" i="7949" s="1"/>
  <c r="V461" i="7949" s="1"/>
  <c r="W461" i="7949" s="1"/>
  <c r="Q275" i="18"/>
  <c r="M478" i="7950"/>
  <c r="M454" i="7950"/>
  <c r="J667" i="7950"/>
  <c r="J691" i="7950"/>
  <c r="L669" i="7950"/>
  <c r="L693" i="7950"/>
  <c r="I533" i="7949"/>
  <c r="J533" i="7949" s="1"/>
  <c r="K533" i="7949" s="1"/>
  <c r="L533" i="7949" s="1"/>
  <c r="M533" i="7949" s="1"/>
  <c r="N533" i="7949" s="1"/>
  <c r="O533" i="7949" s="1"/>
  <c r="P533" i="7949" s="1"/>
  <c r="Q533" i="7949" s="1"/>
  <c r="R533" i="7949" s="1"/>
  <c r="S533" i="7949" s="1"/>
  <c r="T533" i="7949" s="1"/>
  <c r="U533" i="7949" s="1"/>
  <c r="V533" i="7949" s="1"/>
  <c r="W533" i="7949" s="1"/>
  <c r="I509" i="7949"/>
  <c r="I96" i="7950"/>
  <c r="I72" i="7950"/>
  <c r="G286" i="7950"/>
  <c r="G310" i="7950"/>
  <c r="J529" i="7950"/>
  <c r="J505" i="7950"/>
  <c r="I342" i="7950"/>
  <c r="I366" i="7950"/>
  <c r="L207" i="7950"/>
  <c r="L183" i="7950"/>
  <c r="J205" i="7950"/>
  <c r="J181" i="7950"/>
  <c r="I636" i="7950"/>
  <c r="I612" i="7950"/>
  <c r="K260" i="7950"/>
  <c r="K236" i="7950"/>
  <c r="I666" i="7950"/>
  <c r="I690" i="7950"/>
  <c r="G718" i="7950"/>
  <c r="G742" i="7950"/>
  <c r="M309" i="7950"/>
  <c r="K530" i="7950"/>
  <c r="K506" i="7950"/>
  <c r="O156" i="7950"/>
  <c r="O132" i="7950"/>
  <c r="L153" i="7950"/>
  <c r="L129" i="7950"/>
  <c r="I42" i="7950"/>
  <c r="J42" i="7950" s="1"/>
  <c r="K42" i="7950" s="1"/>
  <c r="L42" i="7950" s="1"/>
  <c r="M42" i="7950" s="1"/>
  <c r="N42" i="7950" s="1"/>
  <c r="O42" i="7950" s="1"/>
  <c r="P42" i="7950" s="1"/>
  <c r="Q42" i="7950" s="1"/>
  <c r="R42" i="7950" s="1"/>
  <c r="S42" i="7950" s="1"/>
  <c r="I18" i="7950"/>
  <c r="O186" i="7950"/>
  <c r="O210" i="7950"/>
  <c r="M417" i="7950"/>
  <c r="G394" i="7950"/>
  <c r="G418" i="7950"/>
  <c r="L237" i="7950"/>
  <c r="L261" i="7950"/>
  <c r="I474" i="7950"/>
  <c r="I450" i="7950"/>
  <c r="O456" i="7950"/>
  <c r="O480" i="7950"/>
  <c r="I744" i="7950"/>
  <c r="I720" i="7950"/>
  <c r="M741" i="7950"/>
  <c r="I101" i="7949"/>
  <c r="J101" i="7949" s="1"/>
  <c r="K101" i="7949" s="1"/>
  <c r="L101" i="7949" s="1"/>
  <c r="M101" i="7949" s="1"/>
  <c r="N101" i="7949" s="1"/>
  <c r="O101" i="7949" s="1"/>
  <c r="P101" i="7949" s="1"/>
  <c r="Q101" i="7949" s="1"/>
  <c r="R101" i="7949" s="1"/>
  <c r="S101" i="7949" s="1"/>
  <c r="T101" i="7949" s="1"/>
  <c r="U101" i="7949" s="1"/>
  <c r="V101" i="7949" s="1"/>
  <c r="W101" i="7949" s="1"/>
  <c r="I77" i="7949"/>
  <c r="M93" i="7950"/>
  <c r="J289" i="7950"/>
  <c r="J313" i="7950"/>
  <c r="M525" i="7950"/>
  <c r="I126" i="7950"/>
  <c r="I150" i="7950"/>
  <c r="J750" i="7949"/>
  <c r="K750" i="7949" s="1"/>
  <c r="L750" i="7949" s="1"/>
  <c r="M750" i="7949" s="1"/>
  <c r="N750" i="7949" s="1"/>
  <c r="O750" i="7949" s="1"/>
  <c r="P750" i="7949" s="1"/>
  <c r="Q750" i="7949" s="1"/>
  <c r="R750" i="7949" s="1"/>
  <c r="S750" i="7949" s="1"/>
  <c r="T750" i="7949" s="1"/>
  <c r="U750" i="7949" s="1"/>
  <c r="V750" i="7949" s="1"/>
  <c r="W750" i="7949" s="1"/>
  <c r="J726" i="7949"/>
  <c r="J426" i="7949"/>
  <c r="K426" i="7949" s="1"/>
  <c r="L426" i="7949" s="1"/>
  <c r="M426" i="7949" s="1"/>
  <c r="N426" i="7949" s="1"/>
  <c r="O426" i="7949" s="1"/>
  <c r="P426" i="7949" s="1"/>
  <c r="Q426" i="7949" s="1"/>
  <c r="R426" i="7949" s="1"/>
  <c r="S426" i="7949" s="1"/>
  <c r="T426" i="7949" s="1"/>
  <c r="U426" i="7949" s="1"/>
  <c r="V426" i="7949" s="1"/>
  <c r="W426" i="7949" s="1"/>
  <c r="J402" i="7949"/>
  <c r="H203" i="7950"/>
  <c r="H179" i="7950"/>
  <c r="H419" i="7950"/>
  <c r="H395" i="7950"/>
  <c r="J480" i="7949"/>
  <c r="K480" i="7949" s="1"/>
  <c r="L480" i="7949" s="1"/>
  <c r="M480" i="7949" s="1"/>
  <c r="N480" i="7949" s="1"/>
  <c r="O480" i="7949" s="1"/>
  <c r="P480" i="7949" s="1"/>
  <c r="Q480" i="7949" s="1"/>
  <c r="R480" i="7949" s="1"/>
  <c r="S480" i="7949" s="1"/>
  <c r="T480" i="7949" s="1"/>
  <c r="U480" i="7949" s="1"/>
  <c r="V480" i="7949" s="1"/>
  <c r="W480" i="7949" s="1"/>
  <c r="J456" i="7949"/>
  <c r="I234" i="7950"/>
  <c r="I258" i="7950"/>
  <c r="L723" i="7950"/>
  <c r="L747" i="7950"/>
  <c r="I209" i="7949"/>
  <c r="J209" i="7949" s="1"/>
  <c r="K209" i="7949" s="1"/>
  <c r="L209" i="7949" s="1"/>
  <c r="M209" i="7949" s="1"/>
  <c r="N209" i="7949" s="1"/>
  <c r="O209" i="7949" s="1"/>
  <c r="P209" i="7949" s="1"/>
  <c r="Q209" i="7949" s="1"/>
  <c r="R209" i="7949" s="1"/>
  <c r="S209" i="7949" s="1"/>
  <c r="T209" i="7949" s="1"/>
  <c r="U209" i="7949" s="1"/>
  <c r="V209" i="7949" s="1"/>
  <c r="W209" i="7949" s="1"/>
  <c r="I185" i="7949"/>
  <c r="H311" i="7950"/>
  <c r="H287" i="7950"/>
  <c r="I371" i="7949"/>
  <c r="J371" i="7949" s="1"/>
  <c r="K371" i="7949" s="1"/>
  <c r="L371" i="7949" s="1"/>
  <c r="M371" i="7949" s="1"/>
  <c r="N371" i="7949" s="1"/>
  <c r="O371" i="7949" s="1"/>
  <c r="P371" i="7949" s="1"/>
  <c r="Q371" i="7949" s="1"/>
  <c r="R371" i="7949" s="1"/>
  <c r="S371" i="7949" s="1"/>
  <c r="T371" i="7949" s="1"/>
  <c r="U371" i="7949" s="1"/>
  <c r="V371" i="7949" s="1"/>
  <c r="W371" i="7949" s="1"/>
  <c r="I347" i="7949"/>
  <c r="J127" i="7950"/>
  <c r="J151" i="7950"/>
  <c r="M201" i="7950"/>
  <c r="M633" i="7950"/>
  <c r="G256" i="7950"/>
  <c r="G232" i="7950"/>
  <c r="J293" i="7949" l="1"/>
  <c r="K293" i="7949" s="1"/>
  <c r="L293" i="7949" s="1"/>
  <c r="M293" i="7949" s="1"/>
  <c r="N293" i="7949" s="1"/>
  <c r="O293" i="7949" s="1"/>
  <c r="P293" i="7949" s="1"/>
  <c r="Q293" i="7949" s="1"/>
  <c r="R293" i="7949" s="1"/>
  <c r="S293" i="7949" s="1"/>
  <c r="T293" i="7949" s="1"/>
  <c r="U293" i="7949" s="1"/>
  <c r="V293" i="7949" s="1"/>
  <c r="W293" i="7949" s="1"/>
  <c r="K132" i="7949"/>
  <c r="L132" i="7949" s="1"/>
  <c r="M132" i="7949" s="1"/>
  <c r="N132" i="7949" s="1"/>
  <c r="O132" i="7949" s="1"/>
  <c r="P132" i="7949" s="1"/>
  <c r="Q132" i="7949" s="1"/>
  <c r="R132" i="7949" s="1"/>
  <c r="S132" i="7949" s="1"/>
  <c r="T132" i="7949" s="1"/>
  <c r="U132" i="7949" s="1"/>
  <c r="V132" i="7949" s="1"/>
  <c r="W132" i="7949" s="1"/>
  <c r="K672" i="7949"/>
  <c r="L672" i="7949" s="1"/>
  <c r="M672" i="7949" s="1"/>
  <c r="N672" i="7949" s="1"/>
  <c r="O672" i="7949" s="1"/>
  <c r="P672" i="7949" s="1"/>
  <c r="Q672" i="7949" s="1"/>
  <c r="R672" i="7949" s="1"/>
  <c r="S672" i="7949" s="1"/>
  <c r="T672" i="7949" s="1"/>
  <c r="U672" i="7949" s="1"/>
  <c r="V672" i="7949" s="1"/>
  <c r="W672" i="7949" s="1"/>
  <c r="K19" i="7950"/>
  <c r="L19" i="7950" s="1"/>
  <c r="M19" i="7950" s="1"/>
  <c r="N19" i="7950" s="1"/>
  <c r="O19" i="7950" s="1"/>
  <c r="P19" i="7950" s="1"/>
  <c r="Q19" i="7950" s="1"/>
  <c r="R19" i="7950" s="1"/>
  <c r="S19" i="7950" s="1"/>
  <c r="T19" i="7950" s="1"/>
  <c r="U19" i="7950" s="1"/>
  <c r="J401" i="7949"/>
  <c r="K401" i="7949" s="1"/>
  <c r="L401" i="7949" s="1"/>
  <c r="M401" i="7949" s="1"/>
  <c r="N401" i="7949" s="1"/>
  <c r="O401" i="7949" s="1"/>
  <c r="P401" i="7949" s="1"/>
  <c r="Q401" i="7949" s="1"/>
  <c r="R401" i="7949" s="1"/>
  <c r="S401" i="7949" s="1"/>
  <c r="T401" i="7949" s="1"/>
  <c r="U401" i="7949" s="1"/>
  <c r="V401" i="7949" s="1"/>
  <c r="W401" i="7949" s="1"/>
  <c r="K240" i="7949"/>
  <c r="L240" i="7949" s="1"/>
  <c r="M240" i="7949" s="1"/>
  <c r="N240" i="7949" s="1"/>
  <c r="O240" i="7949" s="1"/>
  <c r="P240" i="7949" s="1"/>
  <c r="Q240" i="7949" s="1"/>
  <c r="R240" i="7949" s="1"/>
  <c r="S240" i="7949" s="1"/>
  <c r="T240" i="7949" s="1"/>
  <c r="U240" i="7949" s="1"/>
  <c r="V240" i="7949" s="1"/>
  <c r="W240" i="7949" s="1"/>
  <c r="J725" i="7949"/>
  <c r="K725" i="7949" s="1"/>
  <c r="L725" i="7949" s="1"/>
  <c r="M725" i="7949" s="1"/>
  <c r="N725" i="7949" s="1"/>
  <c r="O725" i="7949" s="1"/>
  <c r="P725" i="7949" s="1"/>
  <c r="Q725" i="7949" s="1"/>
  <c r="R725" i="7949" s="1"/>
  <c r="S725" i="7949" s="1"/>
  <c r="T725" i="7949" s="1"/>
  <c r="U725" i="7949" s="1"/>
  <c r="V725" i="7949" s="1"/>
  <c r="W725" i="7949" s="1"/>
  <c r="K294" i="7949"/>
  <c r="L294" i="7949" s="1"/>
  <c r="M294" i="7949" s="1"/>
  <c r="N294" i="7949" s="1"/>
  <c r="O294" i="7949" s="1"/>
  <c r="P294" i="7949" s="1"/>
  <c r="Q294" i="7949" s="1"/>
  <c r="R294" i="7949" s="1"/>
  <c r="S294" i="7949" s="1"/>
  <c r="T294" i="7949" s="1"/>
  <c r="U294" i="7949" s="1"/>
  <c r="V294" i="7949" s="1"/>
  <c r="W294" i="7949" s="1"/>
  <c r="L20" i="7950"/>
  <c r="M20" i="7950" s="1"/>
  <c r="N20" i="7950" s="1"/>
  <c r="O20" i="7950" s="1"/>
  <c r="P20" i="7950" s="1"/>
  <c r="Q20" i="7950" s="1"/>
  <c r="R20" i="7950" s="1"/>
  <c r="S20" i="7950" s="1"/>
  <c r="T20" i="7950" s="1"/>
  <c r="K618" i="7949"/>
  <c r="L618" i="7949" s="1"/>
  <c r="M618" i="7949" s="1"/>
  <c r="N618" i="7949" s="1"/>
  <c r="O618" i="7949" s="1"/>
  <c r="P618" i="7949" s="1"/>
  <c r="Q618" i="7949" s="1"/>
  <c r="R618" i="7949" s="1"/>
  <c r="S618" i="7949" s="1"/>
  <c r="T618" i="7949" s="1"/>
  <c r="U618" i="7949" s="1"/>
  <c r="V618" i="7949" s="1"/>
  <c r="W618" i="7949" s="1"/>
  <c r="J617" i="7949"/>
  <c r="K617" i="7949" s="1"/>
  <c r="L617" i="7949" s="1"/>
  <c r="M617" i="7949" s="1"/>
  <c r="N617" i="7949" s="1"/>
  <c r="O617" i="7949" s="1"/>
  <c r="P617" i="7949" s="1"/>
  <c r="Q617" i="7949" s="1"/>
  <c r="R617" i="7949" s="1"/>
  <c r="S617" i="7949" s="1"/>
  <c r="T617" i="7949" s="1"/>
  <c r="U617" i="7949" s="1"/>
  <c r="V617" i="7949" s="1"/>
  <c r="W617" i="7949" s="1"/>
  <c r="J347" i="7949"/>
  <c r="K347" i="7949" s="1"/>
  <c r="L347" i="7949" s="1"/>
  <c r="M347" i="7949" s="1"/>
  <c r="N347" i="7949" s="1"/>
  <c r="O347" i="7949" s="1"/>
  <c r="P347" i="7949" s="1"/>
  <c r="Q347" i="7949" s="1"/>
  <c r="R347" i="7949" s="1"/>
  <c r="S347" i="7949" s="1"/>
  <c r="T347" i="7949" s="1"/>
  <c r="U347" i="7949" s="1"/>
  <c r="V347" i="7949" s="1"/>
  <c r="W347" i="7949" s="1"/>
  <c r="J185" i="7949"/>
  <c r="K185" i="7949" s="1"/>
  <c r="L185" i="7949" s="1"/>
  <c r="M185" i="7949" s="1"/>
  <c r="N185" i="7949" s="1"/>
  <c r="O185" i="7949" s="1"/>
  <c r="P185" i="7949" s="1"/>
  <c r="Q185" i="7949" s="1"/>
  <c r="R185" i="7949" s="1"/>
  <c r="S185" i="7949" s="1"/>
  <c r="T185" i="7949" s="1"/>
  <c r="U185" i="7949" s="1"/>
  <c r="V185" i="7949" s="1"/>
  <c r="W185" i="7949" s="1"/>
  <c r="K402" i="7949"/>
  <c r="L402" i="7949" s="1"/>
  <c r="M402" i="7949" s="1"/>
  <c r="N402" i="7949" s="1"/>
  <c r="O402" i="7949" s="1"/>
  <c r="P402" i="7949" s="1"/>
  <c r="Q402" i="7949" s="1"/>
  <c r="R402" i="7949" s="1"/>
  <c r="S402" i="7949" s="1"/>
  <c r="T402" i="7949" s="1"/>
  <c r="U402" i="7949" s="1"/>
  <c r="V402" i="7949" s="1"/>
  <c r="W402" i="7949" s="1"/>
  <c r="K78" i="7949"/>
  <c r="L78" i="7949" s="1"/>
  <c r="M78" i="7949" s="1"/>
  <c r="N78" i="7949" s="1"/>
  <c r="O78" i="7949" s="1"/>
  <c r="P78" i="7949" s="1"/>
  <c r="Q78" i="7949" s="1"/>
  <c r="R78" i="7949" s="1"/>
  <c r="S78" i="7949" s="1"/>
  <c r="T78" i="7949" s="1"/>
  <c r="U78" i="7949" s="1"/>
  <c r="V78" i="7949" s="1"/>
  <c r="W78" i="7949" s="1"/>
  <c r="J239" i="7949"/>
  <c r="K239" i="7949" s="1"/>
  <c r="L239" i="7949" s="1"/>
  <c r="M239" i="7949" s="1"/>
  <c r="N239" i="7949" s="1"/>
  <c r="O239" i="7949" s="1"/>
  <c r="P239" i="7949" s="1"/>
  <c r="Q239" i="7949" s="1"/>
  <c r="R239" i="7949" s="1"/>
  <c r="S239" i="7949" s="1"/>
  <c r="T239" i="7949" s="1"/>
  <c r="U239" i="7949" s="1"/>
  <c r="V239" i="7949" s="1"/>
  <c r="W239" i="7949" s="1"/>
  <c r="Q257" i="7944"/>
  <c r="J18" i="7950"/>
  <c r="K18" i="7950" s="1"/>
  <c r="L18" i="7950" s="1"/>
  <c r="M18" i="7950" s="1"/>
  <c r="N18" i="7950" s="1"/>
  <c r="O18" i="7950" s="1"/>
  <c r="P18" i="7950" s="1"/>
  <c r="Q18" i="7950" s="1"/>
  <c r="R18" i="7950" s="1"/>
  <c r="S18" i="7950" s="1"/>
  <c r="T18" i="7950" s="1"/>
  <c r="G74" i="7949"/>
  <c r="H74" i="7949" s="1"/>
  <c r="I74" i="7949" s="1"/>
  <c r="J74" i="7949" s="1"/>
  <c r="K74" i="7949" s="1"/>
  <c r="L74" i="7949" s="1"/>
  <c r="M74" i="7949" s="1"/>
  <c r="N74" i="7949" s="1"/>
  <c r="O74" i="7949" s="1"/>
  <c r="P74" i="7949" s="1"/>
  <c r="Q74" i="7949" s="1"/>
  <c r="R74" i="7949" s="1"/>
  <c r="S74" i="7949" s="1"/>
  <c r="T74" i="7949" s="1"/>
  <c r="U74" i="7949" s="1"/>
  <c r="V74" i="7949" s="1"/>
  <c r="W74" i="7949" s="1"/>
  <c r="K24" i="7949"/>
  <c r="L24" i="7949" s="1"/>
  <c r="M24" i="7949" s="1"/>
  <c r="N24" i="7949" s="1"/>
  <c r="O24" i="7949" s="1"/>
  <c r="P24" i="7949" s="1"/>
  <c r="Q24" i="7949" s="1"/>
  <c r="R24" i="7949" s="1"/>
  <c r="S24" i="7949" s="1"/>
  <c r="T24" i="7949" s="1"/>
  <c r="U24" i="7949" s="1"/>
  <c r="V24" i="7949" s="1"/>
  <c r="W24" i="7949" s="1"/>
  <c r="I17" i="7950"/>
  <c r="J17" i="7950" s="1"/>
  <c r="K17" i="7950" s="1"/>
  <c r="L17" i="7950" s="1"/>
  <c r="M17" i="7950" s="1"/>
  <c r="N17" i="7950" s="1"/>
  <c r="O17" i="7950" s="1"/>
  <c r="P17" i="7950" s="1"/>
  <c r="Q17" i="7950" s="1"/>
  <c r="R17" i="7950" s="1"/>
  <c r="S17" i="7950" s="1"/>
  <c r="K186" i="7949"/>
  <c r="L186" i="7949" s="1"/>
  <c r="M186" i="7949" s="1"/>
  <c r="N186" i="7949" s="1"/>
  <c r="O186" i="7949" s="1"/>
  <c r="P186" i="7949" s="1"/>
  <c r="Q186" i="7949" s="1"/>
  <c r="R186" i="7949" s="1"/>
  <c r="S186" i="7949" s="1"/>
  <c r="T186" i="7949" s="1"/>
  <c r="U186" i="7949" s="1"/>
  <c r="V186" i="7949" s="1"/>
  <c r="W186" i="7949" s="1"/>
  <c r="K510" i="7949"/>
  <c r="L510" i="7949" s="1"/>
  <c r="M510" i="7949" s="1"/>
  <c r="N510" i="7949" s="1"/>
  <c r="O510" i="7949" s="1"/>
  <c r="P510" i="7949" s="1"/>
  <c r="Q510" i="7949" s="1"/>
  <c r="R510" i="7949" s="1"/>
  <c r="S510" i="7949" s="1"/>
  <c r="T510" i="7949" s="1"/>
  <c r="U510" i="7949" s="1"/>
  <c r="V510" i="7949" s="1"/>
  <c r="W510" i="7949" s="1"/>
  <c r="K348" i="7949"/>
  <c r="L348" i="7949" s="1"/>
  <c r="M348" i="7949" s="1"/>
  <c r="N348" i="7949" s="1"/>
  <c r="O348" i="7949" s="1"/>
  <c r="P348" i="7949" s="1"/>
  <c r="Q348" i="7949" s="1"/>
  <c r="R348" i="7949" s="1"/>
  <c r="S348" i="7949" s="1"/>
  <c r="T348" i="7949" s="1"/>
  <c r="U348" i="7949" s="1"/>
  <c r="V348" i="7949" s="1"/>
  <c r="W348" i="7949" s="1"/>
  <c r="J509" i="7949"/>
  <c r="K509" i="7949" s="1"/>
  <c r="L509" i="7949" s="1"/>
  <c r="M509" i="7949" s="1"/>
  <c r="N509" i="7949" s="1"/>
  <c r="O509" i="7949" s="1"/>
  <c r="P509" i="7949" s="1"/>
  <c r="Q509" i="7949" s="1"/>
  <c r="R509" i="7949" s="1"/>
  <c r="S509" i="7949" s="1"/>
  <c r="T509" i="7949" s="1"/>
  <c r="U509" i="7949" s="1"/>
  <c r="V509" i="7949" s="1"/>
  <c r="W509" i="7949" s="1"/>
  <c r="J455" i="7949"/>
  <c r="K455" i="7949" s="1"/>
  <c r="L455" i="7949" s="1"/>
  <c r="M455" i="7949" s="1"/>
  <c r="N455" i="7949" s="1"/>
  <c r="O455" i="7949" s="1"/>
  <c r="P455" i="7949" s="1"/>
  <c r="Q455" i="7949" s="1"/>
  <c r="R455" i="7949" s="1"/>
  <c r="S455" i="7949" s="1"/>
  <c r="T455" i="7949" s="1"/>
  <c r="U455" i="7949" s="1"/>
  <c r="V455" i="7949" s="1"/>
  <c r="W455" i="7949" s="1"/>
  <c r="J720" i="7950"/>
  <c r="J744" i="7950"/>
  <c r="M129" i="7950"/>
  <c r="M153" i="7950"/>
  <c r="M207" i="7950"/>
  <c r="M183" i="7950"/>
  <c r="J666" i="7950"/>
  <c r="J690" i="7950"/>
  <c r="N633" i="7950"/>
  <c r="N609" i="7950"/>
  <c r="I395" i="7950"/>
  <c r="I419" i="7950"/>
  <c r="N525" i="7950"/>
  <c r="N501" i="7950"/>
  <c r="N741" i="7950"/>
  <c r="N717" i="7950"/>
  <c r="T42" i="7950"/>
  <c r="P156" i="7950"/>
  <c r="Q156" i="7950" s="1"/>
  <c r="R156" i="7950" s="1"/>
  <c r="P132" i="7950"/>
  <c r="L236" i="7950"/>
  <c r="L260" i="7950"/>
  <c r="N400" i="7950"/>
  <c r="N424" i="7950"/>
  <c r="O347" i="7950"/>
  <c r="O371" i="7950"/>
  <c r="L692" i="7950"/>
  <c r="L668" i="7950"/>
  <c r="P348" i="7950"/>
  <c r="P372" i="7950"/>
  <c r="K451" i="7950"/>
  <c r="K475" i="7950"/>
  <c r="N130" i="7950"/>
  <c r="N154" i="7950"/>
  <c r="L398" i="7950"/>
  <c r="L422" i="7950"/>
  <c r="P642" i="7950"/>
  <c r="P618" i="7950"/>
  <c r="J204" i="7950"/>
  <c r="J180" i="7950"/>
  <c r="M315" i="7950"/>
  <c r="M291" i="7950"/>
  <c r="N231" i="7950"/>
  <c r="N255" i="7950"/>
  <c r="N76" i="7950"/>
  <c r="N100" i="7950"/>
  <c r="H340" i="7950"/>
  <c r="H364" i="7950"/>
  <c r="I743" i="7950"/>
  <c r="I719" i="7950"/>
  <c r="P264" i="7950"/>
  <c r="P240" i="7950"/>
  <c r="J23" i="7949"/>
  <c r="K23" i="7949" s="1"/>
  <c r="L23" i="7949" s="1"/>
  <c r="M23" i="7949" s="1"/>
  <c r="N23" i="7949" s="1"/>
  <c r="O23" i="7949" s="1"/>
  <c r="P23" i="7949" s="1"/>
  <c r="Q23" i="7949" s="1"/>
  <c r="R23" i="7949" s="1"/>
  <c r="S23" i="7949" s="1"/>
  <c r="T23" i="7949" s="1"/>
  <c r="U23" i="7949" s="1"/>
  <c r="V23" i="7949" s="1"/>
  <c r="W23" i="7949" s="1"/>
  <c r="P426" i="7950"/>
  <c r="P402" i="7950"/>
  <c r="L344" i="7950"/>
  <c r="L368" i="7950"/>
  <c r="L746" i="7950"/>
  <c r="L722" i="7950"/>
  <c r="M21" i="7950"/>
  <c r="N21" i="7950" s="1"/>
  <c r="O21" i="7950" s="1"/>
  <c r="P21" i="7950" s="1"/>
  <c r="Q21" i="7950" s="1"/>
  <c r="R21" i="7950" s="1"/>
  <c r="S21" i="7950" s="1"/>
  <c r="T21" i="7950" s="1"/>
  <c r="U21" i="7950" s="1"/>
  <c r="M123" i="7950"/>
  <c r="M147" i="7950"/>
  <c r="H232" i="7950"/>
  <c r="H256" i="7950"/>
  <c r="N177" i="7950"/>
  <c r="N201" i="7950"/>
  <c r="I287" i="7950"/>
  <c r="I311" i="7950"/>
  <c r="L530" i="7950"/>
  <c r="L506" i="7950"/>
  <c r="H286" i="7950"/>
  <c r="H310" i="7950"/>
  <c r="N93" i="7950"/>
  <c r="N69" i="7950"/>
  <c r="K181" i="7950"/>
  <c r="K205" i="7950"/>
  <c r="K529" i="7950"/>
  <c r="K505" i="7950"/>
  <c r="M669" i="7950"/>
  <c r="M693" i="7950"/>
  <c r="I95" i="7950"/>
  <c r="I71" i="7950"/>
  <c r="T44" i="7950"/>
  <c r="K151" i="7950"/>
  <c r="K127" i="7950"/>
  <c r="M747" i="7950"/>
  <c r="M723" i="7950"/>
  <c r="K456" i="7949"/>
  <c r="L456" i="7949" s="1"/>
  <c r="M456" i="7949" s="1"/>
  <c r="N456" i="7949" s="1"/>
  <c r="O456" i="7949" s="1"/>
  <c r="P456" i="7949" s="1"/>
  <c r="Q456" i="7949" s="1"/>
  <c r="R456" i="7949" s="1"/>
  <c r="S456" i="7949" s="1"/>
  <c r="T456" i="7949" s="1"/>
  <c r="U456" i="7949" s="1"/>
  <c r="V456" i="7949" s="1"/>
  <c r="W456" i="7949" s="1"/>
  <c r="K726" i="7949"/>
  <c r="L726" i="7949" s="1"/>
  <c r="M726" i="7949" s="1"/>
  <c r="N726" i="7949" s="1"/>
  <c r="O726" i="7949" s="1"/>
  <c r="P726" i="7949" s="1"/>
  <c r="Q726" i="7949" s="1"/>
  <c r="R726" i="7949" s="1"/>
  <c r="S726" i="7949" s="1"/>
  <c r="T726" i="7949" s="1"/>
  <c r="U726" i="7949" s="1"/>
  <c r="V726" i="7949" s="1"/>
  <c r="W726" i="7949" s="1"/>
  <c r="J126" i="7950"/>
  <c r="J150" i="7950"/>
  <c r="K289" i="7950"/>
  <c r="K313" i="7950"/>
  <c r="J77" i="7949"/>
  <c r="K77" i="7949" s="1"/>
  <c r="L77" i="7949" s="1"/>
  <c r="M77" i="7949" s="1"/>
  <c r="N77" i="7949" s="1"/>
  <c r="O77" i="7949" s="1"/>
  <c r="P77" i="7949" s="1"/>
  <c r="Q77" i="7949" s="1"/>
  <c r="R77" i="7949" s="1"/>
  <c r="S77" i="7949" s="1"/>
  <c r="T77" i="7949" s="1"/>
  <c r="U77" i="7949" s="1"/>
  <c r="V77" i="7949" s="1"/>
  <c r="W77" i="7949" s="1"/>
  <c r="H394" i="7950"/>
  <c r="H418" i="7950"/>
  <c r="P186" i="7950"/>
  <c r="P210" i="7950"/>
  <c r="N309" i="7950"/>
  <c r="N285" i="7950"/>
  <c r="H718" i="7950"/>
  <c r="H742" i="7950"/>
  <c r="J366" i="7950"/>
  <c r="J342" i="7950"/>
  <c r="J72" i="7950"/>
  <c r="J96" i="7950"/>
  <c r="N454" i="7950"/>
  <c r="N478" i="7950"/>
  <c r="H502" i="7950"/>
  <c r="H526" i="7950"/>
  <c r="H16" i="7950"/>
  <c r="I16" i="7950" s="1"/>
  <c r="J16" i="7950" s="1"/>
  <c r="K16" i="7950" s="1"/>
  <c r="L16" i="7950" s="1"/>
  <c r="M16" i="7950" s="1"/>
  <c r="N16" i="7950" s="1"/>
  <c r="O16" i="7950" s="1"/>
  <c r="P16" i="7950" s="1"/>
  <c r="Q16" i="7950" s="1"/>
  <c r="R16" i="7950" s="1"/>
  <c r="N447" i="7950"/>
  <c r="N471" i="7950"/>
  <c r="J671" i="7949"/>
  <c r="K671" i="7949" s="1"/>
  <c r="L671" i="7949" s="1"/>
  <c r="M671" i="7949" s="1"/>
  <c r="N671" i="7949" s="1"/>
  <c r="O671" i="7949" s="1"/>
  <c r="P671" i="7949" s="1"/>
  <c r="Q671" i="7949" s="1"/>
  <c r="R671" i="7949" s="1"/>
  <c r="S671" i="7949" s="1"/>
  <c r="T671" i="7949" s="1"/>
  <c r="U671" i="7949" s="1"/>
  <c r="V671" i="7949" s="1"/>
  <c r="W671" i="7949" s="1"/>
  <c r="L98" i="7950"/>
  <c r="L74" i="7950"/>
  <c r="N238" i="7950"/>
  <c r="N262" i="7950"/>
  <c r="K397" i="7950"/>
  <c r="K421" i="7950"/>
  <c r="S41" i="7950"/>
  <c r="N508" i="7950"/>
  <c r="N532" i="7950"/>
  <c r="K259" i="7950"/>
  <c r="K235" i="7950"/>
  <c r="M369" i="7950"/>
  <c r="N369" i="7950" s="1"/>
  <c r="O369" i="7950" s="1"/>
  <c r="M345" i="7950"/>
  <c r="P534" i="7950"/>
  <c r="P318" i="7950"/>
  <c r="P294" i="7950"/>
  <c r="I665" i="7950"/>
  <c r="I689" i="7950"/>
  <c r="I233" i="7950"/>
  <c r="I257" i="7950"/>
  <c r="K367" i="7950"/>
  <c r="K343" i="7950"/>
  <c r="H664" i="7950"/>
  <c r="H688" i="7950"/>
  <c r="J288" i="7950"/>
  <c r="J312" i="7950"/>
  <c r="O749" i="7950"/>
  <c r="O725" i="7950"/>
  <c r="I449" i="7950"/>
  <c r="I473" i="7950"/>
  <c r="H70" i="7950"/>
  <c r="H94" i="7950"/>
  <c r="H472" i="7950"/>
  <c r="H448" i="7950"/>
  <c r="I125" i="7950"/>
  <c r="I149" i="7950"/>
  <c r="J131" i="7949"/>
  <c r="K131" i="7949" s="1"/>
  <c r="L131" i="7949" s="1"/>
  <c r="M131" i="7949" s="1"/>
  <c r="N131" i="7949" s="1"/>
  <c r="O131" i="7949" s="1"/>
  <c r="P131" i="7949" s="1"/>
  <c r="Q131" i="7949" s="1"/>
  <c r="R131" i="7949" s="1"/>
  <c r="S131" i="7949" s="1"/>
  <c r="T131" i="7949" s="1"/>
  <c r="U131" i="7949" s="1"/>
  <c r="V131" i="7949" s="1"/>
  <c r="W131" i="7949" s="1"/>
  <c r="O239" i="7950"/>
  <c r="O263" i="7950"/>
  <c r="U45" i="7950"/>
  <c r="M477" i="7950"/>
  <c r="M453" i="7950"/>
  <c r="I203" i="7950"/>
  <c r="I179" i="7950"/>
  <c r="K691" i="7950"/>
  <c r="K667" i="7950"/>
  <c r="L452" i="7950"/>
  <c r="L476" i="7950"/>
  <c r="O401" i="7950"/>
  <c r="O425" i="7950"/>
  <c r="I341" i="7950"/>
  <c r="I365" i="7950"/>
  <c r="N694" i="7950"/>
  <c r="N670" i="7950"/>
  <c r="R40" i="7950"/>
  <c r="O101" i="7950"/>
  <c r="O77" i="7950"/>
  <c r="P726" i="7950"/>
  <c r="P750" i="7950"/>
  <c r="N363" i="7950"/>
  <c r="N339" i="7950"/>
  <c r="L614" i="7950"/>
  <c r="L638" i="7950"/>
  <c r="L182" i="7950"/>
  <c r="L206" i="7950"/>
  <c r="M99" i="7950"/>
  <c r="M75" i="7950"/>
  <c r="K721" i="7950"/>
  <c r="K745" i="7950"/>
  <c r="P78" i="7950"/>
  <c r="P102" i="7950"/>
  <c r="N184" i="7950"/>
  <c r="N208" i="7950"/>
  <c r="N370" i="7950"/>
  <c r="N346" i="7950"/>
  <c r="H148" i="7950"/>
  <c r="H124" i="7950"/>
  <c r="M639" i="7950"/>
  <c r="M615" i="7950"/>
  <c r="H202" i="7950"/>
  <c r="H178" i="7950"/>
  <c r="O155" i="7950"/>
  <c r="P155" i="7950" s="1"/>
  <c r="Q155" i="7950" s="1"/>
  <c r="O131" i="7950"/>
  <c r="N640" i="7950"/>
  <c r="N616" i="7950"/>
  <c r="L290" i="7950"/>
  <c r="L314" i="7950"/>
  <c r="K73" i="7950"/>
  <c r="K97" i="7950"/>
  <c r="J396" i="7950"/>
  <c r="J420" i="7950"/>
  <c r="J450" i="7950"/>
  <c r="J474" i="7950"/>
  <c r="J612" i="7950"/>
  <c r="J636" i="7950"/>
  <c r="J234" i="7950"/>
  <c r="J258" i="7950"/>
  <c r="P456" i="7950"/>
  <c r="P480" i="7950"/>
  <c r="M261" i="7950"/>
  <c r="M237" i="7950"/>
  <c r="N393" i="7950"/>
  <c r="N417" i="7950"/>
  <c r="I611" i="7950"/>
  <c r="I635" i="7950"/>
  <c r="L152" i="7950"/>
  <c r="L128" i="7950"/>
  <c r="H610" i="7950"/>
  <c r="H634" i="7950"/>
  <c r="O293" i="7950"/>
  <c r="O317" i="7950"/>
  <c r="J528" i="7950"/>
  <c r="J504" i="7950"/>
  <c r="O671" i="7950"/>
  <c r="O695" i="7950"/>
  <c r="M423" i="7950"/>
  <c r="M399" i="7950"/>
  <c r="O509" i="7950"/>
  <c r="O533" i="7950"/>
  <c r="P696" i="7950"/>
  <c r="P672" i="7950"/>
  <c r="M531" i="7950"/>
  <c r="M507" i="7950"/>
  <c r="N316" i="7950"/>
  <c r="N292" i="7950"/>
  <c r="N687" i="7950"/>
  <c r="N663" i="7950"/>
  <c r="K637" i="7950"/>
  <c r="K613" i="7950"/>
  <c r="O185" i="7950"/>
  <c r="O209" i="7950"/>
  <c r="N724" i="7950"/>
  <c r="N748" i="7950"/>
  <c r="O455" i="7950"/>
  <c r="O479" i="7950"/>
  <c r="I527" i="7950"/>
  <c r="I503" i="7950"/>
  <c r="O617" i="7950"/>
  <c r="O641" i="7950"/>
  <c r="U43" i="7950"/>
  <c r="P131" i="7950" l="1"/>
  <c r="Q131" i="7950" s="1"/>
  <c r="R131" i="7950" s="1"/>
  <c r="Q132" i="7950"/>
  <c r="R132" i="7950" s="1"/>
  <c r="S132" i="7950" s="1"/>
  <c r="O748" i="7950"/>
  <c r="O724" i="7950"/>
  <c r="J635" i="7950"/>
  <c r="J611" i="7950"/>
  <c r="M314" i="7950"/>
  <c r="M290" i="7950"/>
  <c r="O208" i="7950"/>
  <c r="O184" i="7950"/>
  <c r="L745" i="7950"/>
  <c r="L721" i="7950"/>
  <c r="S40" i="7950"/>
  <c r="S16" i="7950"/>
  <c r="J341" i="7950"/>
  <c r="J365" i="7950"/>
  <c r="M452" i="7950"/>
  <c r="M476" i="7950"/>
  <c r="J527" i="7950"/>
  <c r="J503" i="7950"/>
  <c r="L613" i="7950"/>
  <c r="L637" i="7950"/>
  <c r="O687" i="7950"/>
  <c r="O663" i="7950"/>
  <c r="N507" i="7950"/>
  <c r="N531" i="7950"/>
  <c r="N399" i="7950"/>
  <c r="N423" i="7950"/>
  <c r="K504" i="7950"/>
  <c r="K528" i="7950"/>
  <c r="R155" i="7950"/>
  <c r="N639" i="7950"/>
  <c r="N615" i="7950"/>
  <c r="I148" i="7950"/>
  <c r="I124" i="7950"/>
  <c r="O339" i="7950"/>
  <c r="O363" i="7950"/>
  <c r="P101" i="7950"/>
  <c r="P77" i="7950"/>
  <c r="J179" i="7950"/>
  <c r="J203" i="7950"/>
  <c r="N477" i="7950"/>
  <c r="N453" i="7950"/>
  <c r="J449" i="7950"/>
  <c r="J473" i="7950"/>
  <c r="K288" i="7950"/>
  <c r="K312" i="7950"/>
  <c r="J689" i="7950"/>
  <c r="J665" i="7950"/>
  <c r="Q534" i="7950"/>
  <c r="O238" i="7950"/>
  <c r="O262" i="7950"/>
  <c r="I526" i="7950"/>
  <c r="I502" i="7950"/>
  <c r="K96" i="7950"/>
  <c r="K72" i="7950"/>
  <c r="O309" i="7950"/>
  <c r="O285" i="7950"/>
  <c r="L313" i="7950"/>
  <c r="L289" i="7950"/>
  <c r="U44" i="7950"/>
  <c r="U20" i="7950"/>
  <c r="N669" i="7950"/>
  <c r="N693" i="7950"/>
  <c r="M530" i="7950"/>
  <c r="M506" i="7950"/>
  <c r="N123" i="7950"/>
  <c r="N147" i="7950"/>
  <c r="Q240" i="7950"/>
  <c r="Q264" i="7950"/>
  <c r="K204" i="7950"/>
  <c r="K180" i="7950"/>
  <c r="M692" i="7950"/>
  <c r="N692" i="7950" s="1"/>
  <c r="M668" i="7950"/>
  <c r="U18" i="7950"/>
  <c r="U42" i="7950"/>
  <c r="O501" i="7950"/>
  <c r="O525" i="7950"/>
  <c r="O609" i="7950"/>
  <c r="O633" i="7950"/>
  <c r="P209" i="7950"/>
  <c r="P185" i="7950"/>
  <c r="K420" i="7950"/>
  <c r="K396" i="7950"/>
  <c r="L73" i="7950"/>
  <c r="L97" i="7950"/>
  <c r="Q102" i="7950"/>
  <c r="R102" i="7950" s="1"/>
  <c r="Q78" i="7950"/>
  <c r="M614" i="7950"/>
  <c r="M638" i="7950"/>
  <c r="I448" i="7950"/>
  <c r="I472" i="7950"/>
  <c r="L235" i="7950"/>
  <c r="L259" i="7950"/>
  <c r="T17" i="7950"/>
  <c r="T41" i="7950"/>
  <c r="O447" i="7950"/>
  <c r="O471" i="7950"/>
  <c r="K342" i="7950"/>
  <c r="K366" i="7950"/>
  <c r="I394" i="7950"/>
  <c r="I418" i="7950"/>
  <c r="L151" i="7950"/>
  <c r="L127" i="7950"/>
  <c r="J287" i="7950"/>
  <c r="J311" i="7950"/>
  <c r="I232" i="7950"/>
  <c r="I256" i="7950"/>
  <c r="M722" i="7950"/>
  <c r="M746" i="7950"/>
  <c r="Q402" i="7950"/>
  <c r="Q426" i="7950"/>
  <c r="O100" i="7950"/>
  <c r="O76" i="7950"/>
  <c r="O154" i="7950"/>
  <c r="O130" i="7950"/>
  <c r="L475" i="7950"/>
  <c r="L451" i="7950"/>
  <c r="Q372" i="7950"/>
  <c r="Q348" i="7950"/>
  <c r="P347" i="7950"/>
  <c r="P371" i="7950"/>
  <c r="J419" i="7950"/>
  <c r="J395" i="7950"/>
  <c r="K666" i="7950"/>
  <c r="K690" i="7950"/>
  <c r="K720" i="7950"/>
  <c r="K744" i="7950"/>
  <c r="P455" i="7950"/>
  <c r="P479" i="7950"/>
  <c r="P533" i="7950"/>
  <c r="P509" i="7950"/>
  <c r="P695" i="7950"/>
  <c r="P671" i="7950"/>
  <c r="K258" i="7950"/>
  <c r="K234" i="7950"/>
  <c r="K474" i="7950"/>
  <c r="K450" i="7950"/>
  <c r="P425" i="7950"/>
  <c r="P401" i="7950"/>
  <c r="P641" i="7950"/>
  <c r="P617" i="7950"/>
  <c r="O292" i="7950"/>
  <c r="O316" i="7950"/>
  <c r="Q672" i="7950"/>
  <c r="Q696" i="7950"/>
  <c r="M152" i="7950"/>
  <c r="M128" i="7950"/>
  <c r="N261" i="7950"/>
  <c r="N237" i="7950"/>
  <c r="O616" i="7950"/>
  <c r="O640" i="7950"/>
  <c r="I202" i="7950"/>
  <c r="I178" i="7950"/>
  <c r="O346" i="7950"/>
  <c r="O370" i="7950"/>
  <c r="N99" i="7950"/>
  <c r="N75" i="7950"/>
  <c r="O694" i="7950"/>
  <c r="O670" i="7950"/>
  <c r="L691" i="7950"/>
  <c r="L667" i="7950"/>
  <c r="V45" i="7950"/>
  <c r="V21" i="7950"/>
  <c r="J125" i="7950"/>
  <c r="J149" i="7950"/>
  <c r="I94" i="7950"/>
  <c r="I70" i="7950"/>
  <c r="J257" i="7950"/>
  <c r="J233" i="7950"/>
  <c r="N345" i="7950"/>
  <c r="O345" i="7950" s="1"/>
  <c r="P345" i="7950" s="1"/>
  <c r="O508" i="7950"/>
  <c r="O532" i="7950"/>
  <c r="L397" i="7950"/>
  <c r="L421" i="7950"/>
  <c r="O454" i="7950"/>
  <c r="O478" i="7950"/>
  <c r="I718" i="7950"/>
  <c r="I742" i="7950"/>
  <c r="K150" i="7950"/>
  <c r="K126" i="7950"/>
  <c r="L205" i="7950"/>
  <c r="L181" i="7950"/>
  <c r="O69" i="7950"/>
  <c r="O93" i="7950"/>
  <c r="M368" i="7950"/>
  <c r="M344" i="7950"/>
  <c r="J719" i="7950"/>
  <c r="J743" i="7950"/>
  <c r="N291" i="7950"/>
  <c r="N315" i="7950"/>
  <c r="Q642" i="7950"/>
  <c r="Q618" i="7950"/>
  <c r="S156" i="7950"/>
  <c r="O717" i="7950"/>
  <c r="O741" i="7950"/>
  <c r="N207" i="7950"/>
  <c r="O207" i="7950" s="1"/>
  <c r="N183" i="7950"/>
  <c r="V19" i="7950"/>
  <c r="V43" i="7950"/>
  <c r="P293" i="7950"/>
  <c r="P317" i="7950"/>
  <c r="I634" i="7950"/>
  <c r="I610" i="7950"/>
  <c r="O417" i="7950"/>
  <c r="O393" i="7950"/>
  <c r="Q456" i="7950"/>
  <c r="Q480" i="7950"/>
  <c r="K636" i="7950"/>
  <c r="K612" i="7950"/>
  <c r="M206" i="7950"/>
  <c r="M182" i="7950"/>
  <c r="Q726" i="7950"/>
  <c r="Q750" i="7950"/>
  <c r="P263" i="7950"/>
  <c r="P239" i="7950"/>
  <c r="P725" i="7950"/>
  <c r="P749" i="7950"/>
  <c r="I664" i="7950"/>
  <c r="I688" i="7950"/>
  <c r="L343" i="7950"/>
  <c r="L367" i="7950"/>
  <c r="Q318" i="7950"/>
  <c r="Q294" i="7950"/>
  <c r="P369" i="7950"/>
  <c r="M98" i="7950"/>
  <c r="M74" i="7950"/>
  <c r="Q186" i="7950"/>
  <c r="Q210" i="7950"/>
  <c r="N747" i="7950"/>
  <c r="N723" i="7950"/>
  <c r="J95" i="7950"/>
  <c r="J71" i="7950"/>
  <c r="L529" i="7950"/>
  <c r="L505" i="7950"/>
  <c r="I286" i="7950"/>
  <c r="I310" i="7950"/>
  <c r="O201" i="7950"/>
  <c r="O177" i="7950"/>
  <c r="I340" i="7950"/>
  <c r="I364" i="7950"/>
  <c r="O231" i="7950"/>
  <c r="O255" i="7950"/>
  <c r="M398" i="7950"/>
  <c r="M422" i="7950"/>
  <c r="O400" i="7950"/>
  <c r="O424" i="7950"/>
  <c r="M260" i="7950"/>
  <c r="M236" i="7950"/>
  <c r="N153" i="7950"/>
  <c r="N129" i="7950"/>
  <c r="O183" i="7950" l="1"/>
  <c r="P183" i="7950" s="1"/>
  <c r="R78" i="7950"/>
  <c r="S78" i="7950" s="1"/>
  <c r="Q263" i="7950"/>
  <c r="Q239" i="7950"/>
  <c r="J610" i="7950"/>
  <c r="J634" i="7950"/>
  <c r="N398" i="7950"/>
  <c r="N422" i="7950"/>
  <c r="P255" i="7950"/>
  <c r="P231" i="7950"/>
  <c r="J688" i="7950"/>
  <c r="J664" i="7950"/>
  <c r="Q749" i="7950"/>
  <c r="Q725" i="7950"/>
  <c r="Q293" i="7950"/>
  <c r="Q317" i="7950"/>
  <c r="R642" i="7950"/>
  <c r="R618" i="7950"/>
  <c r="N344" i="7950"/>
  <c r="N368" i="7950"/>
  <c r="P93" i="7950"/>
  <c r="P69" i="7950"/>
  <c r="L150" i="7950"/>
  <c r="L126" i="7950"/>
  <c r="K149" i="7950"/>
  <c r="K125" i="7950"/>
  <c r="O237" i="7950"/>
  <c r="O261" i="7950"/>
  <c r="R696" i="7950"/>
  <c r="S696" i="7950" s="1"/>
  <c r="R672" i="7950"/>
  <c r="P292" i="7950"/>
  <c r="P316" i="7950"/>
  <c r="L744" i="7950"/>
  <c r="L720" i="7950"/>
  <c r="L690" i="7950"/>
  <c r="L666" i="7950"/>
  <c r="Q347" i="7950"/>
  <c r="Q371" i="7950"/>
  <c r="R402" i="7950"/>
  <c r="R426" i="7950"/>
  <c r="J256" i="7950"/>
  <c r="J232" i="7950"/>
  <c r="J394" i="7950"/>
  <c r="J418" i="7950"/>
  <c r="L366" i="7950"/>
  <c r="L342" i="7950"/>
  <c r="M259" i="7950"/>
  <c r="M235" i="7950"/>
  <c r="J448" i="7950"/>
  <c r="J472" i="7950"/>
  <c r="P609" i="7950"/>
  <c r="P633" i="7950"/>
  <c r="V42" i="7950"/>
  <c r="V18" i="7950"/>
  <c r="L204" i="7950"/>
  <c r="L180" i="7950"/>
  <c r="N506" i="7950"/>
  <c r="N530" i="7950"/>
  <c r="M313" i="7950"/>
  <c r="M289" i="7950"/>
  <c r="L72" i="7950"/>
  <c r="L96" i="7950"/>
  <c r="P262" i="7950"/>
  <c r="P238" i="7950"/>
  <c r="O477" i="7950"/>
  <c r="O453" i="7950"/>
  <c r="J124" i="7950"/>
  <c r="J148" i="7950"/>
  <c r="O639" i="7950"/>
  <c r="O615" i="7950"/>
  <c r="O423" i="7950"/>
  <c r="O399" i="7950"/>
  <c r="O531" i="7950"/>
  <c r="O507" i="7950"/>
  <c r="M637" i="7950"/>
  <c r="M613" i="7950"/>
  <c r="N452" i="7950"/>
  <c r="N476" i="7950"/>
  <c r="M505" i="7950"/>
  <c r="M529" i="7950"/>
  <c r="Q369" i="7950"/>
  <c r="Q345" i="7950"/>
  <c r="N236" i="7950"/>
  <c r="N260" i="7950"/>
  <c r="K71" i="7950"/>
  <c r="K95" i="7950"/>
  <c r="O723" i="7950"/>
  <c r="O747" i="7950"/>
  <c r="N74" i="7950"/>
  <c r="N98" i="7950"/>
  <c r="R318" i="7950"/>
  <c r="R294" i="7950"/>
  <c r="N206" i="7950"/>
  <c r="N182" i="7950"/>
  <c r="L612" i="7950"/>
  <c r="L636" i="7950"/>
  <c r="P417" i="7950"/>
  <c r="P393" i="7950"/>
  <c r="P207" i="7950"/>
  <c r="O291" i="7950"/>
  <c r="O315" i="7950"/>
  <c r="K743" i="7950"/>
  <c r="K719" i="7950"/>
  <c r="J718" i="7950"/>
  <c r="J742" i="7950"/>
  <c r="P532" i="7950"/>
  <c r="P508" i="7950"/>
  <c r="K257" i="7950"/>
  <c r="K233" i="7950"/>
  <c r="P670" i="7950"/>
  <c r="P694" i="7950"/>
  <c r="O75" i="7950"/>
  <c r="O99" i="7950"/>
  <c r="Q617" i="7950"/>
  <c r="Q641" i="7950"/>
  <c r="Q401" i="7950"/>
  <c r="Q425" i="7950"/>
  <c r="L258" i="7950"/>
  <c r="L234" i="7950"/>
  <c r="Q533" i="7950"/>
  <c r="Q509" i="7950"/>
  <c r="P154" i="7950"/>
  <c r="P130" i="7950"/>
  <c r="S102" i="7950"/>
  <c r="L420" i="7950"/>
  <c r="L396" i="7950"/>
  <c r="N668" i="7950"/>
  <c r="O668" i="7950" s="1"/>
  <c r="R264" i="7950"/>
  <c r="R240" i="7950"/>
  <c r="O123" i="7950"/>
  <c r="O147" i="7950"/>
  <c r="K689" i="7950"/>
  <c r="K665" i="7950"/>
  <c r="L288" i="7950"/>
  <c r="L312" i="7950"/>
  <c r="P363" i="7950"/>
  <c r="P339" i="7950"/>
  <c r="S131" i="7950"/>
  <c r="S155" i="7950"/>
  <c r="T40" i="7950"/>
  <c r="T16" i="7950"/>
  <c r="P208" i="7950"/>
  <c r="P184" i="7950"/>
  <c r="K635" i="7950"/>
  <c r="K611" i="7950"/>
  <c r="P400" i="7950"/>
  <c r="P424" i="7950"/>
  <c r="J364" i="7950"/>
  <c r="J340" i="7950"/>
  <c r="J286" i="7950"/>
  <c r="J310" i="7950"/>
  <c r="R210" i="7950"/>
  <c r="R186" i="7950"/>
  <c r="M367" i="7950"/>
  <c r="M343" i="7950"/>
  <c r="R750" i="7950"/>
  <c r="R726" i="7950"/>
  <c r="R480" i="7950"/>
  <c r="R456" i="7950"/>
  <c r="W43" i="7950"/>
  <c r="W19" i="7950"/>
  <c r="T156" i="7950"/>
  <c r="T132" i="7950"/>
  <c r="M205" i="7950"/>
  <c r="M181" i="7950"/>
  <c r="P346" i="7950"/>
  <c r="P370" i="7950"/>
  <c r="J202" i="7950"/>
  <c r="J178" i="7950"/>
  <c r="N152" i="7950"/>
  <c r="N128" i="7950"/>
  <c r="Q479" i="7950"/>
  <c r="Q455" i="7950"/>
  <c r="N746" i="7950"/>
  <c r="N722" i="7950"/>
  <c r="K311" i="7950"/>
  <c r="K287" i="7950"/>
  <c r="P471" i="7950"/>
  <c r="P447" i="7950"/>
  <c r="U17" i="7950"/>
  <c r="U41" i="7950"/>
  <c r="N614" i="7950"/>
  <c r="N638" i="7950"/>
  <c r="M97" i="7950"/>
  <c r="M73" i="7950"/>
  <c r="P501" i="7950"/>
  <c r="P525" i="7950"/>
  <c r="O692" i="7950"/>
  <c r="V20" i="7950"/>
  <c r="V44" i="7950"/>
  <c r="P285" i="7950"/>
  <c r="P309" i="7950"/>
  <c r="J502" i="7950"/>
  <c r="J526" i="7950"/>
  <c r="R534" i="7950"/>
  <c r="Q101" i="7950"/>
  <c r="Q77" i="7950"/>
  <c r="L528" i="7950"/>
  <c r="L504" i="7950"/>
  <c r="K365" i="7950"/>
  <c r="K341" i="7950"/>
  <c r="O129" i="7950"/>
  <c r="O153" i="7950"/>
  <c r="P201" i="7950"/>
  <c r="P177" i="7950"/>
  <c r="P717" i="7950"/>
  <c r="P741" i="7950"/>
  <c r="P478" i="7950"/>
  <c r="P454" i="7950"/>
  <c r="M421" i="7950"/>
  <c r="M397" i="7950"/>
  <c r="J94" i="7950"/>
  <c r="J70" i="7950"/>
  <c r="W45" i="7950"/>
  <c r="W21" i="7950"/>
  <c r="M667" i="7950"/>
  <c r="M691" i="7950"/>
  <c r="P640" i="7950"/>
  <c r="P616" i="7950"/>
  <c r="L450" i="7950"/>
  <c r="L474" i="7950"/>
  <c r="Q695" i="7950"/>
  <c r="Q671" i="7950"/>
  <c r="K419" i="7950"/>
  <c r="K395" i="7950"/>
  <c r="R372" i="7950"/>
  <c r="R348" i="7950"/>
  <c r="M475" i="7950"/>
  <c r="M451" i="7950"/>
  <c r="P76" i="7950"/>
  <c r="P100" i="7950"/>
  <c r="M127" i="7950"/>
  <c r="M151" i="7950"/>
  <c r="Q185" i="7950"/>
  <c r="Q209" i="7950"/>
  <c r="O669" i="7950"/>
  <c r="O693" i="7950"/>
  <c r="K449" i="7950"/>
  <c r="K473" i="7950"/>
  <c r="K203" i="7950"/>
  <c r="K179" i="7950"/>
  <c r="P687" i="7950"/>
  <c r="P663" i="7950"/>
  <c r="K503" i="7950"/>
  <c r="K527" i="7950"/>
  <c r="M745" i="7950"/>
  <c r="M721" i="7950"/>
  <c r="N290" i="7950"/>
  <c r="N314" i="7950"/>
  <c r="P748" i="7950"/>
  <c r="P724" i="7950"/>
  <c r="S672" i="7950" l="1"/>
  <c r="T672" i="7950" s="1"/>
  <c r="S348" i="7950"/>
  <c r="S372" i="7950"/>
  <c r="R695" i="7950"/>
  <c r="S695" i="7950" s="1"/>
  <c r="T695" i="7950" s="1"/>
  <c r="U695" i="7950" s="1"/>
  <c r="R671" i="7950"/>
  <c r="Q640" i="7950"/>
  <c r="Q616" i="7950"/>
  <c r="Q454" i="7950"/>
  <c r="Q478" i="7950"/>
  <c r="Q201" i="7950"/>
  <c r="Q177" i="7950"/>
  <c r="M504" i="7950"/>
  <c r="M528" i="7950"/>
  <c r="R77" i="7950"/>
  <c r="R101" i="7950"/>
  <c r="S534" i="7950"/>
  <c r="N73" i="7950"/>
  <c r="N97" i="7950"/>
  <c r="Q370" i="7950"/>
  <c r="Q346" i="7950"/>
  <c r="K310" i="7950"/>
  <c r="K286" i="7950"/>
  <c r="Q424" i="7950"/>
  <c r="Q400" i="7950"/>
  <c r="T131" i="7950"/>
  <c r="T155" i="7950"/>
  <c r="M288" i="7950"/>
  <c r="M312" i="7950"/>
  <c r="S264" i="7950"/>
  <c r="S240" i="7950"/>
  <c r="R641" i="7950"/>
  <c r="R617" i="7950"/>
  <c r="Q694" i="7950"/>
  <c r="R694" i="7950" s="1"/>
  <c r="Q670" i="7950"/>
  <c r="K718" i="7950"/>
  <c r="K742" i="7950"/>
  <c r="P315" i="7950"/>
  <c r="P291" i="7950"/>
  <c r="M636" i="7950"/>
  <c r="M612" i="7950"/>
  <c r="O98" i="7950"/>
  <c r="O74" i="7950"/>
  <c r="P747" i="7950"/>
  <c r="P723" i="7950"/>
  <c r="O260" i="7950"/>
  <c r="O236" i="7950"/>
  <c r="N529" i="7950"/>
  <c r="N505" i="7950"/>
  <c r="O452" i="7950"/>
  <c r="O476" i="7950"/>
  <c r="Q633" i="7950"/>
  <c r="Q609" i="7950"/>
  <c r="K448" i="7950"/>
  <c r="K472" i="7950"/>
  <c r="K394" i="7950"/>
  <c r="K418" i="7950"/>
  <c r="S402" i="7950"/>
  <c r="S426" i="7950"/>
  <c r="R371" i="7950"/>
  <c r="R347" i="7950"/>
  <c r="P237" i="7950"/>
  <c r="P261" i="7950"/>
  <c r="O398" i="7950"/>
  <c r="O422" i="7950"/>
  <c r="L203" i="7950"/>
  <c r="L179" i="7950"/>
  <c r="O314" i="7950"/>
  <c r="O290" i="7950"/>
  <c r="L473" i="7950"/>
  <c r="L449" i="7950"/>
  <c r="P669" i="7950"/>
  <c r="P693" i="7950"/>
  <c r="R185" i="7950"/>
  <c r="R209" i="7950"/>
  <c r="Q100" i="7950"/>
  <c r="Q76" i="7950"/>
  <c r="M450" i="7950"/>
  <c r="M474" i="7950"/>
  <c r="Q741" i="7950"/>
  <c r="Q717" i="7950"/>
  <c r="K502" i="7950"/>
  <c r="K526" i="7950"/>
  <c r="W20" i="7950"/>
  <c r="W44" i="7950"/>
  <c r="O614" i="7950"/>
  <c r="O638" i="7950"/>
  <c r="Q471" i="7950"/>
  <c r="Q447" i="7950"/>
  <c r="O152" i="7950"/>
  <c r="O128" i="7950"/>
  <c r="N181" i="7950"/>
  <c r="N205" i="7950"/>
  <c r="U132" i="7950"/>
  <c r="U156" i="7950"/>
  <c r="S750" i="7950"/>
  <c r="S726" i="7950"/>
  <c r="S210" i="7950"/>
  <c r="S186" i="7950"/>
  <c r="L635" i="7950"/>
  <c r="L611" i="7950"/>
  <c r="Q208" i="7950"/>
  <c r="Q184" i="7950"/>
  <c r="Q339" i="7950"/>
  <c r="Q363" i="7950"/>
  <c r="P147" i="7950"/>
  <c r="P123" i="7950"/>
  <c r="T78" i="7950"/>
  <c r="T102" i="7950"/>
  <c r="Q154" i="7950"/>
  <c r="Q130" i="7950"/>
  <c r="R509" i="7950"/>
  <c r="R533" i="7950"/>
  <c r="M234" i="7950"/>
  <c r="M258" i="7950"/>
  <c r="Q532" i="7950"/>
  <c r="Q508" i="7950"/>
  <c r="P507" i="7950"/>
  <c r="P531" i="7950"/>
  <c r="P615" i="7950"/>
  <c r="P639" i="7950"/>
  <c r="P477" i="7950"/>
  <c r="P453" i="7950"/>
  <c r="Q238" i="7950"/>
  <c r="Q262" i="7950"/>
  <c r="N313" i="7950"/>
  <c r="N289" i="7950"/>
  <c r="M180" i="7950"/>
  <c r="M204" i="7950"/>
  <c r="M342" i="7950"/>
  <c r="M366" i="7950"/>
  <c r="K232" i="7950"/>
  <c r="K256" i="7950"/>
  <c r="M720" i="7950"/>
  <c r="M744" i="7950"/>
  <c r="T696" i="7950"/>
  <c r="L125" i="7950"/>
  <c r="L149" i="7950"/>
  <c r="Q69" i="7950"/>
  <c r="Q93" i="7950"/>
  <c r="R725" i="7950"/>
  <c r="R749" i="7950"/>
  <c r="K664" i="7950"/>
  <c r="K688" i="7950"/>
  <c r="R263" i="7950"/>
  <c r="R239" i="7950"/>
  <c r="Q724" i="7950"/>
  <c r="Q748" i="7950"/>
  <c r="N721" i="7950"/>
  <c r="N745" i="7950"/>
  <c r="Q663" i="7950"/>
  <c r="Q687" i="7950"/>
  <c r="N451" i="7950"/>
  <c r="N475" i="7950"/>
  <c r="L419" i="7950"/>
  <c r="L395" i="7950"/>
  <c r="K70" i="7950"/>
  <c r="K94" i="7950"/>
  <c r="N397" i="7950"/>
  <c r="N421" i="7950"/>
  <c r="L365" i="7950"/>
  <c r="L341" i="7950"/>
  <c r="P668" i="7950"/>
  <c r="P692" i="7950"/>
  <c r="V41" i="7950"/>
  <c r="V17" i="7950"/>
  <c r="O722" i="7950"/>
  <c r="O746" i="7950"/>
  <c r="N367" i="7950"/>
  <c r="N343" i="7950"/>
  <c r="R425" i="7950"/>
  <c r="R401" i="7950"/>
  <c r="P99" i="7950"/>
  <c r="P75" i="7950"/>
  <c r="L71" i="7950"/>
  <c r="L95" i="7950"/>
  <c r="K148" i="7950"/>
  <c r="K124" i="7950"/>
  <c r="M72" i="7950"/>
  <c r="M96" i="7950"/>
  <c r="O506" i="7950"/>
  <c r="O530" i="7950"/>
  <c r="Q316" i="7950"/>
  <c r="Q292" i="7950"/>
  <c r="O368" i="7950"/>
  <c r="O344" i="7950"/>
  <c r="R293" i="7950"/>
  <c r="R317" i="7950"/>
  <c r="K634" i="7950"/>
  <c r="K610" i="7950"/>
  <c r="L503" i="7950"/>
  <c r="L527" i="7950"/>
  <c r="N151" i="7950"/>
  <c r="N127" i="7950"/>
  <c r="N667" i="7950"/>
  <c r="N691" i="7950"/>
  <c r="P153" i="7950"/>
  <c r="P129" i="7950"/>
  <c r="Q285" i="7950"/>
  <c r="Q309" i="7950"/>
  <c r="Q525" i="7950"/>
  <c r="Q501" i="7950"/>
  <c r="L287" i="7950"/>
  <c r="L311" i="7950"/>
  <c r="R479" i="7950"/>
  <c r="R455" i="7950"/>
  <c r="K202" i="7950"/>
  <c r="K178" i="7950"/>
  <c r="S480" i="7950"/>
  <c r="S456" i="7950"/>
  <c r="K364" i="7950"/>
  <c r="K340" i="7950"/>
  <c r="U16" i="7950"/>
  <c r="U40" i="7950"/>
  <c r="L665" i="7950"/>
  <c r="L689" i="7950"/>
  <c r="M396" i="7950"/>
  <c r="M420" i="7950"/>
  <c r="L233" i="7950"/>
  <c r="L257" i="7950"/>
  <c r="L743" i="7950"/>
  <c r="L719" i="7950"/>
  <c r="Q183" i="7950"/>
  <c r="Q207" i="7950"/>
  <c r="Q393" i="7950"/>
  <c r="Q417" i="7950"/>
  <c r="O206" i="7950"/>
  <c r="O182" i="7950"/>
  <c r="S318" i="7950"/>
  <c r="S294" i="7950"/>
  <c r="R369" i="7950"/>
  <c r="R345" i="7950"/>
  <c r="N613" i="7950"/>
  <c r="N637" i="7950"/>
  <c r="P423" i="7950"/>
  <c r="P399" i="7950"/>
  <c r="W42" i="7950"/>
  <c r="W18" i="7950"/>
  <c r="N235" i="7950"/>
  <c r="N259" i="7950"/>
  <c r="M690" i="7950"/>
  <c r="M666" i="7950"/>
  <c r="M126" i="7950"/>
  <c r="M150" i="7950"/>
  <c r="S642" i="7950"/>
  <c r="S618" i="7950"/>
  <c r="Q231" i="7950"/>
  <c r="Q255" i="7950"/>
  <c r="R670" i="7950" l="1"/>
  <c r="S670" i="7950" s="1"/>
  <c r="S671" i="7950"/>
  <c r="T671" i="7950" s="1"/>
  <c r="U671" i="7950" s="1"/>
  <c r="V671" i="7950" s="1"/>
  <c r="R255" i="7950"/>
  <c r="R231" i="7950"/>
  <c r="O637" i="7950"/>
  <c r="O613" i="7950"/>
  <c r="R183" i="7950"/>
  <c r="R207" i="7950"/>
  <c r="M257" i="7950"/>
  <c r="M233" i="7950"/>
  <c r="N420" i="7950"/>
  <c r="N396" i="7950"/>
  <c r="V16" i="7950"/>
  <c r="V40" i="7950"/>
  <c r="R285" i="7950"/>
  <c r="R309" i="7950"/>
  <c r="O691" i="7950"/>
  <c r="O667" i="7950"/>
  <c r="Q99" i="7950"/>
  <c r="Q75" i="7950"/>
  <c r="S425" i="7950"/>
  <c r="S401" i="7950"/>
  <c r="P746" i="7950"/>
  <c r="P722" i="7950"/>
  <c r="O397" i="7950"/>
  <c r="O421" i="7950"/>
  <c r="R748" i="7950"/>
  <c r="R724" i="7950"/>
  <c r="L688" i="7950"/>
  <c r="L664" i="7950"/>
  <c r="M125" i="7950"/>
  <c r="M149" i="7950"/>
  <c r="L256" i="7950"/>
  <c r="L232" i="7950"/>
  <c r="N180" i="7950"/>
  <c r="N204" i="7950"/>
  <c r="Q507" i="7950"/>
  <c r="Q531" i="7950"/>
  <c r="S533" i="7950"/>
  <c r="S509" i="7950"/>
  <c r="U102" i="7950"/>
  <c r="U78" i="7950"/>
  <c r="O181" i="7950"/>
  <c r="O205" i="7950"/>
  <c r="P614" i="7950"/>
  <c r="P638" i="7950"/>
  <c r="L502" i="7950"/>
  <c r="L526" i="7950"/>
  <c r="Q693" i="7950"/>
  <c r="Q669" i="7950"/>
  <c r="P398" i="7950"/>
  <c r="P422" i="7950"/>
  <c r="Q261" i="7950"/>
  <c r="Q237" i="7950"/>
  <c r="T402" i="7950"/>
  <c r="T426" i="7950"/>
  <c r="L472" i="7950"/>
  <c r="L448" i="7950"/>
  <c r="U155" i="7950"/>
  <c r="U131" i="7950"/>
  <c r="S77" i="7950"/>
  <c r="S101" i="7950"/>
  <c r="T372" i="7950"/>
  <c r="T348" i="7950"/>
  <c r="P206" i="7950"/>
  <c r="P182" i="7950"/>
  <c r="L340" i="7950"/>
  <c r="L364" i="7950"/>
  <c r="L202" i="7950"/>
  <c r="L178" i="7950"/>
  <c r="R501" i="7950"/>
  <c r="R525" i="7950"/>
  <c r="O127" i="7950"/>
  <c r="O151" i="7950"/>
  <c r="L610" i="7950"/>
  <c r="L634" i="7950"/>
  <c r="P344" i="7950"/>
  <c r="P368" i="7950"/>
  <c r="P506" i="7950"/>
  <c r="P530" i="7950"/>
  <c r="M71" i="7950"/>
  <c r="M95" i="7950"/>
  <c r="W41" i="7950"/>
  <c r="W17" i="7950"/>
  <c r="M419" i="7950"/>
  <c r="M395" i="7950"/>
  <c r="Q453" i="7950"/>
  <c r="Q477" i="7950"/>
  <c r="M635" i="7950"/>
  <c r="M611" i="7950"/>
  <c r="T750" i="7950"/>
  <c r="T726" i="7950"/>
  <c r="R741" i="7950"/>
  <c r="R717" i="7950"/>
  <c r="R76" i="7950"/>
  <c r="R100" i="7950"/>
  <c r="P314" i="7950"/>
  <c r="P290" i="7950"/>
  <c r="R633" i="7950"/>
  <c r="R609" i="7950"/>
  <c r="P260" i="7950"/>
  <c r="P236" i="7950"/>
  <c r="Q723" i="7950"/>
  <c r="Q747" i="7950"/>
  <c r="Q291" i="7950"/>
  <c r="Q315" i="7950"/>
  <c r="S694" i="7950"/>
  <c r="L310" i="7950"/>
  <c r="L286" i="7950"/>
  <c r="R177" i="7950"/>
  <c r="R201" i="7950"/>
  <c r="O259" i="7950"/>
  <c r="O235" i="7950"/>
  <c r="R417" i="7950"/>
  <c r="R393" i="7950"/>
  <c r="M665" i="7950"/>
  <c r="M689" i="7950"/>
  <c r="M287" i="7950"/>
  <c r="M311" i="7950"/>
  <c r="M503" i="7950"/>
  <c r="M527" i="7950"/>
  <c r="S293" i="7950"/>
  <c r="S317" i="7950"/>
  <c r="R316" i="7950"/>
  <c r="R292" i="7950"/>
  <c r="L124" i="7950"/>
  <c r="L148" i="7950"/>
  <c r="O367" i="7950"/>
  <c r="O343" i="7950"/>
  <c r="Q692" i="7950"/>
  <c r="Q668" i="7950"/>
  <c r="L94" i="7950"/>
  <c r="L70" i="7950"/>
  <c r="O451" i="7950"/>
  <c r="O475" i="7950"/>
  <c r="R663" i="7950"/>
  <c r="R687" i="7950"/>
  <c r="O721" i="7950"/>
  <c r="O745" i="7950"/>
  <c r="S725" i="7950"/>
  <c r="S749" i="7950"/>
  <c r="R69" i="7950"/>
  <c r="R93" i="7950"/>
  <c r="U672" i="7950"/>
  <c r="U696" i="7950"/>
  <c r="N720" i="7950"/>
  <c r="N744" i="7950"/>
  <c r="N366" i="7950"/>
  <c r="N342" i="7950"/>
  <c r="R238" i="7950"/>
  <c r="R262" i="7950"/>
  <c r="Q639" i="7950"/>
  <c r="Q615" i="7950"/>
  <c r="N258" i="7950"/>
  <c r="N234" i="7950"/>
  <c r="R339" i="7950"/>
  <c r="R363" i="7950"/>
  <c r="V132" i="7950"/>
  <c r="V156" i="7950"/>
  <c r="N450" i="7950"/>
  <c r="N474" i="7950"/>
  <c r="S185" i="7950"/>
  <c r="S209" i="7950"/>
  <c r="L394" i="7950"/>
  <c r="L418" i="7950"/>
  <c r="P476" i="7950"/>
  <c r="P452" i="7950"/>
  <c r="L718" i="7950"/>
  <c r="L742" i="7950"/>
  <c r="N288" i="7950"/>
  <c r="N312" i="7950"/>
  <c r="O97" i="7950"/>
  <c r="O73" i="7950"/>
  <c r="N528" i="7950"/>
  <c r="N504" i="7950"/>
  <c r="R454" i="7950"/>
  <c r="R478" i="7950"/>
  <c r="N150" i="7950"/>
  <c r="N126" i="7950"/>
  <c r="T618" i="7950"/>
  <c r="T642" i="7950"/>
  <c r="N666" i="7950"/>
  <c r="N690" i="7950"/>
  <c r="Q423" i="7950"/>
  <c r="Q399" i="7950"/>
  <c r="S345" i="7950"/>
  <c r="S369" i="7950"/>
  <c r="T294" i="7950"/>
  <c r="T318" i="7950"/>
  <c r="M719" i="7950"/>
  <c r="M743" i="7950"/>
  <c r="T456" i="7950"/>
  <c r="T480" i="7950"/>
  <c r="S455" i="7950"/>
  <c r="S479" i="7950"/>
  <c r="Q129" i="7950"/>
  <c r="Q153" i="7950"/>
  <c r="N72" i="7950"/>
  <c r="N96" i="7950"/>
  <c r="M365" i="7950"/>
  <c r="M341" i="7950"/>
  <c r="S263" i="7950"/>
  <c r="S239" i="7950"/>
  <c r="O289" i="7950"/>
  <c r="O313" i="7950"/>
  <c r="R532" i="7950"/>
  <c r="R508" i="7950"/>
  <c r="R154" i="7950"/>
  <c r="R130" i="7950"/>
  <c r="Q147" i="7950"/>
  <c r="Q123" i="7950"/>
  <c r="R184" i="7950"/>
  <c r="R208" i="7950"/>
  <c r="T210" i="7950"/>
  <c r="T186" i="7950"/>
  <c r="P128" i="7950"/>
  <c r="P152" i="7950"/>
  <c r="R447" i="7950"/>
  <c r="R471" i="7950"/>
  <c r="M473" i="7950"/>
  <c r="M449" i="7950"/>
  <c r="M203" i="7950"/>
  <c r="M179" i="7950"/>
  <c r="S347" i="7950"/>
  <c r="S371" i="7950"/>
  <c r="O529" i="7950"/>
  <c r="O505" i="7950"/>
  <c r="P98" i="7950"/>
  <c r="P74" i="7950"/>
  <c r="N636" i="7950"/>
  <c r="N612" i="7950"/>
  <c r="S617" i="7950"/>
  <c r="S641" i="7950"/>
  <c r="T240" i="7950"/>
  <c r="T264" i="7950"/>
  <c r="R424" i="7950"/>
  <c r="R400" i="7950"/>
  <c r="R370" i="7950"/>
  <c r="R346" i="7950"/>
  <c r="T534" i="7950"/>
  <c r="R616" i="7950"/>
  <c r="R640" i="7950"/>
  <c r="V695" i="7950"/>
  <c r="U534" i="7950" l="1"/>
  <c r="W671" i="7950"/>
  <c r="W695" i="7950"/>
  <c r="T617" i="7950"/>
  <c r="T641" i="7950"/>
  <c r="T371" i="7950"/>
  <c r="T347" i="7950"/>
  <c r="S471" i="7950"/>
  <c r="S447" i="7950"/>
  <c r="Q128" i="7950"/>
  <c r="Q152" i="7950"/>
  <c r="S208" i="7950"/>
  <c r="S184" i="7950"/>
  <c r="P313" i="7950"/>
  <c r="P289" i="7950"/>
  <c r="R129" i="7950"/>
  <c r="R153" i="7950"/>
  <c r="U480" i="7950"/>
  <c r="U456" i="7950"/>
  <c r="N743" i="7950"/>
  <c r="N719" i="7950"/>
  <c r="O666" i="7950"/>
  <c r="O690" i="7950"/>
  <c r="O288" i="7950"/>
  <c r="O312" i="7950"/>
  <c r="M742" i="7950"/>
  <c r="M718" i="7950"/>
  <c r="M394" i="7950"/>
  <c r="M418" i="7950"/>
  <c r="O450" i="7950"/>
  <c r="O474" i="7950"/>
  <c r="S363" i="7950"/>
  <c r="S339" i="7950"/>
  <c r="V672" i="7950"/>
  <c r="V696" i="7950"/>
  <c r="T725" i="7950"/>
  <c r="T749" i="7950"/>
  <c r="S663" i="7950"/>
  <c r="S687" i="7950"/>
  <c r="T293" i="7950"/>
  <c r="T317" i="7950"/>
  <c r="N503" i="7950"/>
  <c r="N527" i="7950"/>
  <c r="R315" i="7950"/>
  <c r="R291" i="7950"/>
  <c r="R477" i="7950"/>
  <c r="R453" i="7950"/>
  <c r="Q368" i="7950"/>
  <c r="Q344" i="7950"/>
  <c r="M634" i="7950"/>
  <c r="M610" i="7950"/>
  <c r="M364" i="7950"/>
  <c r="M340" i="7950"/>
  <c r="U426" i="7950"/>
  <c r="U402" i="7950"/>
  <c r="Q398" i="7950"/>
  <c r="Q422" i="7950"/>
  <c r="M526" i="7950"/>
  <c r="M502" i="7950"/>
  <c r="R531" i="7950"/>
  <c r="R507" i="7950"/>
  <c r="O204" i="7950"/>
  <c r="O180" i="7950"/>
  <c r="N149" i="7950"/>
  <c r="N125" i="7950"/>
  <c r="P421" i="7950"/>
  <c r="P397" i="7950"/>
  <c r="S309" i="7950"/>
  <c r="S285" i="7950"/>
  <c r="S183" i="7950"/>
  <c r="S207" i="7950"/>
  <c r="S346" i="7950"/>
  <c r="S370" i="7950"/>
  <c r="S424" i="7950"/>
  <c r="S400" i="7950"/>
  <c r="O636" i="7950"/>
  <c r="O612" i="7950"/>
  <c r="P505" i="7950"/>
  <c r="P529" i="7950"/>
  <c r="S508" i="7950"/>
  <c r="S532" i="7950"/>
  <c r="T263" i="7950"/>
  <c r="T239" i="7950"/>
  <c r="O150" i="7950"/>
  <c r="O126" i="7950"/>
  <c r="P73" i="7950"/>
  <c r="P97" i="7950"/>
  <c r="Q476" i="7950"/>
  <c r="Q452" i="7950"/>
  <c r="O258" i="7950"/>
  <c r="O234" i="7950"/>
  <c r="R615" i="7950"/>
  <c r="R639" i="7950"/>
  <c r="O366" i="7950"/>
  <c r="O342" i="7950"/>
  <c r="M94" i="7950"/>
  <c r="M70" i="7950"/>
  <c r="S417" i="7950"/>
  <c r="S393" i="7950"/>
  <c r="Q236" i="7950"/>
  <c r="Q260" i="7950"/>
  <c r="Q314" i="7950"/>
  <c r="Q290" i="7950"/>
  <c r="N635" i="7950"/>
  <c r="N611" i="7950"/>
  <c r="M178" i="7950"/>
  <c r="M202" i="7950"/>
  <c r="U348" i="7950"/>
  <c r="U372" i="7950"/>
  <c r="S724" i="7950"/>
  <c r="S748" i="7950"/>
  <c r="Q722" i="7950"/>
  <c r="Q746" i="7950"/>
  <c r="T401" i="7950"/>
  <c r="T425" i="7950"/>
  <c r="S640" i="7950"/>
  <c r="S616" i="7950"/>
  <c r="U240" i="7950"/>
  <c r="U264" i="7950"/>
  <c r="O72" i="7950"/>
  <c r="O96" i="7950"/>
  <c r="T479" i="7950"/>
  <c r="T455" i="7950"/>
  <c r="U294" i="7950"/>
  <c r="U318" i="7950"/>
  <c r="T345" i="7950"/>
  <c r="T369" i="7950"/>
  <c r="U618" i="7950"/>
  <c r="U642" i="7950"/>
  <c r="S478" i="7950"/>
  <c r="S454" i="7950"/>
  <c r="T209" i="7950"/>
  <c r="T185" i="7950"/>
  <c r="W132" i="7950"/>
  <c r="W156" i="7950"/>
  <c r="S262" i="7950"/>
  <c r="S238" i="7950"/>
  <c r="O744" i="7950"/>
  <c r="O720" i="7950"/>
  <c r="S93" i="7950"/>
  <c r="S69" i="7950"/>
  <c r="P721" i="7950"/>
  <c r="P745" i="7950"/>
  <c r="P475" i="7950"/>
  <c r="P451" i="7950"/>
  <c r="M148" i="7950"/>
  <c r="M124" i="7950"/>
  <c r="N311" i="7950"/>
  <c r="N287" i="7950"/>
  <c r="N665" i="7950"/>
  <c r="N689" i="7950"/>
  <c r="S201" i="7950"/>
  <c r="S177" i="7950"/>
  <c r="T670" i="7950"/>
  <c r="T694" i="7950"/>
  <c r="R747" i="7950"/>
  <c r="R723" i="7950"/>
  <c r="S76" i="7950"/>
  <c r="S100" i="7950"/>
  <c r="N71" i="7950"/>
  <c r="N95" i="7950"/>
  <c r="Q506" i="7950"/>
  <c r="Q530" i="7950"/>
  <c r="P127" i="7950"/>
  <c r="P151" i="7950"/>
  <c r="S525" i="7950"/>
  <c r="S501" i="7950"/>
  <c r="T101" i="7950"/>
  <c r="T77" i="7950"/>
  <c r="Q638" i="7950"/>
  <c r="Q614" i="7950"/>
  <c r="P205" i="7950"/>
  <c r="P181" i="7950"/>
  <c r="W40" i="7950"/>
  <c r="W16" i="7950"/>
  <c r="Q74" i="7950"/>
  <c r="Q98" i="7950"/>
  <c r="N203" i="7950"/>
  <c r="N179" i="7950"/>
  <c r="N473" i="7950"/>
  <c r="N449" i="7950"/>
  <c r="U210" i="7950"/>
  <c r="U186" i="7950"/>
  <c r="R123" i="7950"/>
  <c r="R147" i="7950"/>
  <c r="S154" i="7950"/>
  <c r="S130" i="7950"/>
  <c r="N365" i="7950"/>
  <c r="N341" i="7950"/>
  <c r="R423" i="7950"/>
  <c r="R399" i="7950"/>
  <c r="O528" i="7950"/>
  <c r="O504" i="7950"/>
  <c r="R692" i="7950"/>
  <c r="R668" i="7950"/>
  <c r="P367" i="7950"/>
  <c r="P343" i="7950"/>
  <c r="S316" i="7950"/>
  <c r="S292" i="7950"/>
  <c r="P235" i="7950"/>
  <c r="P259" i="7950"/>
  <c r="M286" i="7950"/>
  <c r="M310" i="7950"/>
  <c r="S633" i="7950"/>
  <c r="S609" i="7950"/>
  <c r="S741" i="7950"/>
  <c r="S717" i="7950"/>
  <c r="U750" i="7950"/>
  <c r="U726" i="7950"/>
  <c r="N395" i="7950"/>
  <c r="N419" i="7950"/>
  <c r="Q206" i="7950"/>
  <c r="Q182" i="7950"/>
  <c r="V155" i="7950"/>
  <c r="V131" i="7950"/>
  <c r="M448" i="7950"/>
  <c r="M472" i="7950"/>
  <c r="R237" i="7950"/>
  <c r="R261" i="7950"/>
  <c r="R693" i="7950"/>
  <c r="R669" i="7950"/>
  <c r="V78" i="7950"/>
  <c r="V102" i="7950"/>
  <c r="T533" i="7950"/>
  <c r="T509" i="7950"/>
  <c r="M256" i="7950"/>
  <c r="M232" i="7950"/>
  <c r="M664" i="7950"/>
  <c r="M688" i="7950"/>
  <c r="R99" i="7950"/>
  <c r="R75" i="7950"/>
  <c r="P691" i="7950"/>
  <c r="P667" i="7950"/>
  <c r="O420" i="7950"/>
  <c r="O396" i="7950"/>
  <c r="N257" i="7950"/>
  <c r="N233" i="7950"/>
  <c r="P637" i="7950"/>
  <c r="P613" i="7950"/>
  <c r="S255" i="7950"/>
  <c r="S231" i="7950"/>
  <c r="N688" i="7950" l="1"/>
  <c r="N664" i="7950"/>
  <c r="W78" i="7950"/>
  <c r="W102" i="7950"/>
  <c r="O395" i="7950"/>
  <c r="O419" i="7950"/>
  <c r="S123" i="7950"/>
  <c r="S147" i="7950"/>
  <c r="R506" i="7950"/>
  <c r="R530" i="7950"/>
  <c r="U369" i="7950"/>
  <c r="U345" i="7950"/>
  <c r="P72" i="7950"/>
  <c r="P96" i="7950"/>
  <c r="T724" i="7950"/>
  <c r="T748" i="7950"/>
  <c r="V372" i="7950"/>
  <c r="V348" i="7950"/>
  <c r="N178" i="7950"/>
  <c r="N202" i="7950"/>
  <c r="T508" i="7950"/>
  <c r="T532" i="7950"/>
  <c r="T370" i="7950"/>
  <c r="T346" i="7950"/>
  <c r="O503" i="7950"/>
  <c r="O527" i="7950"/>
  <c r="T663" i="7950"/>
  <c r="T687" i="7950"/>
  <c r="W672" i="7950"/>
  <c r="W696" i="7950"/>
  <c r="S153" i="7950"/>
  <c r="S129" i="7950"/>
  <c r="T231" i="7950"/>
  <c r="T255" i="7950"/>
  <c r="S669" i="7950"/>
  <c r="S693" i="7950"/>
  <c r="W155" i="7950"/>
  <c r="W131" i="7950"/>
  <c r="R182" i="7950"/>
  <c r="R206" i="7950"/>
  <c r="S692" i="7950"/>
  <c r="S668" i="7950"/>
  <c r="O179" i="7950"/>
  <c r="O203" i="7950"/>
  <c r="Q205" i="7950"/>
  <c r="Q181" i="7950"/>
  <c r="U101" i="7950"/>
  <c r="U77" i="7950"/>
  <c r="T525" i="7950"/>
  <c r="T501" i="7950"/>
  <c r="S747" i="7950"/>
  <c r="S723" i="7950"/>
  <c r="T201" i="7950"/>
  <c r="T177" i="7950"/>
  <c r="N124" i="7950"/>
  <c r="N148" i="7950"/>
  <c r="Q475" i="7950"/>
  <c r="Q451" i="7950"/>
  <c r="T69" i="7950"/>
  <c r="T93" i="7950"/>
  <c r="T262" i="7950"/>
  <c r="T238" i="7950"/>
  <c r="U185" i="7950"/>
  <c r="U209" i="7950"/>
  <c r="U455" i="7950"/>
  <c r="U479" i="7950"/>
  <c r="P342" i="7950"/>
  <c r="P366" i="7950"/>
  <c r="P234" i="7950"/>
  <c r="P258" i="7950"/>
  <c r="R452" i="7950"/>
  <c r="R476" i="7950"/>
  <c r="P612" i="7950"/>
  <c r="P636" i="7950"/>
  <c r="T285" i="7950"/>
  <c r="T309" i="7950"/>
  <c r="O125" i="7950"/>
  <c r="O149" i="7950"/>
  <c r="S531" i="7950"/>
  <c r="S507" i="7950"/>
  <c r="V402" i="7950"/>
  <c r="V426" i="7950"/>
  <c r="N340" i="7950"/>
  <c r="N364" i="7950"/>
  <c r="R368" i="7950"/>
  <c r="R344" i="7950"/>
  <c r="S477" i="7950"/>
  <c r="S453" i="7950"/>
  <c r="S291" i="7950"/>
  <c r="S315" i="7950"/>
  <c r="N718" i="7950"/>
  <c r="N742" i="7950"/>
  <c r="O743" i="7950"/>
  <c r="O719" i="7950"/>
  <c r="T208" i="7950"/>
  <c r="T184" i="7950"/>
  <c r="T471" i="7950"/>
  <c r="T447" i="7950"/>
  <c r="U371" i="7950"/>
  <c r="U347" i="7950"/>
  <c r="V534" i="7950"/>
  <c r="N472" i="7950"/>
  <c r="N448" i="7950"/>
  <c r="O257" i="7950"/>
  <c r="O233" i="7950"/>
  <c r="Q691" i="7950"/>
  <c r="Q667" i="7950"/>
  <c r="S261" i="7950"/>
  <c r="S237" i="7950"/>
  <c r="N286" i="7950"/>
  <c r="N310" i="7950"/>
  <c r="Q235" i="7950"/>
  <c r="Q259" i="7950"/>
  <c r="R74" i="7950"/>
  <c r="R98" i="7950"/>
  <c r="Q127" i="7950"/>
  <c r="Q151" i="7950"/>
  <c r="O71" i="7950"/>
  <c r="O95" i="7950"/>
  <c r="T100" i="7950"/>
  <c r="T76" i="7950"/>
  <c r="U694" i="7950"/>
  <c r="U670" i="7950"/>
  <c r="O665" i="7950"/>
  <c r="O689" i="7950"/>
  <c r="Q745" i="7950"/>
  <c r="Q721" i="7950"/>
  <c r="V642" i="7950"/>
  <c r="V618" i="7950"/>
  <c r="V294" i="7950"/>
  <c r="V318" i="7950"/>
  <c r="V264" i="7950"/>
  <c r="V240" i="7950"/>
  <c r="U401" i="7950"/>
  <c r="U425" i="7950"/>
  <c r="R746" i="7950"/>
  <c r="R722" i="7950"/>
  <c r="R260" i="7950"/>
  <c r="R236" i="7950"/>
  <c r="S639" i="7950"/>
  <c r="S615" i="7950"/>
  <c r="Q73" i="7950"/>
  <c r="Q97" i="7950"/>
  <c r="Q505" i="7950"/>
  <c r="Q529" i="7950"/>
  <c r="T207" i="7950"/>
  <c r="T183" i="7950"/>
  <c r="R422" i="7950"/>
  <c r="R398" i="7950"/>
  <c r="U293" i="7950"/>
  <c r="U317" i="7950"/>
  <c r="U725" i="7950"/>
  <c r="U749" i="7950"/>
  <c r="P474" i="7950"/>
  <c r="P450" i="7950"/>
  <c r="N394" i="7950"/>
  <c r="N418" i="7950"/>
  <c r="P288" i="7950"/>
  <c r="P312" i="7950"/>
  <c r="P690" i="7950"/>
  <c r="P666" i="7950"/>
  <c r="R152" i="7950"/>
  <c r="R128" i="7950"/>
  <c r="U617" i="7950"/>
  <c r="U641" i="7950"/>
  <c r="Q637" i="7950"/>
  <c r="Q613" i="7950"/>
  <c r="P396" i="7950"/>
  <c r="P420" i="7950"/>
  <c r="S99" i="7950"/>
  <c r="S75" i="7950"/>
  <c r="N232" i="7950"/>
  <c r="N256" i="7950"/>
  <c r="U533" i="7950"/>
  <c r="U509" i="7950"/>
  <c r="V726" i="7950"/>
  <c r="V750" i="7950"/>
  <c r="T741" i="7950"/>
  <c r="T717" i="7950"/>
  <c r="T609" i="7950"/>
  <c r="T633" i="7950"/>
  <c r="T292" i="7950"/>
  <c r="T316" i="7950"/>
  <c r="Q343" i="7950"/>
  <c r="Q367" i="7950"/>
  <c r="P504" i="7950"/>
  <c r="P528" i="7950"/>
  <c r="S423" i="7950"/>
  <c r="S399" i="7950"/>
  <c r="O365" i="7950"/>
  <c r="O341" i="7950"/>
  <c r="T130" i="7950"/>
  <c r="T154" i="7950"/>
  <c r="V210" i="7950"/>
  <c r="V186" i="7950"/>
  <c r="O473" i="7950"/>
  <c r="O449" i="7950"/>
  <c r="R614" i="7950"/>
  <c r="R638" i="7950"/>
  <c r="O311" i="7950"/>
  <c r="O287" i="7950"/>
  <c r="P720" i="7950"/>
  <c r="P744" i="7950"/>
  <c r="T454" i="7950"/>
  <c r="T478" i="7950"/>
  <c r="T640" i="7950"/>
  <c r="T616" i="7950"/>
  <c r="O611" i="7950"/>
  <c r="O635" i="7950"/>
  <c r="R290" i="7950"/>
  <c r="R314" i="7950"/>
  <c r="T417" i="7950"/>
  <c r="T393" i="7950"/>
  <c r="N94" i="7950"/>
  <c r="N70" i="7950"/>
  <c r="P126" i="7950"/>
  <c r="P150" i="7950"/>
  <c r="U239" i="7950"/>
  <c r="U263" i="7950"/>
  <c r="T424" i="7950"/>
  <c r="T400" i="7950"/>
  <c r="Q397" i="7950"/>
  <c r="Q421" i="7950"/>
  <c r="P204" i="7950"/>
  <c r="P180" i="7950"/>
  <c r="N502" i="7950"/>
  <c r="N526" i="7950"/>
  <c r="N634" i="7950"/>
  <c r="N610" i="7950"/>
  <c r="T363" i="7950"/>
  <c r="T339" i="7950"/>
  <c r="V480" i="7950"/>
  <c r="V456" i="7950"/>
  <c r="Q289" i="7950"/>
  <c r="Q313" i="7950"/>
  <c r="Q150" i="7950" l="1"/>
  <c r="Q126" i="7950"/>
  <c r="P611" i="7950"/>
  <c r="P635" i="7950"/>
  <c r="Q720" i="7950"/>
  <c r="Q744" i="7950"/>
  <c r="S614" i="7950"/>
  <c r="S638" i="7950"/>
  <c r="Q528" i="7950"/>
  <c r="Q504" i="7950"/>
  <c r="R343" i="7950"/>
  <c r="R367" i="7950"/>
  <c r="U633" i="7950"/>
  <c r="U609" i="7950"/>
  <c r="W750" i="7950"/>
  <c r="W726" i="7950"/>
  <c r="Q288" i="7950"/>
  <c r="Q312" i="7950"/>
  <c r="V425" i="7950"/>
  <c r="V401" i="7950"/>
  <c r="W318" i="7950"/>
  <c r="W294" i="7950"/>
  <c r="P665" i="7950"/>
  <c r="P689" i="7950"/>
  <c r="R151" i="7950"/>
  <c r="R127" i="7950"/>
  <c r="O286" i="7950"/>
  <c r="O310" i="7950"/>
  <c r="O742" i="7950"/>
  <c r="O718" i="7950"/>
  <c r="T315" i="7950"/>
  <c r="T291" i="7950"/>
  <c r="U309" i="7950"/>
  <c r="U285" i="7950"/>
  <c r="S476" i="7950"/>
  <c r="S452" i="7950"/>
  <c r="Q342" i="7950"/>
  <c r="Q366" i="7950"/>
  <c r="V479" i="7950"/>
  <c r="V455" i="7950"/>
  <c r="U93" i="7950"/>
  <c r="U69" i="7950"/>
  <c r="O148" i="7950"/>
  <c r="O124" i="7950"/>
  <c r="P179" i="7950"/>
  <c r="P203" i="7950"/>
  <c r="U231" i="7950"/>
  <c r="U255" i="7950"/>
  <c r="U508" i="7950"/>
  <c r="U532" i="7950"/>
  <c r="O178" i="7950"/>
  <c r="O202" i="7950"/>
  <c r="S506" i="7950"/>
  <c r="S530" i="7950"/>
  <c r="T123" i="7950"/>
  <c r="T147" i="7950"/>
  <c r="O610" i="7950"/>
  <c r="O634" i="7950"/>
  <c r="U393" i="7950"/>
  <c r="U417" i="7950"/>
  <c r="P287" i="7950"/>
  <c r="P311" i="7950"/>
  <c r="W210" i="7950"/>
  <c r="W186" i="7950"/>
  <c r="P365" i="7950"/>
  <c r="P341" i="7950"/>
  <c r="V533" i="7950"/>
  <c r="V509" i="7950"/>
  <c r="T99" i="7950"/>
  <c r="T75" i="7950"/>
  <c r="R613" i="7950"/>
  <c r="R637" i="7950"/>
  <c r="S152" i="7950"/>
  <c r="S128" i="7950"/>
  <c r="Q450" i="7950"/>
  <c r="Q474" i="7950"/>
  <c r="S422" i="7950"/>
  <c r="S398" i="7950"/>
  <c r="U183" i="7950"/>
  <c r="U207" i="7950"/>
  <c r="T615" i="7950"/>
  <c r="T639" i="7950"/>
  <c r="W240" i="7950"/>
  <c r="W264" i="7950"/>
  <c r="R745" i="7950"/>
  <c r="R721" i="7950"/>
  <c r="U100" i="7950"/>
  <c r="U76" i="7950"/>
  <c r="R691" i="7950"/>
  <c r="R667" i="7950"/>
  <c r="O472" i="7950"/>
  <c r="O448" i="7950"/>
  <c r="W534" i="7950"/>
  <c r="U208" i="7950"/>
  <c r="U184" i="7950"/>
  <c r="T507" i="7950"/>
  <c r="T531" i="7950"/>
  <c r="U177" i="7950"/>
  <c r="U201" i="7950"/>
  <c r="T747" i="7950"/>
  <c r="T723" i="7950"/>
  <c r="U501" i="7950"/>
  <c r="U525" i="7950"/>
  <c r="T668" i="7950"/>
  <c r="T692" i="7950"/>
  <c r="T129" i="7950"/>
  <c r="T153" i="7950"/>
  <c r="V345" i="7950"/>
  <c r="V369" i="7950"/>
  <c r="R289" i="7950"/>
  <c r="R313" i="7950"/>
  <c r="U339" i="7950"/>
  <c r="U363" i="7950"/>
  <c r="Q180" i="7950"/>
  <c r="Q204" i="7950"/>
  <c r="U400" i="7950"/>
  <c r="U424" i="7950"/>
  <c r="O94" i="7950"/>
  <c r="O70" i="7950"/>
  <c r="U616" i="7950"/>
  <c r="U640" i="7950"/>
  <c r="O502" i="7950"/>
  <c r="O526" i="7950"/>
  <c r="R421" i="7950"/>
  <c r="R397" i="7950"/>
  <c r="V263" i="7950"/>
  <c r="V239" i="7950"/>
  <c r="S314" i="7950"/>
  <c r="S290" i="7950"/>
  <c r="U478" i="7950"/>
  <c r="U454" i="7950"/>
  <c r="U130" i="7950"/>
  <c r="U154" i="7950"/>
  <c r="U292" i="7950"/>
  <c r="U316" i="7950"/>
  <c r="O232" i="7950"/>
  <c r="O256" i="7950"/>
  <c r="Q420" i="7950"/>
  <c r="Q396" i="7950"/>
  <c r="V617" i="7950"/>
  <c r="V641" i="7950"/>
  <c r="O394" i="7950"/>
  <c r="O418" i="7950"/>
  <c r="V725" i="7950"/>
  <c r="V749" i="7950"/>
  <c r="V293" i="7950"/>
  <c r="V317" i="7950"/>
  <c r="R529" i="7950"/>
  <c r="R505" i="7950"/>
  <c r="R73" i="7950"/>
  <c r="R97" i="7950"/>
  <c r="P71" i="7950"/>
  <c r="P95" i="7950"/>
  <c r="S98" i="7950"/>
  <c r="S74" i="7950"/>
  <c r="R259" i="7950"/>
  <c r="R235" i="7950"/>
  <c r="O364" i="7950"/>
  <c r="O340" i="7950"/>
  <c r="W426" i="7950"/>
  <c r="W402" i="7950"/>
  <c r="P125" i="7950"/>
  <c r="P149" i="7950"/>
  <c r="Q612" i="7950"/>
  <c r="Q636" i="7950"/>
  <c r="Q234" i="7950"/>
  <c r="Q258" i="7950"/>
  <c r="V185" i="7950"/>
  <c r="V209" i="7950"/>
  <c r="S182" i="7950"/>
  <c r="S206" i="7950"/>
  <c r="T669" i="7950"/>
  <c r="T693" i="7950"/>
  <c r="U663" i="7950"/>
  <c r="U687" i="7950"/>
  <c r="P527" i="7950"/>
  <c r="P503" i="7950"/>
  <c r="U724" i="7950"/>
  <c r="U748" i="7950"/>
  <c r="Q96" i="7950"/>
  <c r="Q72" i="7950"/>
  <c r="P395" i="7950"/>
  <c r="P419" i="7950"/>
  <c r="W456" i="7950"/>
  <c r="W480" i="7950"/>
  <c r="P473" i="7950"/>
  <c r="P449" i="7950"/>
  <c r="T423" i="7950"/>
  <c r="T399" i="7950"/>
  <c r="U717" i="7950"/>
  <c r="U741" i="7950"/>
  <c r="Q690" i="7950"/>
  <c r="Q666" i="7950"/>
  <c r="S236" i="7950"/>
  <c r="S260" i="7950"/>
  <c r="S746" i="7950"/>
  <c r="S722" i="7950"/>
  <c r="W642" i="7950"/>
  <c r="W618" i="7950"/>
  <c r="V670" i="7950"/>
  <c r="V694" i="7950"/>
  <c r="T261" i="7950"/>
  <c r="T237" i="7950"/>
  <c r="P233" i="7950"/>
  <c r="P257" i="7950"/>
  <c r="V347" i="7950"/>
  <c r="V371" i="7950"/>
  <c r="U447" i="7950"/>
  <c r="U471" i="7950"/>
  <c r="P719" i="7950"/>
  <c r="P743" i="7950"/>
  <c r="T453" i="7950"/>
  <c r="T477" i="7950"/>
  <c r="S344" i="7950"/>
  <c r="S368" i="7950"/>
  <c r="U262" i="7950"/>
  <c r="U238" i="7950"/>
  <c r="R475" i="7950"/>
  <c r="R451" i="7950"/>
  <c r="V77" i="7950"/>
  <c r="V101" i="7950"/>
  <c r="R181" i="7950"/>
  <c r="R205" i="7950"/>
  <c r="U370" i="7950"/>
  <c r="U346" i="7950"/>
  <c r="W348" i="7950"/>
  <c r="W372" i="7950"/>
  <c r="O688" i="7950"/>
  <c r="O664" i="7950"/>
  <c r="S205" i="7950" l="1"/>
  <c r="S181" i="7950"/>
  <c r="T344" i="7950"/>
  <c r="T368" i="7950"/>
  <c r="V447" i="7950"/>
  <c r="V471" i="7950"/>
  <c r="V663" i="7950"/>
  <c r="V687" i="7950"/>
  <c r="U693" i="7950"/>
  <c r="U669" i="7950"/>
  <c r="W209" i="7950"/>
  <c r="W185" i="7950"/>
  <c r="R258" i="7950"/>
  <c r="R234" i="7950"/>
  <c r="Q149" i="7950"/>
  <c r="Q125" i="7950"/>
  <c r="Q95" i="7950"/>
  <c r="Q71" i="7950"/>
  <c r="S73" i="7950"/>
  <c r="S97" i="7950"/>
  <c r="W725" i="7950"/>
  <c r="W749" i="7950"/>
  <c r="W641" i="7950"/>
  <c r="W617" i="7950"/>
  <c r="P232" i="7950"/>
  <c r="P256" i="7950"/>
  <c r="V130" i="7950"/>
  <c r="V154" i="7950"/>
  <c r="P502" i="7950"/>
  <c r="P526" i="7950"/>
  <c r="V640" i="7950"/>
  <c r="V616" i="7950"/>
  <c r="V424" i="7950"/>
  <c r="V400" i="7950"/>
  <c r="S289" i="7950"/>
  <c r="S313" i="7950"/>
  <c r="U153" i="7950"/>
  <c r="U129" i="7950"/>
  <c r="U668" i="7950"/>
  <c r="U692" i="7950"/>
  <c r="R450" i="7950"/>
  <c r="R474" i="7950"/>
  <c r="Q287" i="7950"/>
  <c r="Q311" i="7950"/>
  <c r="U147" i="7950"/>
  <c r="U123" i="7950"/>
  <c r="V532" i="7950"/>
  <c r="V508" i="7950"/>
  <c r="Q665" i="7950"/>
  <c r="Q689" i="7950"/>
  <c r="R312" i="7950"/>
  <c r="R288" i="7950"/>
  <c r="S343" i="7950"/>
  <c r="S367" i="7950"/>
  <c r="Q611" i="7950"/>
  <c r="Q635" i="7950"/>
  <c r="V370" i="7950"/>
  <c r="V346" i="7950"/>
  <c r="V238" i="7950"/>
  <c r="V262" i="7950"/>
  <c r="U261" i="7950"/>
  <c r="U237" i="7950"/>
  <c r="T746" i="7950"/>
  <c r="T722" i="7950"/>
  <c r="R666" i="7950"/>
  <c r="R690" i="7950"/>
  <c r="Q449" i="7950"/>
  <c r="Q473" i="7950"/>
  <c r="R72" i="7950"/>
  <c r="R96" i="7950"/>
  <c r="P364" i="7950"/>
  <c r="P340" i="7950"/>
  <c r="S235" i="7950"/>
  <c r="S259" i="7950"/>
  <c r="V478" i="7950"/>
  <c r="V454" i="7950"/>
  <c r="W263" i="7950"/>
  <c r="W239" i="7950"/>
  <c r="P94" i="7950"/>
  <c r="P70" i="7950"/>
  <c r="U747" i="7950"/>
  <c r="U723" i="7950"/>
  <c r="V184" i="7950"/>
  <c r="V208" i="7950"/>
  <c r="P472" i="7950"/>
  <c r="P448" i="7950"/>
  <c r="S721" i="7950"/>
  <c r="S745" i="7950"/>
  <c r="T398" i="7950"/>
  <c r="T422" i="7950"/>
  <c r="U99" i="7950"/>
  <c r="U75" i="7950"/>
  <c r="Q341" i="7950"/>
  <c r="Q365" i="7950"/>
  <c r="P124" i="7950"/>
  <c r="P148" i="7950"/>
  <c r="W455" i="7950"/>
  <c r="W479" i="7950"/>
  <c r="T476" i="7950"/>
  <c r="T452" i="7950"/>
  <c r="V285" i="7950"/>
  <c r="V309" i="7950"/>
  <c r="P742" i="7950"/>
  <c r="P718" i="7950"/>
  <c r="W425" i="7950"/>
  <c r="W401" i="7950"/>
  <c r="W77" i="7950"/>
  <c r="W101" i="7950"/>
  <c r="U477" i="7950"/>
  <c r="U453" i="7950"/>
  <c r="Q743" i="7950"/>
  <c r="Q719" i="7950"/>
  <c r="W371" i="7950"/>
  <c r="W347" i="7950"/>
  <c r="Q233" i="7950"/>
  <c r="Q257" i="7950"/>
  <c r="W694" i="7950"/>
  <c r="W670" i="7950"/>
  <c r="T260" i="7950"/>
  <c r="T236" i="7950"/>
  <c r="V717" i="7950"/>
  <c r="V741" i="7950"/>
  <c r="Q395" i="7950"/>
  <c r="Q419" i="7950"/>
  <c r="V748" i="7950"/>
  <c r="V724" i="7950"/>
  <c r="T182" i="7950"/>
  <c r="T206" i="7950"/>
  <c r="R612" i="7950"/>
  <c r="R636" i="7950"/>
  <c r="W317" i="7950"/>
  <c r="W293" i="7950"/>
  <c r="P418" i="7950"/>
  <c r="P394" i="7950"/>
  <c r="V316" i="7950"/>
  <c r="V292" i="7950"/>
  <c r="R204" i="7950"/>
  <c r="R180" i="7950"/>
  <c r="V339" i="7950"/>
  <c r="V363" i="7950"/>
  <c r="W369" i="7950"/>
  <c r="W345" i="7950"/>
  <c r="V525" i="7950"/>
  <c r="V501" i="7950"/>
  <c r="V177" i="7950"/>
  <c r="V201" i="7950"/>
  <c r="U507" i="7950"/>
  <c r="U531" i="7950"/>
  <c r="U639" i="7950"/>
  <c r="U615" i="7950"/>
  <c r="V207" i="7950"/>
  <c r="V183" i="7950"/>
  <c r="S613" i="7950"/>
  <c r="S637" i="7950"/>
  <c r="V417" i="7950"/>
  <c r="V393" i="7950"/>
  <c r="P610" i="7950"/>
  <c r="P634" i="7950"/>
  <c r="T506" i="7950"/>
  <c r="T530" i="7950"/>
  <c r="P202" i="7950"/>
  <c r="P178" i="7950"/>
  <c r="V231" i="7950"/>
  <c r="V255" i="7950"/>
  <c r="Q203" i="7950"/>
  <c r="Q179" i="7950"/>
  <c r="R366" i="7950"/>
  <c r="R342" i="7950"/>
  <c r="P286" i="7950"/>
  <c r="P310" i="7950"/>
  <c r="T614" i="7950"/>
  <c r="T638" i="7950"/>
  <c r="R744" i="7950"/>
  <c r="R720" i="7950"/>
  <c r="P688" i="7950"/>
  <c r="P664" i="7950"/>
  <c r="S475" i="7950"/>
  <c r="S451" i="7950"/>
  <c r="U399" i="7950"/>
  <c r="U423" i="7950"/>
  <c r="Q503" i="7950"/>
  <c r="Q527" i="7950"/>
  <c r="T74" i="7950"/>
  <c r="T98" i="7950"/>
  <c r="S505" i="7950"/>
  <c r="S529" i="7950"/>
  <c r="R396" i="7950"/>
  <c r="R420" i="7950"/>
  <c r="T290" i="7950"/>
  <c r="T314" i="7950"/>
  <c r="S421" i="7950"/>
  <c r="S397" i="7950"/>
  <c r="S691" i="7950"/>
  <c r="S667" i="7950"/>
  <c r="V76" i="7950"/>
  <c r="V100" i="7950"/>
  <c r="T128" i="7950"/>
  <c r="T152" i="7950"/>
  <c r="W533" i="7950"/>
  <c r="W509" i="7950"/>
  <c r="V69" i="7950"/>
  <c r="V93" i="7950"/>
  <c r="U291" i="7950"/>
  <c r="U315" i="7950"/>
  <c r="S127" i="7950"/>
  <c r="S151" i="7950"/>
  <c r="V609" i="7950"/>
  <c r="V633" i="7950"/>
  <c r="R504" i="7950"/>
  <c r="R528" i="7950"/>
  <c r="R150" i="7950"/>
  <c r="R126" i="7950"/>
  <c r="W609" i="7950" l="1"/>
  <c r="W633" i="7950"/>
  <c r="S126" i="7950"/>
  <c r="S150" i="7950"/>
  <c r="S528" i="7950"/>
  <c r="S504" i="7950"/>
  <c r="T151" i="7950"/>
  <c r="T127" i="7950"/>
  <c r="W69" i="7950"/>
  <c r="W93" i="7950"/>
  <c r="U152" i="7950"/>
  <c r="U128" i="7950"/>
  <c r="T529" i="7950"/>
  <c r="T505" i="7950"/>
  <c r="V399" i="7950"/>
  <c r="V423" i="7950"/>
  <c r="U638" i="7950"/>
  <c r="U614" i="7950"/>
  <c r="Q310" i="7950"/>
  <c r="Q286" i="7950"/>
  <c r="W177" i="7950"/>
  <c r="W201" i="7950"/>
  <c r="S636" i="7950"/>
  <c r="S612" i="7950"/>
  <c r="R395" i="7950"/>
  <c r="R419" i="7950"/>
  <c r="W741" i="7950"/>
  <c r="W717" i="7950"/>
  <c r="W309" i="7950"/>
  <c r="W285" i="7950"/>
  <c r="T745" i="7950"/>
  <c r="T721" i="7950"/>
  <c r="W208" i="7950"/>
  <c r="W184" i="7950"/>
  <c r="S72" i="7950"/>
  <c r="S96" i="7950"/>
  <c r="R449" i="7950"/>
  <c r="R473" i="7950"/>
  <c r="S690" i="7950"/>
  <c r="S666" i="7950"/>
  <c r="W262" i="7950"/>
  <c r="W238" i="7950"/>
  <c r="R665" i="7950"/>
  <c r="R689" i="7950"/>
  <c r="R311" i="7950"/>
  <c r="R287" i="7950"/>
  <c r="S474" i="7950"/>
  <c r="S450" i="7950"/>
  <c r="V668" i="7950"/>
  <c r="V692" i="7950"/>
  <c r="T289" i="7950"/>
  <c r="T313" i="7950"/>
  <c r="Q526" i="7950"/>
  <c r="Q502" i="7950"/>
  <c r="W130" i="7950"/>
  <c r="W154" i="7950"/>
  <c r="W663" i="7950"/>
  <c r="W687" i="7950"/>
  <c r="U368" i="7950"/>
  <c r="U344" i="7950"/>
  <c r="T397" i="7950"/>
  <c r="T421" i="7950"/>
  <c r="R203" i="7950"/>
  <c r="R179" i="7950"/>
  <c r="W417" i="7950"/>
  <c r="W393" i="7950"/>
  <c r="V639" i="7950"/>
  <c r="V615" i="7950"/>
  <c r="S204" i="7950"/>
  <c r="S180" i="7950"/>
  <c r="Q394" i="7950"/>
  <c r="Q418" i="7950"/>
  <c r="U260" i="7950"/>
  <c r="U236" i="7950"/>
  <c r="V477" i="7950"/>
  <c r="V453" i="7950"/>
  <c r="V99" i="7950"/>
  <c r="V75" i="7950"/>
  <c r="Q364" i="7950"/>
  <c r="Q340" i="7950"/>
  <c r="W346" i="7950"/>
  <c r="W370" i="7950"/>
  <c r="S312" i="7950"/>
  <c r="S288" i="7950"/>
  <c r="W508" i="7950"/>
  <c r="W532" i="7950"/>
  <c r="V123" i="7950"/>
  <c r="V147" i="7950"/>
  <c r="W616" i="7950"/>
  <c r="W640" i="7950"/>
  <c r="R71" i="7950"/>
  <c r="R95" i="7950"/>
  <c r="S234" i="7950"/>
  <c r="S258" i="7950"/>
  <c r="T181" i="7950"/>
  <c r="T205" i="7950"/>
  <c r="V315" i="7950"/>
  <c r="V291" i="7950"/>
  <c r="W76" i="7950"/>
  <c r="W100" i="7950"/>
  <c r="U314" i="7950"/>
  <c r="U290" i="7950"/>
  <c r="S420" i="7950"/>
  <c r="S396" i="7950"/>
  <c r="U98" i="7950"/>
  <c r="U74" i="7950"/>
  <c r="R527" i="7950"/>
  <c r="R503" i="7950"/>
  <c r="W255" i="7950"/>
  <c r="W231" i="7950"/>
  <c r="U530" i="7950"/>
  <c r="U506" i="7950"/>
  <c r="Q634" i="7950"/>
  <c r="Q610" i="7950"/>
  <c r="T637" i="7950"/>
  <c r="T613" i="7950"/>
  <c r="V531" i="7950"/>
  <c r="V507" i="7950"/>
  <c r="W339" i="7950"/>
  <c r="W363" i="7950"/>
  <c r="U182" i="7950"/>
  <c r="U206" i="7950"/>
  <c r="R233" i="7950"/>
  <c r="R257" i="7950"/>
  <c r="Q148" i="7950"/>
  <c r="Q124" i="7950"/>
  <c r="R341" i="7950"/>
  <c r="R365" i="7950"/>
  <c r="U422" i="7950"/>
  <c r="U398" i="7950"/>
  <c r="T235" i="7950"/>
  <c r="T259" i="7950"/>
  <c r="R635" i="7950"/>
  <c r="R611" i="7950"/>
  <c r="T343" i="7950"/>
  <c r="T367" i="7950"/>
  <c r="Q256" i="7950"/>
  <c r="Q232" i="7950"/>
  <c r="T97" i="7950"/>
  <c r="T73" i="7950"/>
  <c r="W447" i="7950"/>
  <c r="W471" i="7950"/>
  <c r="T691" i="7950"/>
  <c r="T667" i="7950"/>
  <c r="T451" i="7950"/>
  <c r="T475" i="7950"/>
  <c r="Q664" i="7950"/>
  <c r="Q688" i="7950"/>
  <c r="S720" i="7950"/>
  <c r="S744" i="7950"/>
  <c r="S342" i="7950"/>
  <c r="S366" i="7950"/>
  <c r="Q178" i="7950"/>
  <c r="Q202" i="7950"/>
  <c r="W207" i="7950"/>
  <c r="W183" i="7950"/>
  <c r="W501" i="7950"/>
  <c r="W525" i="7950"/>
  <c r="W316" i="7950"/>
  <c r="W292" i="7950"/>
  <c r="W724" i="7950"/>
  <c r="W748" i="7950"/>
  <c r="R719" i="7950"/>
  <c r="R743" i="7950"/>
  <c r="Q718" i="7950"/>
  <c r="Q742" i="7950"/>
  <c r="U452" i="7950"/>
  <c r="U476" i="7950"/>
  <c r="Q472" i="7950"/>
  <c r="Q448" i="7950"/>
  <c r="V723" i="7950"/>
  <c r="V747" i="7950"/>
  <c r="Q70" i="7950"/>
  <c r="Q94" i="7950"/>
  <c r="W454" i="7950"/>
  <c r="W478" i="7950"/>
  <c r="U746" i="7950"/>
  <c r="U722" i="7950"/>
  <c r="V237" i="7950"/>
  <c r="V261" i="7950"/>
  <c r="V153" i="7950"/>
  <c r="V129" i="7950"/>
  <c r="W424" i="7950"/>
  <c r="W400" i="7950"/>
  <c r="R149" i="7950"/>
  <c r="R125" i="7950"/>
  <c r="V693" i="7950"/>
  <c r="V669" i="7950"/>
  <c r="R718" i="7950" l="1"/>
  <c r="R742" i="7950"/>
  <c r="S719" i="7950"/>
  <c r="S743" i="7950"/>
  <c r="T366" i="7950"/>
  <c r="T342" i="7950"/>
  <c r="R688" i="7950"/>
  <c r="R664" i="7950"/>
  <c r="U259" i="7950"/>
  <c r="U235" i="7950"/>
  <c r="V206" i="7950"/>
  <c r="V182" i="7950"/>
  <c r="U181" i="7950"/>
  <c r="U205" i="7950"/>
  <c r="S95" i="7950"/>
  <c r="S71" i="7950"/>
  <c r="W123" i="7950"/>
  <c r="W147" i="7950"/>
  <c r="W692" i="7950"/>
  <c r="W668" i="7950"/>
  <c r="S419" i="7950"/>
  <c r="S395" i="7950"/>
  <c r="T126" i="7950"/>
  <c r="T150" i="7950"/>
  <c r="S125" i="7950"/>
  <c r="S149" i="7950"/>
  <c r="V722" i="7950"/>
  <c r="V746" i="7950"/>
  <c r="R472" i="7950"/>
  <c r="R448" i="7950"/>
  <c r="U667" i="7950"/>
  <c r="U691" i="7950"/>
  <c r="S611" i="7950"/>
  <c r="S635" i="7950"/>
  <c r="V422" i="7950"/>
  <c r="V398" i="7950"/>
  <c r="R610" i="7950"/>
  <c r="R634" i="7950"/>
  <c r="T420" i="7950"/>
  <c r="T396" i="7950"/>
  <c r="T288" i="7950"/>
  <c r="T312" i="7950"/>
  <c r="R340" i="7950"/>
  <c r="R364" i="7950"/>
  <c r="W99" i="7950"/>
  <c r="W75" i="7950"/>
  <c r="V236" i="7950"/>
  <c r="V260" i="7950"/>
  <c r="T204" i="7950"/>
  <c r="T180" i="7950"/>
  <c r="W615" i="7950"/>
  <c r="W639" i="7950"/>
  <c r="R526" i="7950"/>
  <c r="R502" i="7950"/>
  <c r="S287" i="7950"/>
  <c r="S311" i="7950"/>
  <c r="T690" i="7950"/>
  <c r="T666" i="7950"/>
  <c r="U721" i="7950"/>
  <c r="U745" i="7950"/>
  <c r="T612" i="7950"/>
  <c r="T636" i="7950"/>
  <c r="U529" i="7950"/>
  <c r="U505" i="7950"/>
  <c r="U127" i="7950"/>
  <c r="U151" i="7950"/>
  <c r="W261" i="7950"/>
  <c r="W237" i="7950"/>
  <c r="R70" i="7950"/>
  <c r="R94" i="7950"/>
  <c r="W723" i="7950"/>
  <c r="W747" i="7950"/>
  <c r="V452" i="7950"/>
  <c r="V476" i="7950"/>
  <c r="R202" i="7950"/>
  <c r="R178" i="7950"/>
  <c r="T744" i="7950"/>
  <c r="T720" i="7950"/>
  <c r="U475" i="7950"/>
  <c r="U451" i="7950"/>
  <c r="U343" i="7950"/>
  <c r="U367" i="7950"/>
  <c r="S341" i="7950"/>
  <c r="S365" i="7950"/>
  <c r="S257" i="7950"/>
  <c r="S233" i="7950"/>
  <c r="T258" i="7950"/>
  <c r="T234" i="7950"/>
  <c r="R418" i="7950"/>
  <c r="R394" i="7950"/>
  <c r="U397" i="7950"/>
  <c r="U421" i="7950"/>
  <c r="U289" i="7950"/>
  <c r="U313" i="7950"/>
  <c r="S665" i="7950"/>
  <c r="S689" i="7950"/>
  <c r="S473" i="7950"/>
  <c r="S449" i="7950"/>
  <c r="T96" i="7950"/>
  <c r="T72" i="7950"/>
  <c r="W399" i="7950"/>
  <c r="W423" i="7950"/>
  <c r="W669" i="7950"/>
  <c r="W693" i="7950"/>
  <c r="W129" i="7950"/>
  <c r="W153" i="7950"/>
  <c r="U73" i="7950"/>
  <c r="U97" i="7950"/>
  <c r="R232" i="7950"/>
  <c r="R256" i="7950"/>
  <c r="R124" i="7950"/>
  <c r="R148" i="7950"/>
  <c r="W507" i="7950"/>
  <c r="W531" i="7950"/>
  <c r="U637" i="7950"/>
  <c r="U613" i="7950"/>
  <c r="V530" i="7950"/>
  <c r="V506" i="7950"/>
  <c r="S503" i="7950"/>
  <c r="S527" i="7950"/>
  <c r="V98" i="7950"/>
  <c r="V74" i="7950"/>
  <c r="V314" i="7950"/>
  <c r="V290" i="7950"/>
  <c r="W315" i="7950"/>
  <c r="W291" i="7950"/>
  <c r="W453" i="7950"/>
  <c r="W477" i="7950"/>
  <c r="S203" i="7950"/>
  <c r="S179" i="7950"/>
  <c r="V368" i="7950"/>
  <c r="V344" i="7950"/>
  <c r="T450" i="7950"/>
  <c r="T474" i="7950"/>
  <c r="R286" i="7950"/>
  <c r="R310" i="7950"/>
  <c r="V614" i="7950"/>
  <c r="V638" i="7950"/>
  <c r="V128" i="7950"/>
  <c r="V152" i="7950"/>
  <c r="T504" i="7950"/>
  <c r="T528" i="7950"/>
  <c r="S418" i="7950" l="1"/>
  <c r="S394" i="7950"/>
  <c r="S286" i="7950"/>
  <c r="S310" i="7950"/>
  <c r="U450" i="7950"/>
  <c r="U474" i="7950"/>
  <c r="S124" i="7950"/>
  <c r="S148" i="7950"/>
  <c r="S256" i="7950"/>
  <c r="S232" i="7950"/>
  <c r="T665" i="7950"/>
  <c r="T689" i="7950"/>
  <c r="T365" i="7950"/>
  <c r="T341" i="7950"/>
  <c r="V367" i="7950"/>
  <c r="V343" i="7950"/>
  <c r="V127" i="7950"/>
  <c r="V151" i="7950"/>
  <c r="V745" i="7950"/>
  <c r="V721" i="7950"/>
  <c r="S340" i="7950"/>
  <c r="S364" i="7950"/>
  <c r="U288" i="7950"/>
  <c r="U312" i="7950"/>
  <c r="S610" i="7950"/>
  <c r="S634" i="7950"/>
  <c r="V691" i="7950"/>
  <c r="V667" i="7950"/>
  <c r="T125" i="7950"/>
  <c r="T149" i="7950"/>
  <c r="S742" i="7950"/>
  <c r="S718" i="7950"/>
  <c r="W290" i="7950"/>
  <c r="W314" i="7950"/>
  <c r="W530" i="7950"/>
  <c r="W506" i="7950"/>
  <c r="W344" i="7950"/>
  <c r="W368" i="7950"/>
  <c r="W74" i="7950"/>
  <c r="W98" i="7950"/>
  <c r="V613" i="7950"/>
  <c r="V637" i="7950"/>
  <c r="T449" i="7950"/>
  <c r="T473" i="7950"/>
  <c r="U234" i="7950"/>
  <c r="U258" i="7950"/>
  <c r="T257" i="7950"/>
  <c r="T233" i="7950"/>
  <c r="V451" i="7950"/>
  <c r="V475" i="7950"/>
  <c r="S202" i="7950"/>
  <c r="S178" i="7950"/>
  <c r="V529" i="7950"/>
  <c r="V505" i="7950"/>
  <c r="S502" i="7950"/>
  <c r="S526" i="7950"/>
  <c r="U420" i="7950"/>
  <c r="U396" i="7950"/>
  <c r="W422" i="7950"/>
  <c r="W398" i="7950"/>
  <c r="S448" i="7950"/>
  <c r="S472" i="7950"/>
  <c r="T419" i="7950"/>
  <c r="T395" i="7950"/>
  <c r="T71" i="7950"/>
  <c r="T95" i="7950"/>
  <c r="V259" i="7950"/>
  <c r="V235" i="7950"/>
  <c r="S688" i="7950"/>
  <c r="S664" i="7950"/>
  <c r="T179" i="7950"/>
  <c r="T203" i="7950"/>
  <c r="U528" i="7950"/>
  <c r="U504" i="7950"/>
  <c r="W152" i="7950"/>
  <c r="W128" i="7950"/>
  <c r="W614" i="7950"/>
  <c r="W638" i="7950"/>
  <c r="T503" i="7950"/>
  <c r="T527" i="7950"/>
  <c r="V73" i="7950"/>
  <c r="V97" i="7950"/>
  <c r="V313" i="7950"/>
  <c r="V289" i="7950"/>
  <c r="V421" i="7950"/>
  <c r="V397" i="7950"/>
  <c r="W476" i="7950"/>
  <c r="W452" i="7950"/>
  <c r="S94" i="7950"/>
  <c r="S70" i="7950"/>
  <c r="U636" i="7950"/>
  <c r="U612" i="7950"/>
  <c r="T287" i="7950"/>
  <c r="T311" i="7950"/>
  <c r="W236" i="7950"/>
  <c r="W260" i="7950"/>
  <c r="T611" i="7950"/>
  <c r="T635" i="7950"/>
  <c r="W746" i="7950"/>
  <c r="W722" i="7950"/>
  <c r="U126" i="7950"/>
  <c r="U150" i="7950"/>
  <c r="V181" i="7950"/>
  <c r="V205" i="7950"/>
  <c r="T719" i="7950"/>
  <c r="T743" i="7950"/>
  <c r="U72" i="7950"/>
  <c r="U96" i="7950"/>
  <c r="U744" i="7950"/>
  <c r="U720" i="7950"/>
  <c r="U666" i="7950"/>
  <c r="U690" i="7950"/>
  <c r="U180" i="7950"/>
  <c r="U204" i="7950"/>
  <c r="W206" i="7950"/>
  <c r="W182" i="7950"/>
  <c r="U366" i="7950"/>
  <c r="U342" i="7950"/>
  <c r="V342" i="7950" l="1"/>
  <c r="V366" i="7950"/>
  <c r="V180" i="7950"/>
  <c r="V204" i="7950"/>
  <c r="V690" i="7950"/>
  <c r="V666" i="7950"/>
  <c r="U611" i="7950"/>
  <c r="U635" i="7950"/>
  <c r="W97" i="7950"/>
  <c r="W73" i="7950"/>
  <c r="U179" i="7950"/>
  <c r="U203" i="7950"/>
  <c r="T526" i="7950"/>
  <c r="T502" i="7950"/>
  <c r="U149" i="7950"/>
  <c r="U125" i="7950"/>
  <c r="V312" i="7950"/>
  <c r="V288" i="7950"/>
  <c r="T148" i="7950"/>
  <c r="T124" i="7950"/>
  <c r="V450" i="7950"/>
  <c r="V474" i="7950"/>
  <c r="V636" i="7950"/>
  <c r="V612" i="7950"/>
  <c r="W421" i="7950"/>
  <c r="W397" i="7950"/>
  <c r="T688" i="7950"/>
  <c r="T664" i="7950"/>
  <c r="V396" i="7950"/>
  <c r="V420" i="7950"/>
  <c r="T178" i="7950"/>
  <c r="T202" i="7950"/>
  <c r="U233" i="7950"/>
  <c r="U257" i="7950"/>
  <c r="W691" i="7950"/>
  <c r="W667" i="7950"/>
  <c r="W745" i="7950"/>
  <c r="W721" i="7950"/>
  <c r="U365" i="7950"/>
  <c r="U341" i="7950"/>
  <c r="V96" i="7950"/>
  <c r="V72" i="7950"/>
  <c r="U743" i="7950"/>
  <c r="U719" i="7950"/>
  <c r="W181" i="7950"/>
  <c r="W205" i="7950"/>
  <c r="V150" i="7950"/>
  <c r="V126" i="7950"/>
  <c r="U287" i="7950"/>
  <c r="U311" i="7950"/>
  <c r="U503" i="7950"/>
  <c r="U527" i="7950"/>
  <c r="U71" i="7950"/>
  <c r="U95" i="7950"/>
  <c r="T472" i="7950"/>
  <c r="T448" i="7950"/>
  <c r="W475" i="7950"/>
  <c r="W451" i="7950"/>
  <c r="V234" i="7950"/>
  <c r="V258" i="7950"/>
  <c r="U449" i="7950"/>
  <c r="U473" i="7950"/>
  <c r="W637" i="7950"/>
  <c r="W613" i="7950"/>
  <c r="T610" i="7950"/>
  <c r="T634" i="7950"/>
  <c r="T340" i="7950"/>
  <c r="T364" i="7950"/>
  <c r="W151" i="7950"/>
  <c r="W127" i="7950"/>
  <c r="U689" i="7950"/>
  <c r="U665" i="7950"/>
  <c r="T310" i="7950"/>
  <c r="T286" i="7950"/>
  <c r="V744" i="7950"/>
  <c r="V720" i="7950"/>
  <c r="T94" i="7950"/>
  <c r="T70" i="7950"/>
  <c r="W313" i="7950"/>
  <c r="W289" i="7950"/>
  <c r="V504" i="7950"/>
  <c r="V528" i="7950"/>
  <c r="W235" i="7950"/>
  <c r="W259" i="7950"/>
  <c r="U395" i="7950"/>
  <c r="U419" i="7950"/>
  <c r="W505" i="7950"/>
  <c r="W529" i="7950"/>
  <c r="T742" i="7950"/>
  <c r="T718" i="7950"/>
  <c r="W343" i="7950"/>
  <c r="W367" i="7950"/>
  <c r="T232" i="7950"/>
  <c r="T256" i="7950"/>
  <c r="T394" i="7950"/>
  <c r="T418" i="7950"/>
  <c r="V395" i="7950" l="1"/>
  <c r="V419" i="7950"/>
  <c r="U340" i="7950"/>
  <c r="U364" i="7950"/>
  <c r="V473" i="7950"/>
  <c r="V449" i="7950"/>
  <c r="V71" i="7950"/>
  <c r="V95" i="7950"/>
  <c r="V503" i="7950"/>
  <c r="V527" i="7950"/>
  <c r="V257" i="7950"/>
  <c r="V233" i="7950"/>
  <c r="W450" i="7950"/>
  <c r="W474" i="7950"/>
  <c r="V179" i="7950"/>
  <c r="V203" i="7950"/>
  <c r="W366" i="7950"/>
  <c r="W342" i="7950"/>
  <c r="U418" i="7950"/>
  <c r="U394" i="7950"/>
  <c r="W744" i="7950"/>
  <c r="W720" i="7950"/>
  <c r="U286" i="7950"/>
  <c r="U310" i="7950"/>
  <c r="W72" i="7950"/>
  <c r="W96" i="7950"/>
  <c r="V365" i="7950"/>
  <c r="V341" i="7950"/>
  <c r="V149" i="7950"/>
  <c r="V125" i="7950"/>
  <c r="W690" i="7950"/>
  <c r="W666" i="7950"/>
  <c r="W528" i="7950"/>
  <c r="W504" i="7950"/>
  <c r="U634" i="7950"/>
  <c r="U610" i="7950"/>
  <c r="W258" i="7950"/>
  <c r="W234" i="7950"/>
  <c r="V287" i="7950"/>
  <c r="V311" i="7950"/>
  <c r="U178" i="7950"/>
  <c r="U202" i="7950"/>
  <c r="W420" i="7950"/>
  <c r="W396" i="7950"/>
  <c r="V635" i="7950"/>
  <c r="V611" i="7950"/>
  <c r="W180" i="7950"/>
  <c r="W204" i="7950"/>
  <c r="U256" i="7950"/>
  <c r="U232" i="7950"/>
  <c r="U742" i="7950"/>
  <c r="U718" i="7950"/>
  <c r="U70" i="7950"/>
  <c r="U94" i="7950"/>
  <c r="V689" i="7950"/>
  <c r="V665" i="7950"/>
  <c r="U448" i="7950"/>
  <c r="U472" i="7950"/>
  <c r="W150" i="7950"/>
  <c r="W126" i="7950"/>
  <c r="V719" i="7950"/>
  <c r="V743" i="7950"/>
  <c r="U664" i="7950"/>
  <c r="U688" i="7950"/>
  <c r="W636" i="7950"/>
  <c r="W612" i="7950"/>
  <c r="U148" i="7950"/>
  <c r="U124" i="7950"/>
  <c r="W288" i="7950"/>
  <c r="W312" i="7950"/>
  <c r="U502" i="7950"/>
  <c r="U526" i="7950"/>
  <c r="V502" i="7950" l="1"/>
  <c r="V526" i="7950"/>
  <c r="V472" i="7950"/>
  <c r="V448" i="7950"/>
  <c r="V70" i="7950"/>
  <c r="V94" i="7950"/>
  <c r="W287" i="7950"/>
  <c r="W311" i="7950"/>
  <c r="V310" i="7950"/>
  <c r="V286" i="7950"/>
  <c r="W179" i="7950"/>
  <c r="W203" i="7950"/>
  <c r="W71" i="7950"/>
  <c r="W95" i="7950"/>
  <c r="W665" i="7950"/>
  <c r="W689" i="7950"/>
  <c r="V718" i="7950"/>
  <c r="V742" i="7950"/>
  <c r="W125" i="7950"/>
  <c r="W149" i="7950"/>
  <c r="W365" i="7950"/>
  <c r="W341" i="7950"/>
  <c r="V394" i="7950"/>
  <c r="V418" i="7950"/>
  <c r="W257" i="7950"/>
  <c r="W233" i="7950"/>
  <c r="V664" i="7950"/>
  <c r="V688" i="7950"/>
  <c r="W719" i="7950"/>
  <c r="W743" i="7950"/>
  <c r="V202" i="7950"/>
  <c r="V178" i="7950"/>
  <c r="W503" i="7950"/>
  <c r="W527" i="7950"/>
  <c r="V364" i="7950"/>
  <c r="V340" i="7950"/>
  <c r="W419" i="7950"/>
  <c r="W395" i="7950"/>
  <c r="V148" i="7950"/>
  <c r="V124" i="7950"/>
  <c r="V256" i="7950"/>
  <c r="V232" i="7950"/>
  <c r="W635" i="7950"/>
  <c r="W611" i="7950"/>
  <c r="V610" i="7950"/>
  <c r="V634" i="7950"/>
  <c r="W449" i="7950"/>
  <c r="W473" i="7950"/>
  <c r="W394" i="7950" l="1"/>
  <c r="W418" i="7950"/>
  <c r="W502" i="7950"/>
  <c r="W526" i="7950"/>
  <c r="W124" i="7950"/>
  <c r="W148" i="7950"/>
  <c r="W340" i="7950"/>
  <c r="W364" i="7950"/>
  <c r="W178" i="7950"/>
  <c r="W202" i="7950"/>
  <c r="W610" i="7950"/>
  <c r="W634" i="7950"/>
  <c r="W688" i="7950"/>
  <c r="W664" i="7950"/>
  <c r="W742" i="7950"/>
  <c r="W718" i="7950"/>
  <c r="W70" i="7950"/>
  <c r="W94" i="7950"/>
  <c r="W232" i="7950"/>
  <c r="W256" i="7950"/>
  <c r="W286" i="7950"/>
  <c r="W310" i="7950"/>
  <c r="W472" i="7950"/>
  <c r="W448" i="7950"/>
  <c r="I244" i="7944" l="1"/>
  <c r="J244" i="7944" s="1"/>
  <c r="K244" i="7944" s="1"/>
  <c r="P251" i="7944"/>
  <c r="Q251" i="7944" s="1"/>
  <c r="E550" i="7950"/>
  <c r="E580" i="7950" s="1"/>
  <c r="K550" i="7950"/>
  <c r="K586" i="7950" s="1"/>
  <c r="M550" i="7950"/>
  <c r="M588" i="7950" s="1"/>
  <c r="D550" i="7950"/>
  <c r="D579" i="7950" s="1"/>
  <c r="M248" i="7944"/>
  <c r="N248" i="7944" s="1"/>
  <c r="J245" i="7944"/>
  <c r="K245" i="7944" s="1"/>
  <c r="J550" i="7950"/>
  <c r="J585" i="7950" s="1"/>
  <c r="F550" i="7950"/>
  <c r="F581" i="7950" s="1"/>
  <c r="N249" i="7944"/>
  <c r="O249" i="7944" s="1"/>
  <c r="K246" i="7944"/>
  <c r="L246" i="7944" s="1"/>
  <c r="Q252" i="7944"/>
  <c r="L550" i="7950"/>
  <c r="L587" i="7950" s="1"/>
  <c r="H550" i="7950"/>
  <c r="H583" i="7950" s="1"/>
  <c r="G550" i="7950"/>
  <c r="G582" i="7950" s="1"/>
  <c r="I550" i="7950"/>
  <c r="I584" i="7950" s="1"/>
  <c r="O250" i="7944"/>
  <c r="P250" i="7944" s="1"/>
  <c r="Q250" i="7944" s="1"/>
  <c r="L247" i="7944"/>
  <c r="P255" i="18"/>
  <c r="Q255" i="18" s="1"/>
  <c r="M555" i="7949"/>
  <c r="M593" i="7949" s="1"/>
  <c r="L555" i="7949"/>
  <c r="L592" i="7949" s="1"/>
  <c r="I248" i="18"/>
  <c r="J248" i="18" s="1"/>
  <c r="K248" i="18" s="1"/>
  <c r="G555" i="7949"/>
  <c r="G587" i="7949" s="1"/>
  <c r="K555" i="7949"/>
  <c r="K591" i="7949" s="1"/>
  <c r="L251" i="18"/>
  <c r="M251" i="18" s="1"/>
  <c r="N251" i="18" s="1"/>
  <c r="M252" i="18"/>
  <c r="N252" i="18" s="1"/>
  <c r="O252" i="18" s="1"/>
  <c r="P252" i="18" s="1"/>
  <c r="Q252" i="18" s="1"/>
  <c r="Q256" i="18"/>
  <c r="K250" i="18"/>
  <c r="L250" i="18" s="1"/>
  <c r="M250" i="18" s="1"/>
  <c r="N250" i="18" s="1"/>
  <c r="J555" i="7949"/>
  <c r="J590" i="7949" s="1"/>
  <c r="O254" i="18"/>
  <c r="P254" i="18" s="1"/>
  <c r="Q254" i="18" s="1"/>
  <c r="D555" i="7949"/>
  <c r="D584" i="7949" s="1"/>
  <c r="F555" i="7949"/>
  <c r="F586" i="7949" s="1"/>
  <c r="N253" i="18"/>
  <c r="O253" i="18" s="1"/>
  <c r="J249" i="18"/>
  <c r="K249" i="18" s="1"/>
  <c r="E555" i="7949"/>
  <c r="E585" i="7949" s="1"/>
  <c r="H555" i="7949"/>
  <c r="H588" i="7949" s="1"/>
  <c r="I555" i="7949"/>
  <c r="I589" i="7949" s="1"/>
  <c r="P249" i="7944" l="1"/>
  <c r="Q249" i="7944" s="1"/>
  <c r="P253" i="18"/>
  <c r="Q253" i="18" s="1"/>
  <c r="L245" i="7944"/>
  <c r="M245" i="7944" s="1"/>
  <c r="N245" i="7944" s="1"/>
  <c r="O245" i="7944" s="1"/>
  <c r="M246" i="7944"/>
  <c r="N246" i="7944" s="1"/>
  <c r="O246" i="7944" s="1"/>
  <c r="O250" i="18"/>
  <c r="P250" i="18" s="1"/>
  <c r="L244" i="7944"/>
  <c r="M244" i="7944" s="1"/>
  <c r="N244" i="7944" s="1"/>
  <c r="O244" i="7944" s="1"/>
  <c r="L248" i="18"/>
  <c r="M248" i="18" s="1"/>
  <c r="M247" i="7944"/>
  <c r="N247" i="7944" s="1"/>
  <c r="O251" i="18"/>
  <c r="P251" i="18" s="1"/>
  <c r="L249" i="18"/>
  <c r="O248" i="7944"/>
  <c r="P248" i="7944" s="1"/>
  <c r="Q248" i="7944" s="1"/>
  <c r="N564" i="7950"/>
  <c r="N588" i="7950"/>
  <c r="E579" i="7950"/>
  <c r="E555" i="7950"/>
  <c r="F580" i="7950"/>
  <c r="F556" i="7950"/>
  <c r="J560" i="7950"/>
  <c r="J584" i="7950"/>
  <c r="K585" i="7950"/>
  <c r="K561" i="7950"/>
  <c r="H582" i="7950"/>
  <c r="H558" i="7950"/>
  <c r="I559" i="7950"/>
  <c r="I583" i="7950"/>
  <c r="M587" i="7950"/>
  <c r="M563" i="7950"/>
  <c r="G581" i="7950"/>
  <c r="G557" i="7950"/>
  <c r="L562" i="7950"/>
  <c r="L586" i="7950"/>
  <c r="I564" i="7949"/>
  <c r="I588" i="7949"/>
  <c r="E560" i="7949"/>
  <c r="E584" i="7949"/>
  <c r="M592" i="7949"/>
  <c r="M568" i="7949"/>
  <c r="F585" i="7949"/>
  <c r="F561" i="7949"/>
  <c r="L567" i="7949"/>
  <c r="L591" i="7949"/>
  <c r="N593" i="7949"/>
  <c r="N569" i="7949"/>
  <c r="H587" i="7949"/>
  <c r="H563" i="7949"/>
  <c r="J589" i="7949"/>
  <c r="J565" i="7949"/>
  <c r="G562" i="7949"/>
  <c r="G586" i="7949"/>
  <c r="K590" i="7949"/>
  <c r="K566" i="7949"/>
  <c r="P245" i="7944" l="1"/>
  <c r="Q245" i="7944" s="1"/>
  <c r="P246" i="7944"/>
  <c r="Q246" i="7944" s="1"/>
  <c r="Q250" i="18"/>
  <c r="P244" i="7944"/>
  <c r="Q244" i="7944" s="1"/>
  <c r="N248" i="18"/>
  <c r="O248" i="18" s="1"/>
  <c r="P248" i="18" s="1"/>
  <c r="Q248" i="18" s="1"/>
  <c r="M249" i="18"/>
  <c r="N249" i="18" s="1"/>
  <c r="O249" i="18" s="1"/>
  <c r="O247" i="7944"/>
  <c r="Q251" i="18"/>
  <c r="M586" i="7950"/>
  <c r="M562" i="7950"/>
  <c r="K584" i="7950"/>
  <c r="K560" i="7950"/>
  <c r="N563" i="7950"/>
  <c r="N587" i="7950"/>
  <c r="I558" i="7950"/>
  <c r="I582" i="7950"/>
  <c r="F579" i="7950"/>
  <c r="G579" i="7950" s="1"/>
  <c r="H579" i="7950" s="1"/>
  <c r="I579" i="7950" s="1"/>
  <c r="J579" i="7950" s="1"/>
  <c r="K579" i="7950" s="1"/>
  <c r="L579" i="7950" s="1"/>
  <c r="M579" i="7950" s="1"/>
  <c r="F555" i="7950"/>
  <c r="J583" i="7950"/>
  <c r="J559" i="7950"/>
  <c r="O588" i="7950"/>
  <c r="O564" i="7950"/>
  <c r="H557" i="7950"/>
  <c r="H581" i="7950"/>
  <c r="L585" i="7950"/>
  <c r="L561" i="7950"/>
  <c r="G556"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F560" i="7949"/>
  <c r="L590" i="7949"/>
  <c r="M590" i="7949" s="1"/>
  <c r="N590" i="7949" s="1"/>
  <c r="O590" i="7949" s="1"/>
  <c r="P590" i="7949" s="1"/>
  <c r="Q590" i="7949" s="1"/>
  <c r="R590" i="7949" s="1"/>
  <c r="S590" i="7949" s="1"/>
  <c r="T590" i="7949" s="1"/>
  <c r="U590" i="7949" s="1"/>
  <c r="V590" i="7949" s="1"/>
  <c r="W590" i="7949" s="1"/>
  <c r="L566" i="7949"/>
  <c r="K565" i="7949"/>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O569" i="7949"/>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G561" i="7949"/>
  <c r="H562" i="7949"/>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M567" i="7949"/>
  <c r="J588" i="7949"/>
  <c r="J564" i="7949"/>
  <c r="I587" i="7949"/>
  <c r="I563" i="7949"/>
  <c r="N592" i="7949"/>
  <c r="O592" i="7949" s="1"/>
  <c r="P592" i="7949" s="1"/>
  <c r="Q592" i="7949" s="1"/>
  <c r="R592" i="7949" s="1"/>
  <c r="S592" i="7949" s="1"/>
  <c r="T592" i="7949" s="1"/>
  <c r="U592" i="7949" s="1"/>
  <c r="V592" i="7949" s="1"/>
  <c r="W592" i="7949" s="1"/>
  <c r="N568" i="7949"/>
  <c r="N567" i="7949" l="1"/>
  <c r="O567" i="7949" s="1"/>
  <c r="P567" i="7949" s="1"/>
  <c r="Q567" i="7949" s="1"/>
  <c r="R567" i="7949" s="1"/>
  <c r="S567" i="7949" s="1"/>
  <c r="T567" i="7949" s="1"/>
  <c r="U567" i="7949" s="1"/>
  <c r="V567" i="7949" s="1"/>
  <c r="W567" i="7949" s="1"/>
  <c r="H561" i="7949"/>
  <c r="I561" i="7949" s="1"/>
  <c r="J561" i="7949" s="1"/>
  <c r="K561" i="7949" s="1"/>
  <c r="L561" i="7949" s="1"/>
  <c r="M561" i="7949" s="1"/>
  <c r="N561" i="7949" s="1"/>
  <c r="O561" i="7949" s="1"/>
  <c r="P561" i="7949" s="1"/>
  <c r="Q561" i="7949" s="1"/>
  <c r="R561" i="7949" s="1"/>
  <c r="S561" i="7949" s="1"/>
  <c r="T561" i="7949" s="1"/>
  <c r="U561" i="7949" s="1"/>
  <c r="V561" i="7949" s="1"/>
  <c r="W561" i="7949" s="1"/>
  <c r="G560" i="7949"/>
  <c r="H560" i="7949" s="1"/>
  <c r="I560" i="7949" s="1"/>
  <c r="J560" i="7949" s="1"/>
  <c r="K560" i="7949" s="1"/>
  <c r="L560" i="7949" s="1"/>
  <c r="M560" i="7949" s="1"/>
  <c r="N560" i="7949" s="1"/>
  <c r="O560" i="7949" s="1"/>
  <c r="P560" i="7949" s="1"/>
  <c r="Q560" i="7949" s="1"/>
  <c r="R560" i="7949" s="1"/>
  <c r="S560" i="7949" s="1"/>
  <c r="T560" i="7949" s="1"/>
  <c r="U560" i="7949" s="1"/>
  <c r="V560" i="7949" s="1"/>
  <c r="W560" i="7949" s="1"/>
  <c r="G555" i="7950"/>
  <c r="H555" i="7950" s="1"/>
  <c r="I555" i="7950" s="1"/>
  <c r="J555" i="7950" s="1"/>
  <c r="K555" i="7950" s="1"/>
  <c r="L555" i="7950" s="1"/>
  <c r="M555" i="7950" s="1"/>
  <c r="N555" i="7950" s="1"/>
  <c r="O568" i="7949"/>
  <c r="P568" i="7949" s="1"/>
  <c r="Q568" i="7949" s="1"/>
  <c r="R568" i="7949" s="1"/>
  <c r="S568" i="7949" s="1"/>
  <c r="T568" i="7949" s="1"/>
  <c r="U568" i="7949" s="1"/>
  <c r="V568" i="7949" s="1"/>
  <c r="W568" i="7949" s="1"/>
  <c r="P569" i="7949"/>
  <c r="Q569" i="7949" s="1"/>
  <c r="R569" i="7949" s="1"/>
  <c r="S569" i="7949" s="1"/>
  <c r="T569" i="7949" s="1"/>
  <c r="U569" i="7949" s="1"/>
  <c r="V569" i="7949" s="1"/>
  <c r="W569" i="7949" s="1"/>
  <c r="M566" i="7949"/>
  <c r="N566" i="7949" s="1"/>
  <c r="O566" i="7949" s="1"/>
  <c r="P566" i="7949" s="1"/>
  <c r="Q566" i="7949" s="1"/>
  <c r="R566" i="7949" s="1"/>
  <c r="S566" i="7949" s="1"/>
  <c r="T566" i="7949" s="1"/>
  <c r="U566" i="7949" s="1"/>
  <c r="V566" i="7949" s="1"/>
  <c r="W566" i="7949" s="1"/>
  <c r="P249" i="18"/>
  <c r="Q249" i="18" s="1"/>
  <c r="P247" i="7944"/>
  <c r="Q247" i="7944" s="1"/>
  <c r="H556" i="7950"/>
  <c r="H580" i="7950"/>
  <c r="I581" i="7950"/>
  <c r="I557" i="7950"/>
  <c r="J558" i="7950"/>
  <c r="J582" i="7950"/>
  <c r="K583" i="7950"/>
  <c r="K559" i="7950"/>
  <c r="N586" i="7950"/>
  <c r="N562" i="7950"/>
  <c r="O587" i="7950"/>
  <c r="O563" i="7950"/>
  <c r="M585" i="7950"/>
  <c r="M561" i="7950"/>
  <c r="P588" i="7950"/>
  <c r="P564" i="7950"/>
  <c r="N579" i="7950"/>
  <c r="L560" i="7950"/>
  <c r="L584" i="7950"/>
  <c r="L565" i="7949"/>
  <c r="M565" i="7949" s="1"/>
  <c r="N565" i="7949" s="1"/>
  <c r="O565" i="7949" s="1"/>
  <c r="P565" i="7949" s="1"/>
  <c r="Q565" i="7949" s="1"/>
  <c r="R565" i="7949" s="1"/>
  <c r="S565" i="7949" s="1"/>
  <c r="T565" i="7949" s="1"/>
  <c r="U565" i="7949" s="1"/>
  <c r="V565" i="7949" s="1"/>
  <c r="W565" i="7949" s="1"/>
  <c r="J587" i="7949"/>
  <c r="K587" i="7949" s="1"/>
  <c r="L587" i="7949" s="1"/>
  <c r="M587" i="7949" s="1"/>
  <c r="N587" i="7949" s="1"/>
  <c r="O587" i="7949" s="1"/>
  <c r="P587" i="7949" s="1"/>
  <c r="Q587" i="7949" s="1"/>
  <c r="R587" i="7949" s="1"/>
  <c r="S587" i="7949" s="1"/>
  <c r="T587" i="7949" s="1"/>
  <c r="U587" i="7949" s="1"/>
  <c r="V587" i="7949" s="1"/>
  <c r="W587" i="7949" s="1"/>
  <c r="J563" i="7949"/>
  <c r="K588" i="7949"/>
  <c r="L588" i="7949" s="1"/>
  <c r="M588" i="7949" s="1"/>
  <c r="N588" i="7949" s="1"/>
  <c r="O588" i="7949" s="1"/>
  <c r="P588" i="7949" s="1"/>
  <c r="Q588" i="7949" s="1"/>
  <c r="R588" i="7949" s="1"/>
  <c r="S588" i="7949" s="1"/>
  <c r="T588" i="7949" s="1"/>
  <c r="U588" i="7949" s="1"/>
  <c r="V588" i="7949" s="1"/>
  <c r="W588" i="7949" s="1"/>
  <c r="K564" i="7949"/>
  <c r="I562" i="7949"/>
  <c r="J562" i="7949" s="1"/>
  <c r="K562" i="7949" s="1"/>
  <c r="L562" i="7949" s="1"/>
  <c r="M562" i="7949" s="1"/>
  <c r="N562" i="7949" s="1"/>
  <c r="O562" i="7949" s="1"/>
  <c r="P562" i="7949" s="1"/>
  <c r="Q562" i="7949" s="1"/>
  <c r="R562" i="7949" s="1"/>
  <c r="S562" i="7949" s="1"/>
  <c r="T562" i="7949" s="1"/>
  <c r="U562" i="7949" s="1"/>
  <c r="V562" i="7949" s="1"/>
  <c r="W562" i="7949" s="1"/>
  <c r="M560" i="7950" l="1"/>
  <c r="M584" i="7950"/>
  <c r="K582" i="7950"/>
  <c r="K558" i="7950"/>
  <c r="O555" i="7950"/>
  <c r="O579" i="7950"/>
  <c r="N561" i="7950"/>
  <c r="N585" i="7950"/>
  <c r="O562" i="7950"/>
  <c r="O586" i="7950"/>
  <c r="J581" i="7950"/>
  <c r="J557" i="7950"/>
  <c r="I580" i="7950"/>
  <c r="I556" i="7950"/>
  <c r="Q588" i="7950"/>
  <c r="Q564" i="7950"/>
  <c r="P563" i="7950"/>
  <c r="P587" i="7950"/>
  <c r="L559" i="7950"/>
  <c r="L583" i="7950"/>
  <c r="L564" i="7949"/>
  <c r="M564" i="7949" s="1"/>
  <c r="N564" i="7949" s="1"/>
  <c r="O564" i="7949" s="1"/>
  <c r="P564" i="7949" s="1"/>
  <c r="Q564" i="7949" s="1"/>
  <c r="R564" i="7949" s="1"/>
  <c r="S564" i="7949" s="1"/>
  <c r="T564" i="7949" s="1"/>
  <c r="U564" i="7949" s="1"/>
  <c r="V564" i="7949" s="1"/>
  <c r="W564" i="7949" s="1"/>
  <c r="K563" i="7949"/>
  <c r="L563" i="7949" s="1"/>
  <c r="M563" i="7949" s="1"/>
  <c r="N563" i="7949" s="1"/>
  <c r="O563" i="7949" s="1"/>
  <c r="P563" i="7949" s="1"/>
  <c r="Q563" i="7949" s="1"/>
  <c r="R563" i="7949" s="1"/>
  <c r="S563" i="7949" s="1"/>
  <c r="T563" i="7949" s="1"/>
  <c r="U563" i="7949" s="1"/>
  <c r="V563" i="7949" s="1"/>
  <c r="W563" i="7949" s="1"/>
  <c r="Q587" i="7950" l="1"/>
  <c r="Q563" i="7950"/>
  <c r="P586" i="7950"/>
  <c r="P562" i="7950"/>
  <c r="O561" i="7950"/>
  <c r="O585" i="7950"/>
  <c r="P555" i="7950"/>
  <c r="P579" i="7950"/>
  <c r="R588" i="7950"/>
  <c r="R564" i="7950"/>
  <c r="J580" i="7950"/>
  <c r="J556" i="7950"/>
  <c r="K557" i="7950"/>
  <c r="K581" i="7950"/>
  <c r="M583" i="7950"/>
  <c r="M559" i="7950"/>
  <c r="N584" i="7950"/>
  <c r="N560" i="7950"/>
  <c r="L582" i="7950"/>
  <c r="L558" i="7950"/>
  <c r="L581" i="7950" l="1"/>
  <c r="L557" i="7950"/>
  <c r="Q555" i="7950"/>
  <c r="Q579" i="7950"/>
  <c r="M558" i="7950"/>
  <c r="M582" i="7950"/>
  <c r="O584" i="7950"/>
  <c r="O560" i="7950"/>
  <c r="K556" i="7950"/>
  <c r="K580" i="7950"/>
  <c r="Q562" i="7950"/>
  <c r="Q586" i="7950"/>
  <c r="P561" i="7950"/>
  <c r="P585" i="7950"/>
  <c r="N559" i="7950"/>
  <c r="N583" i="7950"/>
  <c r="S588" i="7950"/>
  <c r="S564" i="7950"/>
  <c r="R563" i="7950"/>
  <c r="R587" i="7950"/>
  <c r="S587" i="7950" l="1"/>
  <c r="S563" i="7950"/>
  <c r="Q561" i="7950"/>
  <c r="Q585" i="7950"/>
  <c r="R562" i="7950"/>
  <c r="R586" i="7950"/>
  <c r="R579" i="7950"/>
  <c r="R555" i="7950"/>
  <c r="T588" i="7950"/>
  <c r="T564" i="7950"/>
  <c r="M581" i="7950"/>
  <c r="M557" i="7950"/>
  <c r="O583" i="7950"/>
  <c r="O559" i="7950"/>
  <c r="N558" i="7950"/>
  <c r="N582" i="7950"/>
  <c r="L556" i="7950"/>
  <c r="L580" i="7950"/>
  <c r="P584" i="7950"/>
  <c r="P560" i="7950"/>
  <c r="M556" i="7950" l="1"/>
  <c r="M580" i="7950"/>
  <c r="O582" i="7950"/>
  <c r="O558" i="7950"/>
  <c r="S586" i="7950"/>
  <c r="S562" i="7950"/>
  <c r="R561" i="7950"/>
  <c r="R585" i="7950"/>
  <c r="N581" i="7950"/>
  <c r="N557" i="7950"/>
  <c r="S579" i="7950"/>
  <c r="S555" i="7950"/>
  <c r="Q584" i="7950"/>
  <c r="Q560" i="7950"/>
  <c r="P583" i="7950"/>
  <c r="P559" i="7950"/>
  <c r="U564" i="7950"/>
  <c r="U588" i="7950"/>
  <c r="T563" i="7950"/>
  <c r="T587" i="7950"/>
  <c r="V588" i="7950" l="1"/>
  <c r="V564" i="7950"/>
  <c r="S585" i="7950"/>
  <c r="S561" i="7950"/>
  <c r="Q559" i="7950"/>
  <c r="Q583" i="7950"/>
  <c r="R560" i="7950"/>
  <c r="R584" i="7950"/>
  <c r="T579" i="7950"/>
  <c r="T555" i="7950"/>
  <c r="O557" i="7950"/>
  <c r="O581" i="7950"/>
  <c r="P558" i="7950"/>
  <c r="P582" i="7950"/>
  <c r="U563" i="7950"/>
  <c r="U587" i="7950"/>
  <c r="N556" i="7950"/>
  <c r="N580" i="7950"/>
  <c r="T586" i="7950"/>
  <c r="T562" i="7950"/>
  <c r="O556" i="7950" l="1"/>
  <c r="O580" i="7950"/>
  <c r="R559" i="7950"/>
  <c r="R583" i="7950"/>
  <c r="Q558" i="7950"/>
  <c r="Q582" i="7950"/>
  <c r="S584" i="7950"/>
  <c r="S560" i="7950"/>
  <c r="V563" i="7950"/>
  <c r="V587" i="7950"/>
  <c r="U586" i="7950"/>
  <c r="U562" i="7950"/>
  <c r="U555" i="7950"/>
  <c r="U579" i="7950"/>
  <c r="T561" i="7950"/>
  <c r="T585" i="7950"/>
  <c r="P581" i="7950"/>
  <c r="P557" i="7950"/>
  <c r="W564" i="7950"/>
  <c r="W588" i="7950"/>
  <c r="V555" i="7950" l="1"/>
  <c r="V579" i="7950"/>
  <c r="W587" i="7950"/>
  <c r="W563" i="7950"/>
  <c r="R582" i="7950"/>
  <c r="R558" i="7950"/>
  <c r="S583" i="7950"/>
  <c r="S559" i="7950"/>
  <c r="Q557" i="7950"/>
  <c r="Q581" i="7950"/>
  <c r="U585" i="7950"/>
  <c r="U561" i="7950"/>
  <c r="P556" i="7950"/>
  <c r="P580" i="7950"/>
  <c r="V562" i="7950"/>
  <c r="V586" i="7950"/>
  <c r="T560" i="7950"/>
  <c r="T584" i="7950"/>
  <c r="U560" i="7950" l="1"/>
  <c r="U584" i="7950"/>
  <c r="R581" i="7950"/>
  <c r="R557" i="7950"/>
  <c r="W579" i="7950"/>
  <c r="W555" i="7950"/>
  <c r="W586" i="7950"/>
  <c r="W562" i="7950"/>
  <c r="Q556" i="7950"/>
  <c r="Q580" i="7950"/>
  <c r="V585" i="7950"/>
  <c r="V561" i="7950"/>
  <c r="S558" i="7950"/>
  <c r="S582" i="7950"/>
  <c r="T559" i="7950"/>
  <c r="T583" i="7950"/>
  <c r="U559" i="7950" l="1"/>
  <c r="U583" i="7950"/>
  <c r="R580" i="7950"/>
  <c r="R556" i="7950"/>
  <c r="T582" i="7950"/>
  <c r="T558" i="7950"/>
  <c r="W585" i="7950"/>
  <c r="W561" i="7950"/>
  <c r="V584" i="7950"/>
  <c r="V560" i="7950"/>
  <c r="S581" i="7950"/>
  <c r="S557" i="7950"/>
  <c r="T581" i="7950" l="1"/>
  <c r="T557" i="7950"/>
  <c r="S556" i="7950"/>
  <c r="S580" i="7950"/>
  <c r="V559" i="7950"/>
  <c r="V583" i="7950"/>
  <c r="W560" i="7950"/>
  <c r="W584" i="7950"/>
  <c r="U558" i="7950"/>
  <c r="U582" i="7950"/>
  <c r="U581" i="7950" l="1"/>
  <c r="U557" i="7950"/>
  <c r="W559" i="7950"/>
  <c r="W583" i="7950"/>
  <c r="V582" i="7950"/>
  <c r="V558" i="7950"/>
  <c r="T580" i="7950"/>
  <c r="T556" i="7950"/>
  <c r="U556" i="7950" l="1"/>
  <c r="U580" i="7950"/>
  <c r="W558" i="7950"/>
  <c r="W582" i="7950"/>
  <c r="V557" i="7950"/>
  <c r="V581" i="7950"/>
  <c r="W581" i="7950" l="1"/>
  <c r="W557" i="7950"/>
  <c r="V556" i="7950"/>
  <c r="V580" i="7950"/>
  <c r="W580" i="7950" l="1"/>
  <c r="W556" i="7950"/>
  <c r="G281" i="1" l="1"/>
  <c r="G335" i="1" s="1"/>
  <c r="G173" i="1"/>
  <c r="G282" i="1" l="1"/>
  <c r="G336" i="1" s="1"/>
  <c r="G174" i="1"/>
  <c r="G289" i="1"/>
  <c r="G343" i="1" s="1"/>
  <c r="G181" i="1"/>
  <c r="G287" i="1" l="1"/>
  <c r="G341" i="1" s="1"/>
  <c r="G179" i="1"/>
  <c r="G288" i="1"/>
  <c r="G342" i="1" s="1"/>
  <c r="G180" i="1"/>
  <c r="G283" i="1" l="1"/>
  <c r="G337" i="1" s="1"/>
  <c r="G175" i="1"/>
  <c r="G278" i="1"/>
  <c r="G332" i="1" s="1"/>
  <c r="G170" i="1"/>
  <c r="G165" i="1"/>
  <c r="R166" i="1" s="1"/>
  <c r="G286" i="1"/>
  <c r="G340" i="1" s="1"/>
  <c r="G178" i="1"/>
  <c r="G285" i="1"/>
  <c r="G339" i="1" s="1"/>
  <c r="G177" i="1"/>
  <c r="G277" i="1"/>
  <c r="G169" i="1"/>
  <c r="G331" i="1" l="1"/>
  <c r="G284" i="1"/>
  <c r="G338" i="1" s="1"/>
  <c r="G176" i="1"/>
  <c r="G279" i="1"/>
  <c r="G333" i="1" s="1"/>
  <c r="G171" i="1"/>
  <c r="G280" i="1"/>
  <c r="G334" i="1" s="1"/>
  <c r="G172" i="1"/>
  <c r="G327" i="1" l="1"/>
  <c r="R328" i="1" s="1"/>
  <c r="G219" i="1"/>
  <c r="G381" i="1"/>
  <c r="G391" i="1" l="1"/>
  <c r="G392" i="1" s="1"/>
  <c r="G365" i="7942" l="1"/>
  <c r="G417" i="7942" s="1"/>
  <c r="H48" i="7944"/>
  <c r="H32" i="7944"/>
  <c r="H42" i="7944"/>
  <c r="H45" i="7944"/>
  <c r="H55" i="7944"/>
  <c r="H39" i="7944"/>
  <c r="H23" i="7944"/>
  <c r="H30" i="7944"/>
  <c r="H37" i="7944"/>
  <c r="G371" i="7942"/>
  <c r="G423" i="7942" s="1"/>
  <c r="G109" i="7942"/>
  <c r="G161" i="7942" s="1"/>
  <c r="G99" i="7942"/>
  <c r="G151" i="7942" s="1"/>
  <c r="G375" i="7942"/>
  <c r="G427" i="7942" s="1"/>
  <c r="G108" i="7942"/>
  <c r="G160" i="7942" s="1"/>
  <c r="G364" i="7942"/>
  <c r="G416" i="7942" s="1"/>
  <c r="G344" i="7942"/>
  <c r="G396" i="7942" s="1"/>
  <c r="G114" i="7942"/>
  <c r="G166" i="7942" s="1"/>
  <c r="G80" i="7942"/>
  <c r="G132" i="7942" s="1"/>
  <c r="G355" i="7942"/>
  <c r="G407" i="7942" s="1"/>
  <c r="G115" i="7942"/>
  <c r="G167" i="7942" s="1"/>
  <c r="G94" i="7942"/>
  <c r="G146" i="7942" s="1"/>
  <c r="G95" i="7942"/>
  <c r="G147" i="7942" s="1"/>
  <c r="G366" i="7942"/>
  <c r="G418" i="7942" s="1"/>
  <c r="G350" i="7942"/>
  <c r="G402" i="7942" s="1"/>
  <c r="G107" i="7942"/>
  <c r="G159" i="7942" s="1"/>
  <c r="G84" i="7942"/>
  <c r="G136" i="7942" s="1"/>
  <c r="G83" i="7942"/>
  <c r="G135" i="7942" s="1"/>
  <c r="H52" i="7944"/>
  <c r="H36" i="7944"/>
  <c r="H53" i="7944"/>
  <c r="H27" i="7944"/>
  <c r="G96" i="7942"/>
  <c r="G148" i="7942" s="1"/>
  <c r="G357" i="7942"/>
  <c r="G409" i="7942" s="1"/>
  <c r="G81" i="7942"/>
  <c r="G133" i="7942" s="1"/>
  <c r="G343" i="7942"/>
  <c r="G395" i="7942" s="1"/>
  <c r="G370" i="7942"/>
  <c r="G422" i="7942" s="1"/>
  <c r="G92" i="7942"/>
  <c r="G144" i="7942" s="1"/>
  <c r="G373" i="7942"/>
  <c r="G425" i="7942" s="1"/>
  <c r="H44" i="7944"/>
  <c r="H28" i="7944"/>
  <c r="H34" i="7944"/>
  <c r="H41" i="7944"/>
  <c r="H51" i="7944"/>
  <c r="H35" i="7944"/>
  <c r="H54" i="7944"/>
  <c r="H22" i="7944"/>
  <c r="H29" i="7944"/>
  <c r="G363" i="7942"/>
  <c r="G415" i="7942" s="1"/>
  <c r="G353" i="7942"/>
  <c r="G405" i="7942" s="1"/>
  <c r="G369" i="7942"/>
  <c r="G421" i="7942" s="1"/>
  <c r="G367" i="7942"/>
  <c r="G419" i="7942" s="1"/>
  <c r="G91" i="7942"/>
  <c r="G143" i="7942" s="1"/>
  <c r="G360" i="7942"/>
  <c r="G412" i="7942" s="1"/>
  <c r="G340" i="7942"/>
  <c r="G106" i="7942"/>
  <c r="G158" i="7942" s="1"/>
  <c r="G105" i="7942"/>
  <c r="G157" i="7942" s="1"/>
  <c r="G351" i="7942"/>
  <c r="G403" i="7942" s="1"/>
  <c r="G79" i="7942"/>
  <c r="G86" i="7942"/>
  <c r="G138" i="7942" s="1"/>
  <c r="G87" i="7942"/>
  <c r="G139" i="7942" s="1"/>
  <c r="G362" i="7942"/>
  <c r="G414" i="7942" s="1"/>
  <c r="G346" i="7942"/>
  <c r="G398" i="7942" s="1"/>
  <c r="G110" i="7942"/>
  <c r="G162" i="7942" s="1"/>
  <c r="G111" i="7942"/>
  <c r="G163" i="7942" s="1"/>
  <c r="H50" i="7944"/>
  <c r="H43" i="7944"/>
  <c r="H49" i="7944"/>
  <c r="G90" i="7942"/>
  <c r="G142" i="7942" s="1"/>
  <c r="G349" i="7942"/>
  <c r="G401" i="7942" s="1"/>
  <c r="G348" i="7942"/>
  <c r="G400" i="7942" s="1"/>
  <c r="G89" i="7942"/>
  <c r="G141" i="7942" s="1"/>
  <c r="G103" i="7942"/>
  <c r="G155" i="7942" s="1"/>
  <c r="G376" i="7942"/>
  <c r="G428" i="7942" s="1"/>
  <c r="G345" i="7942"/>
  <c r="G397" i="7942" s="1"/>
  <c r="H56" i="7944"/>
  <c r="H40" i="7944"/>
  <c r="H24" i="7944"/>
  <c r="H26" i="7944"/>
  <c r="H33" i="7944"/>
  <c r="H47" i="7944"/>
  <c r="H31" i="7944"/>
  <c r="H46" i="7944"/>
  <c r="H57" i="7944"/>
  <c r="G341" i="7942"/>
  <c r="G393" i="7942" s="1"/>
  <c r="G85" i="7942"/>
  <c r="G137" i="7942" s="1"/>
  <c r="G361" i="7942"/>
  <c r="G413" i="7942" s="1"/>
  <c r="G359" i="7942"/>
  <c r="G411" i="7942" s="1"/>
  <c r="G372" i="7942"/>
  <c r="G424" i="7942" s="1"/>
  <c r="G352" i="7942"/>
  <c r="G404" i="7942" s="1"/>
  <c r="G356" i="7942"/>
  <c r="G408" i="7942" s="1"/>
  <c r="G98" i="7942"/>
  <c r="G150" i="7942" s="1"/>
  <c r="G97" i="7942"/>
  <c r="G149" i="7942" s="1"/>
  <c r="G347" i="7942"/>
  <c r="G399" i="7942" s="1"/>
  <c r="G112" i="7942"/>
  <c r="G164" i="7942" s="1"/>
  <c r="G113" i="7942"/>
  <c r="G165" i="7942" s="1"/>
  <c r="G374" i="7942"/>
  <c r="G426" i="7942" s="1"/>
  <c r="G358" i="7942"/>
  <c r="G410" i="7942" s="1"/>
  <c r="G342" i="7942"/>
  <c r="G394" i="7942" s="1"/>
  <c r="G102" i="7942"/>
  <c r="G154" i="7942" s="1"/>
  <c r="G101" i="7942"/>
  <c r="G153" i="7942" s="1"/>
  <c r="G100" i="7942"/>
  <c r="G152" i="7942" s="1"/>
  <c r="H25" i="7944"/>
  <c r="H38" i="7944"/>
  <c r="G82" i="7942"/>
  <c r="G134" i="7942" s="1"/>
  <c r="G368" i="7942"/>
  <c r="G420" i="7942" s="1"/>
  <c r="G88" i="7942"/>
  <c r="G140" i="7942" s="1"/>
  <c r="G104" i="7942"/>
  <c r="G156" i="7942" s="1"/>
  <c r="G354" i="7942"/>
  <c r="G406" i="7942" s="1"/>
  <c r="G93" i="7942"/>
  <c r="G145" i="7942" s="1"/>
  <c r="C11" i="7949"/>
  <c r="G70" i="7942"/>
  <c r="G331" i="7942"/>
  <c r="G332" i="7942"/>
  <c r="G71" i="7942"/>
  <c r="G78" i="7942"/>
  <c r="G339" i="7942"/>
  <c r="G77" i="7942"/>
  <c r="G338" i="7942"/>
  <c r="G76" i="7942"/>
  <c r="G337" i="7942"/>
  <c r="G335" i="7942"/>
  <c r="G336" i="7942"/>
  <c r="G67" i="7942"/>
  <c r="G72" i="7942"/>
  <c r="G66" i="7942"/>
  <c r="G74" i="7942"/>
  <c r="G75" i="7942"/>
  <c r="G328" i="7942"/>
  <c r="G333" i="7942"/>
  <c r="G69" i="7942"/>
  <c r="G334" i="7942"/>
  <c r="G329" i="7942"/>
  <c r="G68" i="7942"/>
  <c r="G327" i="7942"/>
  <c r="G330" i="7942"/>
  <c r="G73" i="7942"/>
  <c r="C1629" i="7950" l="1"/>
  <c r="C1634" i="7950" s="1"/>
  <c r="H502" i="7944"/>
  <c r="H514" i="7944" s="1"/>
  <c r="I38" i="7944" s="1"/>
  <c r="H495" i="7942"/>
  <c r="H234" i="7942"/>
  <c r="C2655" i="7950"/>
  <c r="C2660" i="7950" s="1"/>
  <c r="H749" i="7944"/>
  <c r="H761" i="7944" s="1"/>
  <c r="I57" i="7944" s="1"/>
  <c r="H477" i="7942"/>
  <c r="I477" i="7942" s="1"/>
  <c r="H216" i="7942"/>
  <c r="I216" i="7942" s="1"/>
  <c r="I217" i="7942" s="1"/>
  <c r="H471" i="7942"/>
  <c r="I471" i="7942" s="1"/>
  <c r="I472" i="7942" s="1"/>
  <c r="H210" i="7942"/>
  <c r="I210" i="7942" s="1"/>
  <c r="I211" i="7942" s="1"/>
  <c r="H580" i="7944"/>
  <c r="H592" i="7944" s="1"/>
  <c r="I44" i="7944" s="1"/>
  <c r="C1953" i="7950"/>
  <c r="C1958" i="7950" s="1"/>
  <c r="H359" i="7944"/>
  <c r="H371" i="7944" s="1"/>
  <c r="I27" i="7944" s="1"/>
  <c r="C1035" i="7950"/>
  <c r="C1040" i="7950" s="1"/>
  <c r="H517" i="7942"/>
  <c r="H256" i="7942"/>
  <c r="I256" i="7942" s="1"/>
  <c r="I257" i="7942" s="1"/>
  <c r="C1845" i="7950"/>
  <c r="C1850" i="7950" s="1"/>
  <c r="H554" i="7944"/>
  <c r="H566" i="7944" s="1"/>
  <c r="I42" i="7944" s="1"/>
  <c r="C927" i="7950"/>
  <c r="C932" i="7950" s="1"/>
  <c r="H333" i="7944"/>
  <c r="H345" i="7944" s="1"/>
  <c r="I25" i="7944" s="1"/>
  <c r="H198" i="7942"/>
  <c r="I198" i="7942" s="1"/>
  <c r="H459" i="7942"/>
  <c r="I459" i="7942" s="1"/>
  <c r="I460" i="7942" s="1"/>
  <c r="H503" i="7942"/>
  <c r="I503" i="7942" s="1"/>
  <c r="I504" i="7942" s="1"/>
  <c r="H242" i="7942"/>
  <c r="I242" i="7942" s="1"/>
  <c r="H736" i="7944"/>
  <c r="H748" i="7944" s="1"/>
  <c r="I56" i="7944" s="1"/>
  <c r="C2601" i="7950"/>
  <c r="C2606" i="7950" s="1"/>
  <c r="H519" i="7942"/>
  <c r="I519" i="7942" s="1"/>
  <c r="I520" i="7942" s="1"/>
  <c r="H258" i="7942"/>
  <c r="I258" i="7942" s="1"/>
  <c r="C1143" i="7950"/>
  <c r="C1148" i="7950" s="1"/>
  <c r="H385" i="7944"/>
  <c r="H397" i="7944" s="1"/>
  <c r="I29" i="7944" s="1"/>
  <c r="H465" i="7942"/>
  <c r="I465" i="7942" s="1"/>
  <c r="I466" i="7942" s="1"/>
  <c r="H204" i="7942"/>
  <c r="H346" i="7944"/>
  <c r="H358" i="7944" s="1"/>
  <c r="I26" i="7944" s="1"/>
  <c r="C981" i="7950"/>
  <c r="C986" i="7950" s="1"/>
  <c r="H567" i="7944"/>
  <c r="H579" i="7944" s="1"/>
  <c r="C1899" i="7950"/>
  <c r="C1904" i="7950" s="1"/>
  <c r="H294" i="7944"/>
  <c r="H306" i="7944" s="1"/>
  <c r="I22" i="7944" s="1"/>
  <c r="C765" i="7950"/>
  <c r="C770" i="7950" s="1"/>
  <c r="C2439" i="7950"/>
  <c r="C2444" i="7950" s="1"/>
  <c r="H697" i="7944"/>
  <c r="H709" i="7944" s="1"/>
  <c r="I53" i="7944" s="1"/>
  <c r="H228" i="7942"/>
  <c r="I228" i="7942" s="1"/>
  <c r="H489" i="7942"/>
  <c r="C1305" i="7950"/>
  <c r="C1310" i="7950" s="1"/>
  <c r="H424" i="7944"/>
  <c r="H436" i="7944" s="1"/>
  <c r="I32" i="7944" s="1"/>
  <c r="G65" i="7942"/>
  <c r="H485" i="7942"/>
  <c r="I485" i="7942" s="1"/>
  <c r="I486" i="7942" s="1"/>
  <c r="H224" i="7942"/>
  <c r="I224" i="7942" s="1"/>
  <c r="I225" i="7942" s="1"/>
  <c r="H499" i="7942"/>
  <c r="I499" i="7942" s="1"/>
  <c r="I500" i="7942" s="1"/>
  <c r="H238" i="7942"/>
  <c r="I238" i="7942" s="1"/>
  <c r="I239" i="7942" s="1"/>
  <c r="H469" i="7942"/>
  <c r="H208" i="7942"/>
  <c r="I208" i="7942" s="1"/>
  <c r="I209" i="7942" s="1"/>
  <c r="C1251" i="7950"/>
  <c r="C1256" i="7950" s="1"/>
  <c r="H411" i="7944"/>
  <c r="H423" i="7944" s="1"/>
  <c r="I31" i="7944" s="1"/>
  <c r="C873" i="7950"/>
  <c r="C878" i="7950" s="1"/>
  <c r="H320" i="7944"/>
  <c r="H332" i="7944" s="1"/>
  <c r="I24" i="7944" s="1"/>
  <c r="C2277" i="7950"/>
  <c r="C2282" i="7950" s="1"/>
  <c r="H658" i="7944"/>
  <c r="H670" i="7944" s="1"/>
  <c r="I50" i="7944" s="1"/>
  <c r="C2493" i="7950"/>
  <c r="C2498" i="7950" s="1"/>
  <c r="H710" i="7944"/>
  <c r="H722" i="7944" s="1"/>
  <c r="I54" i="7944" s="1"/>
  <c r="H450" i="7944"/>
  <c r="H462" i="7944" s="1"/>
  <c r="C1413" i="7950"/>
  <c r="C1418" i="7950" s="1"/>
  <c r="H483" i="7942"/>
  <c r="I483" i="7942" s="1"/>
  <c r="J483" i="7942" s="1"/>
  <c r="J484" i="7942" s="1"/>
  <c r="H222" i="7942"/>
  <c r="C1521" i="7950"/>
  <c r="C1526" i="7950" s="1"/>
  <c r="H476" i="7944"/>
  <c r="H488" i="7944" s="1"/>
  <c r="I36" i="7944" s="1"/>
  <c r="H513" i="7942"/>
  <c r="I513" i="7942" s="1"/>
  <c r="I514" i="7942" s="1"/>
  <c r="H252" i="7942"/>
  <c r="I252" i="7942" s="1"/>
  <c r="H487" i="7942"/>
  <c r="I487" i="7942" s="1"/>
  <c r="H226" i="7942"/>
  <c r="I226" i="7942" s="1"/>
  <c r="I227" i="7942" s="1"/>
  <c r="H527" i="7942"/>
  <c r="I527" i="7942" s="1"/>
  <c r="J527" i="7942" s="1"/>
  <c r="H266" i="7942"/>
  <c r="I266" i="7942" s="1"/>
  <c r="C1575" i="7950"/>
  <c r="C1580" i="7950" s="1"/>
  <c r="H489" i="7944"/>
  <c r="H501" i="7944" s="1"/>
  <c r="I37" i="7944" s="1"/>
  <c r="C2547" i="7950"/>
  <c r="C2552" i="7950" s="1"/>
  <c r="H723" i="7944"/>
  <c r="H735" i="7944" s="1"/>
  <c r="I55" i="7944" s="1"/>
  <c r="C2169" i="7950"/>
  <c r="C2174" i="7950" s="1"/>
  <c r="H632" i="7944"/>
  <c r="H644" i="7944" s="1"/>
  <c r="I48" i="7944" s="1"/>
  <c r="H507" i="7942"/>
  <c r="H246" i="7942"/>
  <c r="I246" i="7942" s="1"/>
  <c r="I247" i="7942" s="1"/>
  <c r="H525" i="7942"/>
  <c r="H264" i="7942"/>
  <c r="C1359" i="7950"/>
  <c r="C1364" i="7950" s="1"/>
  <c r="H437" i="7944"/>
  <c r="H449" i="7944" s="1"/>
  <c r="I33" i="7944" s="1"/>
  <c r="C2223" i="7950"/>
  <c r="C2228" i="7950" s="1"/>
  <c r="H645" i="7944"/>
  <c r="H657" i="7944" s="1"/>
  <c r="I49" i="7944" s="1"/>
  <c r="H511" i="7942"/>
  <c r="I511" i="7942" s="1"/>
  <c r="I512" i="7942" s="1"/>
  <c r="H250" i="7942"/>
  <c r="I250" i="7942" s="1"/>
  <c r="H671" i="7944"/>
  <c r="H683" i="7944" s="1"/>
  <c r="C2331" i="7950"/>
  <c r="C2336" i="7950" s="1"/>
  <c r="C819" i="7950"/>
  <c r="C824" i="7950" s="1"/>
  <c r="H307" i="7944"/>
  <c r="H319" i="7944" s="1"/>
  <c r="G326" i="7942"/>
  <c r="H475" i="7942"/>
  <c r="H214" i="7942"/>
  <c r="H523" i="7942"/>
  <c r="H262" i="7942"/>
  <c r="C2061" i="7950"/>
  <c r="C2066" i="7950" s="1"/>
  <c r="H606" i="7944"/>
  <c r="H618" i="7944" s="1"/>
  <c r="H541" i="7944"/>
  <c r="H553" i="7944" s="1"/>
  <c r="C1791" i="7950"/>
  <c r="C1796" i="7950" s="1"/>
  <c r="H200" i="7942"/>
  <c r="I200" i="7942" s="1"/>
  <c r="H461" i="7942"/>
  <c r="I461" i="7942" s="1"/>
  <c r="J461" i="7942" s="1"/>
  <c r="H206" i="7942"/>
  <c r="I206" i="7942" s="1"/>
  <c r="I207" i="7942" s="1"/>
  <c r="H467" i="7942"/>
  <c r="H515" i="7942"/>
  <c r="I515" i="7942" s="1"/>
  <c r="H254" i="7942"/>
  <c r="C1683" i="7950"/>
  <c r="C1688" i="7950" s="1"/>
  <c r="H515" i="7944"/>
  <c r="H527" i="7944" s="1"/>
  <c r="H463" i="7942"/>
  <c r="I463" i="7942" s="1"/>
  <c r="I464" i="7942" s="1"/>
  <c r="H202" i="7942"/>
  <c r="I202" i="7942" s="1"/>
  <c r="I203" i="7942" s="1"/>
  <c r="H501" i="7942"/>
  <c r="I501" i="7942" s="1"/>
  <c r="I502" i="7942" s="1"/>
  <c r="H240" i="7942"/>
  <c r="I240" i="7942" s="1"/>
  <c r="I241" i="7942" s="1"/>
  <c r="H493" i="7942"/>
  <c r="I493" i="7942" s="1"/>
  <c r="I494" i="7942" s="1"/>
  <c r="H232" i="7942"/>
  <c r="I232" i="7942" s="1"/>
  <c r="I233" i="7942" s="1"/>
  <c r="C2115" i="7950"/>
  <c r="C2120" i="7950" s="1"/>
  <c r="H619" i="7944"/>
  <c r="H631" i="7944" s="1"/>
  <c r="I47" i="7944" s="1"/>
  <c r="C1737" i="7950"/>
  <c r="C1742" i="7950" s="1"/>
  <c r="H528" i="7944"/>
  <c r="H540" i="7944" s="1"/>
  <c r="I40" i="7944" s="1"/>
  <c r="H505" i="7942"/>
  <c r="I505" i="7942" s="1"/>
  <c r="I506" i="7942" s="1"/>
  <c r="H244" i="7942"/>
  <c r="H479" i="7942"/>
  <c r="I479" i="7942" s="1"/>
  <c r="H218" i="7942"/>
  <c r="H521" i="7942"/>
  <c r="I521" i="7942" s="1"/>
  <c r="I522" i="7942" s="1"/>
  <c r="H260" i="7942"/>
  <c r="H212" i="7942"/>
  <c r="I212" i="7942" s="1"/>
  <c r="H473" i="7942"/>
  <c r="H509" i="7942"/>
  <c r="I509" i="7942" s="1"/>
  <c r="I510" i="7942" s="1"/>
  <c r="H248" i="7942"/>
  <c r="H220" i="7942"/>
  <c r="I220" i="7942" s="1"/>
  <c r="I221" i="7942" s="1"/>
  <c r="H481" i="7942"/>
  <c r="I481" i="7942" s="1"/>
  <c r="J481" i="7942" s="1"/>
  <c r="C1467" i="7950"/>
  <c r="C1472" i="7950" s="1"/>
  <c r="H463" i="7944"/>
  <c r="H475" i="7944" s="1"/>
  <c r="I35" i="7944" s="1"/>
  <c r="C1089" i="7950"/>
  <c r="C1094" i="7950" s="1"/>
  <c r="H372" i="7944"/>
  <c r="H384" i="7944" s="1"/>
  <c r="I28" i="7944" s="1"/>
  <c r="H491" i="7942"/>
  <c r="H230" i="7942"/>
  <c r="I230" i="7942" s="1"/>
  <c r="I231" i="7942" s="1"/>
  <c r="C2385" i="7950"/>
  <c r="C2390" i="7950" s="1"/>
  <c r="H684" i="7944"/>
  <c r="H696" i="7944" s="1"/>
  <c r="I52" i="7944" s="1"/>
  <c r="H529" i="7942"/>
  <c r="H268" i="7942"/>
  <c r="H497" i="7942"/>
  <c r="I497" i="7942" s="1"/>
  <c r="I498" i="7942" s="1"/>
  <c r="H236" i="7942"/>
  <c r="I236" i="7942" s="1"/>
  <c r="C1197" i="7950"/>
  <c r="C1202" i="7950" s="1"/>
  <c r="H398" i="7944"/>
  <c r="H410" i="7944" s="1"/>
  <c r="I30" i="7944" s="1"/>
  <c r="C2007" i="7950"/>
  <c r="C2012" i="7950" s="1"/>
  <c r="H593" i="7944"/>
  <c r="H605" i="7944" s="1"/>
  <c r="I45" i="7944" s="1"/>
  <c r="I619" i="7944" l="1"/>
  <c r="I631" i="7944" s="1"/>
  <c r="I307" i="7944"/>
  <c r="I346" i="7944"/>
  <c r="I358" i="7944" s="1"/>
  <c r="J26" i="7944" s="1"/>
  <c r="I372" i="7944"/>
  <c r="I384" i="7944" s="1"/>
  <c r="J28" i="7944" s="1"/>
  <c r="I710" i="7944"/>
  <c r="I294" i="7944"/>
  <c r="I306" i="7944" s="1"/>
  <c r="J22" i="7944" s="1"/>
  <c r="I580" i="7944"/>
  <c r="I463" i="7944"/>
  <c r="I475" i="7944" s="1"/>
  <c r="J35" i="7944" s="1"/>
  <c r="I658" i="7944"/>
  <c r="I670" i="7944" s="1"/>
  <c r="J50" i="7944" s="1"/>
  <c r="J619" i="7944"/>
  <c r="K619" i="7944" s="1"/>
  <c r="I541" i="7944"/>
  <c r="I553" i="7944" s="1"/>
  <c r="I320" i="7944"/>
  <c r="I424" i="7944"/>
  <c r="I436" i="7944" s="1"/>
  <c r="I502" i="7944"/>
  <c r="I514" i="7944" s="1"/>
  <c r="J38" i="7944" s="1"/>
  <c r="I515" i="7944"/>
  <c r="J515" i="7944" s="1"/>
  <c r="I645" i="7944"/>
  <c r="J645" i="7944" s="1"/>
  <c r="I632" i="7944"/>
  <c r="I489" i="7944"/>
  <c r="I476" i="7944"/>
  <c r="I488" i="7944" s="1"/>
  <c r="J36" i="7944" s="1"/>
  <c r="I736" i="7944"/>
  <c r="D2336" i="7950"/>
  <c r="D2382" i="7950" s="1"/>
  <c r="C2382" i="7950"/>
  <c r="D2552" i="7950"/>
  <c r="D2598" i="7950" s="1"/>
  <c r="C2598" i="7950"/>
  <c r="D1148" i="7950"/>
  <c r="D1194" i="7950" s="1"/>
  <c r="C1194" i="7950"/>
  <c r="D1202" i="7950"/>
  <c r="D1248" i="7950" s="1"/>
  <c r="C1248" i="7950"/>
  <c r="I482" i="7942"/>
  <c r="K481" i="7942"/>
  <c r="K482" i="7942" s="1"/>
  <c r="J482" i="7942"/>
  <c r="J202" i="7942"/>
  <c r="I462" i="7942"/>
  <c r="J462" i="7942"/>
  <c r="K461" i="7942"/>
  <c r="L461" i="7942" s="1"/>
  <c r="D2066" i="7950"/>
  <c r="D2112" i="7950" s="1"/>
  <c r="C2112" i="7950"/>
  <c r="J511" i="7942"/>
  <c r="J512" i="7942" s="1"/>
  <c r="D1364" i="7950"/>
  <c r="D1410" i="7950" s="1"/>
  <c r="C1410" i="7950"/>
  <c r="J710" i="7944"/>
  <c r="I722" i="7944"/>
  <c r="J54" i="7944" s="1"/>
  <c r="D1256" i="7950"/>
  <c r="D1302" i="7950" s="1"/>
  <c r="C1302" i="7950"/>
  <c r="J499" i="7942"/>
  <c r="J500" i="7942" s="1"/>
  <c r="J485" i="7942"/>
  <c r="J486" i="7942" s="1"/>
  <c r="J32" i="7944"/>
  <c r="D770" i="7950"/>
  <c r="D816" i="7950" s="1"/>
  <c r="C816" i="7950"/>
  <c r="C1032" i="7950"/>
  <c r="D986" i="7950"/>
  <c r="J242" i="7942"/>
  <c r="J243" i="7942" s="1"/>
  <c r="I243" i="7942"/>
  <c r="C1086" i="7950"/>
  <c r="D1040" i="7950"/>
  <c r="C2706" i="7950"/>
  <c r="D2660" i="7950"/>
  <c r="I593" i="7944"/>
  <c r="I268" i="7942"/>
  <c r="I684" i="7944"/>
  <c r="D1472" i="7950"/>
  <c r="D1518" i="7950" s="1"/>
  <c r="C1518" i="7950"/>
  <c r="J220" i="7942"/>
  <c r="J221" i="7942" s="1"/>
  <c r="J509" i="7942"/>
  <c r="I213" i="7942"/>
  <c r="J212" i="7942"/>
  <c r="J213" i="7942" s="1"/>
  <c r="J521" i="7942"/>
  <c r="J522" i="7942" s="1"/>
  <c r="J479" i="7942"/>
  <c r="I480" i="7942"/>
  <c r="J505" i="7942"/>
  <c r="J506" i="7942" s="1"/>
  <c r="J47" i="7944"/>
  <c r="J232" i="7942"/>
  <c r="J233" i="7942" s="1"/>
  <c r="C1734" i="7950"/>
  <c r="D1688" i="7950"/>
  <c r="D1734" i="7950" s="1"/>
  <c r="J515" i="7942"/>
  <c r="K515" i="7942" s="1"/>
  <c r="I516" i="7942"/>
  <c r="J206" i="7942"/>
  <c r="J207" i="7942" s="1"/>
  <c r="J200" i="7942"/>
  <c r="J201" i="7942" s="1"/>
  <c r="I201" i="7942"/>
  <c r="I262" i="7942"/>
  <c r="I263" i="7942" s="1"/>
  <c r="I475" i="7942"/>
  <c r="J475" i="7942" s="1"/>
  <c r="J476" i="7942" s="1"/>
  <c r="D824" i="7950"/>
  <c r="D870" i="7950" s="1"/>
  <c r="C870" i="7950"/>
  <c r="I525" i="7942"/>
  <c r="I723" i="7944"/>
  <c r="J266" i="7942"/>
  <c r="J267" i="7942" s="1"/>
  <c r="I267" i="7942"/>
  <c r="J226" i="7942"/>
  <c r="J227" i="7942" s="1"/>
  <c r="J252" i="7942"/>
  <c r="J253" i="7942" s="1"/>
  <c r="I253" i="7942"/>
  <c r="C1572" i="7950"/>
  <c r="D1526" i="7950"/>
  <c r="D1572" i="7950" s="1"/>
  <c r="I484" i="7942"/>
  <c r="K483" i="7942"/>
  <c r="L483" i="7942" s="1"/>
  <c r="I450" i="7944"/>
  <c r="C2328" i="7950"/>
  <c r="D2282" i="7950"/>
  <c r="D2328" i="7950" s="1"/>
  <c r="D1310" i="7950"/>
  <c r="D1356" i="7950" s="1"/>
  <c r="C1356" i="7950"/>
  <c r="I229" i="7942"/>
  <c r="J228" i="7942"/>
  <c r="J229" i="7942" s="1"/>
  <c r="I697" i="7944"/>
  <c r="I567" i="7944"/>
  <c r="J465" i="7942"/>
  <c r="K465" i="7942" s="1"/>
  <c r="K466" i="7942" s="1"/>
  <c r="I385" i="7944"/>
  <c r="D2606" i="7950"/>
  <c r="D2652" i="7950" s="1"/>
  <c r="C2652" i="7950"/>
  <c r="J459" i="7942"/>
  <c r="J460" i="7942" s="1"/>
  <c r="C978" i="7950"/>
  <c r="D932" i="7950"/>
  <c r="D978" i="7950" s="1"/>
  <c r="I554" i="7944"/>
  <c r="J256" i="7942"/>
  <c r="I359" i="7944"/>
  <c r="D1958" i="7950"/>
  <c r="D2004" i="7950" s="1"/>
  <c r="C2004" i="7950"/>
  <c r="J210" i="7942"/>
  <c r="J211" i="7942" s="1"/>
  <c r="J216" i="7942"/>
  <c r="J217" i="7942" s="1"/>
  <c r="I234" i="7942"/>
  <c r="C2058" i="7950"/>
  <c r="D2012" i="7950"/>
  <c r="D2058" i="7950" s="1"/>
  <c r="D2390" i="7950"/>
  <c r="D2436" i="7950" s="1"/>
  <c r="C2436" i="7950"/>
  <c r="J307" i="7944"/>
  <c r="I319" i="7944"/>
  <c r="J246" i="7942"/>
  <c r="J247" i="7942" s="1"/>
  <c r="J208" i="7942"/>
  <c r="J209" i="7942" s="1"/>
  <c r="D2444" i="7950"/>
  <c r="D2490" i="7950" s="1"/>
  <c r="C2490" i="7950"/>
  <c r="J519" i="7942"/>
  <c r="J520" i="7942" s="1"/>
  <c r="D1850" i="7950"/>
  <c r="D1896" i="7950" s="1"/>
  <c r="C1896" i="7950"/>
  <c r="J497" i="7942"/>
  <c r="K497" i="7942" s="1"/>
  <c r="I491" i="7942"/>
  <c r="D1742" i="7950"/>
  <c r="D1788" i="7950" s="1"/>
  <c r="C1788" i="7950"/>
  <c r="J240" i="7942"/>
  <c r="J241" i="7942" s="1"/>
  <c r="I39" i="7944"/>
  <c r="I23" i="7944"/>
  <c r="I398" i="7944"/>
  <c r="I237" i="7942"/>
  <c r="J236" i="7942"/>
  <c r="I529" i="7942"/>
  <c r="J230" i="7942"/>
  <c r="K230" i="7942" s="1"/>
  <c r="C1140" i="7950"/>
  <c r="D1094" i="7950"/>
  <c r="D1140" i="7950" s="1"/>
  <c r="I248" i="7942"/>
  <c r="I473" i="7942"/>
  <c r="J473" i="7942" s="1"/>
  <c r="I260" i="7942"/>
  <c r="I261" i="7942" s="1"/>
  <c r="I218" i="7942"/>
  <c r="I244" i="7942"/>
  <c r="I528" i="7944"/>
  <c r="D2120" i="7950"/>
  <c r="D2166" i="7950" s="1"/>
  <c r="C2166" i="7950"/>
  <c r="J493" i="7942"/>
  <c r="J494" i="7942" s="1"/>
  <c r="J501" i="7942"/>
  <c r="J502" i="7942" s="1"/>
  <c r="J463" i="7942"/>
  <c r="I254" i="7942"/>
  <c r="I467" i="7942"/>
  <c r="I468" i="7942" s="1"/>
  <c r="I41" i="7944"/>
  <c r="D1796" i="7950"/>
  <c r="C1842" i="7950"/>
  <c r="I46" i="7944"/>
  <c r="I606" i="7944"/>
  <c r="J606" i="7944" s="1"/>
  <c r="I523" i="7942"/>
  <c r="I524" i="7942" s="1"/>
  <c r="I214" i="7942"/>
  <c r="I51" i="7944"/>
  <c r="I671" i="7944"/>
  <c r="J671" i="7944" s="1"/>
  <c r="K671" i="7944" s="1"/>
  <c r="J250" i="7942"/>
  <c r="J251" i="7942" s="1"/>
  <c r="I251" i="7942"/>
  <c r="C2274" i="7950"/>
  <c r="D2228" i="7950"/>
  <c r="D2274" i="7950" s="1"/>
  <c r="I437" i="7944"/>
  <c r="I264" i="7942"/>
  <c r="J264" i="7942" s="1"/>
  <c r="J265" i="7942" s="1"/>
  <c r="I507" i="7942"/>
  <c r="D2174" i="7950"/>
  <c r="D2220" i="7950" s="1"/>
  <c r="C2220" i="7950"/>
  <c r="D1580" i="7950"/>
  <c r="C1626" i="7950"/>
  <c r="K527" i="7942"/>
  <c r="L527" i="7942" s="1"/>
  <c r="L528" i="7942" s="1"/>
  <c r="I528" i="7942"/>
  <c r="J528" i="7942"/>
  <c r="I488" i="7942"/>
  <c r="J487" i="7942"/>
  <c r="J488" i="7942" s="1"/>
  <c r="J513" i="7942"/>
  <c r="J514" i="7942" s="1"/>
  <c r="I222" i="7942"/>
  <c r="J222" i="7942" s="1"/>
  <c r="J223" i="7942" s="1"/>
  <c r="I34" i="7944"/>
  <c r="D1418" i="7950"/>
  <c r="D1464" i="7950" s="1"/>
  <c r="C1464" i="7950"/>
  <c r="D2498" i="7950"/>
  <c r="D2544" i="7950" s="1"/>
  <c r="C2544" i="7950"/>
  <c r="J658" i="7944"/>
  <c r="D878" i="7950"/>
  <c r="D924" i="7950" s="1"/>
  <c r="C924" i="7950"/>
  <c r="I411" i="7944"/>
  <c r="I469" i="7942"/>
  <c r="J238" i="7942"/>
  <c r="J239" i="7942" s="1"/>
  <c r="J224" i="7942"/>
  <c r="J225" i="7942" s="1"/>
  <c r="J424" i="7944"/>
  <c r="I489" i="7942"/>
  <c r="I43" i="7944"/>
  <c r="D1904" i="7950"/>
  <c r="C1950" i="7950"/>
  <c r="J346" i="7944"/>
  <c r="I204" i="7942"/>
  <c r="I205" i="7942" s="1"/>
  <c r="I259" i="7942"/>
  <c r="J258" i="7942"/>
  <c r="J259" i="7942" s="1"/>
  <c r="J503" i="7942"/>
  <c r="K503" i="7942" s="1"/>
  <c r="I199" i="7942"/>
  <c r="J198" i="7942"/>
  <c r="I333" i="7944"/>
  <c r="I517" i="7942"/>
  <c r="J471" i="7942"/>
  <c r="J472" i="7942" s="1"/>
  <c r="I478" i="7942"/>
  <c r="J477" i="7942"/>
  <c r="I749" i="7944"/>
  <c r="I495" i="7942"/>
  <c r="D1634" i="7950"/>
  <c r="D1680" i="7950" s="1"/>
  <c r="C1680" i="7950"/>
  <c r="I657" i="7944" l="1"/>
  <c r="J463" i="7944"/>
  <c r="I527" i="7944"/>
  <c r="J372" i="7944"/>
  <c r="K372" i="7944" s="1"/>
  <c r="K258" i="7942"/>
  <c r="K259" i="7942" s="1"/>
  <c r="K505" i="7942"/>
  <c r="L505" i="7942" s="1"/>
  <c r="M505" i="7942" s="1"/>
  <c r="M506" i="7942" s="1"/>
  <c r="K220" i="7942"/>
  <c r="K221" i="7942" s="1"/>
  <c r="K511" i="7942"/>
  <c r="K512" i="7942" s="1"/>
  <c r="J466" i="7942"/>
  <c r="K484" i="7942"/>
  <c r="K485" i="7942"/>
  <c r="L485" i="7942" s="1"/>
  <c r="J294" i="7944"/>
  <c r="K294" i="7944" s="1"/>
  <c r="J541" i="7944"/>
  <c r="J553" i="7944" s="1"/>
  <c r="L481" i="7942"/>
  <c r="K487" i="7942"/>
  <c r="L487" i="7942" s="1"/>
  <c r="L488" i="7942" s="1"/>
  <c r="K250" i="7942"/>
  <c r="K251" i="7942" s="1"/>
  <c r="J498" i="7942"/>
  <c r="K200" i="7942"/>
  <c r="K201" i="7942" s="1"/>
  <c r="J516" i="7942"/>
  <c r="J384" i="7944"/>
  <c r="K384" i="7944" s="1"/>
  <c r="J502" i="7944"/>
  <c r="J657" i="7944"/>
  <c r="I592" i="7944"/>
  <c r="J580" i="7944"/>
  <c r="M527" i="7942"/>
  <c r="M528" i="7942" s="1"/>
  <c r="K504" i="7942"/>
  <c r="K528" i="7942"/>
  <c r="I265" i="7942"/>
  <c r="J631" i="7944"/>
  <c r="L506" i="7942"/>
  <c r="I501" i="7944"/>
  <c r="J37" i="7944" s="1"/>
  <c r="J489" i="7944"/>
  <c r="J476" i="7944"/>
  <c r="K476" i="7944" s="1"/>
  <c r="L230" i="7942"/>
  <c r="L231" i="7942" s="1"/>
  <c r="J523" i="7942"/>
  <c r="K523" i="7942" s="1"/>
  <c r="J260" i="7942"/>
  <c r="J261" i="7942" s="1"/>
  <c r="K210" i="7942"/>
  <c r="K211" i="7942" s="1"/>
  <c r="K252" i="7942"/>
  <c r="K253" i="7942" s="1"/>
  <c r="K206" i="7942"/>
  <c r="K521" i="7942"/>
  <c r="K522" i="7942" s="1"/>
  <c r="K242" i="7942"/>
  <c r="K243" i="7942" s="1"/>
  <c r="K499" i="7942"/>
  <c r="L499" i="7942" s="1"/>
  <c r="M461" i="7942"/>
  <c r="M462" i="7942" s="1"/>
  <c r="J262" i="7942"/>
  <c r="J263" i="7942" s="1"/>
  <c r="I644" i="7944"/>
  <c r="J632" i="7944"/>
  <c r="I332" i="7944"/>
  <c r="J24" i="7944" s="1"/>
  <c r="J320" i="7944"/>
  <c r="K471" i="7942"/>
  <c r="L471" i="7942" s="1"/>
  <c r="L472" i="7942" s="1"/>
  <c r="J504" i="7942"/>
  <c r="K224" i="7942"/>
  <c r="K246" i="7942"/>
  <c r="K247" i="7942" s="1"/>
  <c r="K232" i="7942"/>
  <c r="K233" i="7942" s="1"/>
  <c r="K506" i="7942"/>
  <c r="K212" i="7942"/>
  <c r="K213" i="7942" s="1"/>
  <c r="E770" i="7950"/>
  <c r="E816" i="7950" s="1"/>
  <c r="J722" i="7944"/>
  <c r="K462" i="7942"/>
  <c r="E1148" i="7950"/>
  <c r="E1194" i="7950" s="1"/>
  <c r="I748" i="7944"/>
  <c r="J736" i="7944"/>
  <c r="E2390" i="7950"/>
  <c r="E2436" i="7950" s="1"/>
  <c r="E1310" i="7950"/>
  <c r="E1356" i="7950" s="1"/>
  <c r="E1850" i="7950"/>
  <c r="E1896" i="7950" s="1"/>
  <c r="E2444" i="7950"/>
  <c r="F2444" i="7950" s="1"/>
  <c r="E2012" i="7950"/>
  <c r="E2058" i="7950" s="1"/>
  <c r="E1958" i="7950"/>
  <c r="E2004" i="7950" s="1"/>
  <c r="E2336" i="7950"/>
  <c r="F2336" i="7950" s="1"/>
  <c r="E1634" i="7950"/>
  <c r="E1680" i="7950" s="1"/>
  <c r="E2066" i="7950"/>
  <c r="E2112" i="7950" s="1"/>
  <c r="E2174" i="7950"/>
  <c r="E2220" i="7950" s="1"/>
  <c r="E932" i="7950"/>
  <c r="E978" i="7950" s="1"/>
  <c r="E824" i="7950"/>
  <c r="E870" i="7950" s="1"/>
  <c r="E1688" i="7950"/>
  <c r="E1734" i="7950" s="1"/>
  <c r="E1472" i="7950"/>
  <c r="E1518" i="7950" s="1"/>
  <c r="E1256" i="7950"/>
  <c r="F1256" i="7950" s="1"/>
  <c r="E2498" i="7950"/>
  <c r="E2544" i="7950" s="1"/>
  <c r="E2228" i="7950"/>
  <c r="E2274" i="7950" s="1"/>
  <c r="I518" i="7942"/>
  <c r="J517" i="7942"/>
  <c r="J518" i="7942" s="1"/>
  <c r="L503" i="7942"/>
  <c r="I470" i="7942"/>
  <c r="J469" i="7942"/>
  <c r="J470" i="7942" s="1"/>
  <c r="K488" i="7942"/>
  <c r="D1626" i="7950"/>
  <c r="E1580" i="7950"/>
  <c r="L619" i="7944"/>
  <c r="K631" i="7944"/>
  <c r="J23" i="7944"/>
  <c r="J749" i="7944"/>
  <c r="K749" i="7944" s="1"/>
  <c r="I761" i="7944"/>
  <c r="J478" i="7942"/>
  <c r="K477" i="7942"/>
  <c r="K478" i="7942" s="1"/>
  <c r="J199" i="7942"/>
  <c r="K198" i="7942"/>
  <c r="D1950" i="7950"/>
  <c r="E1904" i="7950"/>
  <c r="J214" i="7942"/>
  <c r="J215" i="7942" s="1"/>
  <c r="I255" i="7942"/>
  <c r="J254" i="7942"/>
  <c r="J255" i="7942" s="1"/>
  <c r="J464" i="7942"/>
  <c r="K463" i="7942"/>
  <c r="K464" i="7942" s="1"/>
  <c r="J237" i="7942"/>
  <c r="K236" i="7942"/>
  <c r="K237" i="7942" s="1"/>
  <c r="K498" i="7942"/>
  <c r="I215" i="7942"/>
  <c r="J697" i="7944"/>
  <c r="K697" i="7944" s="1"/>
  <c r="L697" i="7944" s="1"/>
  <c r="I709" i="7944"/>
  <c r="D1842" i="7950"/>
  <c r="E1796" i="7950"/>
  <c r="I245" i="7942"/>
  <c r="J244" i="7942"/>
  <c r="J245" i="7942" s="1"/>
  <c r="I249" i="7942"/>
  <c r="J248" i="7942"/>
  <c r="J249" i="7942" s="1"/>
  <c r="J39" i="7944"/>
  <c r="L497" i="7942"/>
  <c r="L498" i="7942" s="1"/>
  <c r="I345" i="7944"/>
  <c r="J333" i="7944"/>
  <c r="K606" i="7944"/>
  <c r="L606" i="7944" s="1"/>
  <c r="K231" i="7942"/>
  <c r="M230" i="7942"/>
  <c r="N230" i="7942" s="1"/>
  <c r="J257" i="7942"/>
  <c r="K256" i="7942"/>
  <c r="L484" i="7942"/>
  <c r="M483" i="7942"/>
  <c r="M484" i="7942" s="1"/>
  <c r="D2706" i="7950"/>
  <c r="E2660" i="7950"/>
  <c r="J203" i="7942"/>
  <c r="K202" i="7942"/>
  <c r="K203" i="7942" s="1"/>
  <c r="J489" i="7942"/>
  <c r="J490" i="7942" s="1"/>
  <c r="I490" i="7942"/>
  <c r="I423" i="7944"/>
  <c r="E878" i="7950"/>
  <c r="E1418" i="7950"/>
  <c r="K513" i="7942"/>
  <c r="I508" i="7942"/>
  <c r="K501" i="7942"/>
  <c r="E2120" i="7950"/>
  <c r="I219" i="7942"/>
  <c r="J218" i="7942"/>
  <c r="J219" i="7942" s="1"/>
  <c r="K463" i="7944"/>
  <c r="E1094" i="7950"/>
  <c r="J231" i="7942"/>
  <c r="E1742" i="7950"/>
  <c r="J474" i="7942"/>
  <c r="J475" i="7944"/>
  <c r="K519" i="7942"/>
  <c r="J204" i="7942"/>
  <c r="J527" i="7944"/>
  <c r="I235" i="7942"/>
  <c r="J234" i="7942"/>
  <c r="J235" i="7942" s="1"/>
  <c r="I371" i="7944"/>
  <c r="J359" i="7944"/>
  <c r="K359" i="7944" s="1"/>
  <c r="I566" i="7944"/>
  <c r="J554" i="7944"/>
  <c r="K554" i="7944" s="1"/>
  <c r="L554" i="7944" s="1"/>
  <c r="M554" i="7944" s="1"/>
  <c r="K459" i="7942"/>
  <c r="E2606" i="7950"/>
  <c r="L465" i="7942"/>
  <c r="J411" i="7944"/>
  <c r="J450" i="7944"/>
  <c r="I462" i="7944"/>
  <c r="K266" i="7942"/>
  <c r="J723" i="7944"/>
  <c r="I735" i="7944"/>
  <c r="J49" i="7944"/>
  <c r="L515" i="7942"/>
  <c r="L516" i="7942" s="1"/>
  <c r="K516" i="7942"/>
  <c r="J510" i="7942"/>
  <c r="K509" i="7942"/>
  <c r="L509" i="7942" s="1"/>
  <c r="M509" i="7942" s="1"/>
  <c r="M510" i="7942" s="1"/>
  <c r="J495" i="7942"/>
  <c r="K495" i="7942" s="1"/>
  <c r="K496" i="7942" s="1"/>
  <c r="L258" i="7942"/>
  <c r="K346" i="7944"/>
  <c r="K424" i="7944"/>
  <c r="J436" i="7944"/>
  <c r="K238" i="7942"/>
  <c r="K658" i="7944"/>
  <c r="L658" i="7944" s="1"/>
  <c r="J670" i="7944"/>
  <c r="I223" i="7942"/>
  <c r="K222" i="7942"/>
  <c r="L222" i="7942" s="1"/>
  <c r="I618" i="7944"/>
  <c r="J41" i="7944"/>
  <c r="K493" i="7942"/>
  <c r="I540" i="7944"/>
  <c r="I530" i="7942"/>
  <c r="J398" i="7944"/>
  <c r="I410" i="7944"/>
  <c r="J467" i="7942"/>
  <c r="K240" i="7942"/>
  <c r="I474" i="7942"/>
  <c r="J491" i="7942"/>
  <c r="K491" i="7942" s="1"/>
  <c r="K492" i="7942" s="1"/>
  <c r="K208" i="7942"/>
  <c r="K264" i="7942"/>
  <c r="J319" i="7944"/>
  <c r="K515" i="7944"/>
  <c r="K216" i="7942"/>
  <c r="K228" i="7942"/>
  <c r="E1526" i="7950"/>
  <c r="J480" i="7942"/>
  <c r="K479" i="7942"/>
  <c r="J268" i="7942"/>
  <c r="I269" i="7942"/>
  <c r="D1032" i="7950"/>
  <c r="E986" i="7950"/>
  <c r="K500" i="7942"/>
  <c r="J507" i="7942"/>
  <c r="L462" i="7942"/>
  <c r="L482" i="7942"/>
  <c r="M481" i="7942"/>
  <c r="J529" i="7942"/>
  <c r="J530" i="7942" s="1"/>
  <c r="I492" i="7942"/>
  <c r="J306" i="7944"/>
  <c r="J437" i="7944"/>
  <c r="I449" i="7944"/>
  <c r="I683" i="7944"/>
  <c r="L671" i="7944"/>
  <c r="M671" i="7944" s="1"/>
  <c r="K473" i="7942"/>
  <c r="K307" i="7944"/>
  <c r="I397" i="7944"/>
  <c r="J385" i="7944"/>
  <c r="K385" i="7944" s="1"/>
  <c r="L385" i="7944" s="1"/>
  <c r="J358" i="7944"/>
  <c r="J567" i="7944"/>
  <c r="I579" i="7944"/>
  <c r="E2282" i="7950"/>
  <c r="K226" i="7942"/>
  <c r="L226" i="7942" s="1"/>
  <c r="L227" i="7942" s="1"/>
  <c r="J525" i="7942"/>
  <c r="I526" i="7942"/>
  <c r="J528" i="7944"/>
  <c r="N505" i="7942"/>
  <c r="I605" i="7944"/>
  <c r="J593" i="7944"/>
  <c r="K593" i="7944" s="1"/>
  <c r="I496" i="7942"/>
  <c r="D1086" i="7950"/>
  <c r="E1040" i="7950"/>
  <c r="K645" i="7944"/>
  <c r="K475" i="7942"/>
  <c r="K476" i="7942" s="1"/>
  <c r="E2552" i="7950"/>
  <c r="I696" i="7944"/>
  <c r="J684" i="7944"/>
  <c r="K684" i="7944" s="1"/>
  <c r="L684" i="7944" s="1"/>
  <c r="K710" i="7944"/>
  <c r="L710" i="7944" s="1"/>
  <c r="I476" i="7942"/>
  <c r="E1364" i="7950"/>
  <c r="E1202" i="7950"/>
  <c r="K472" i="7942" l="1"/>
  <c r="L210" i="7942"/>
  <c r="J488" i="7944"/>
  <c r="N527" i="7942"/>
  <c r="O527" i="7942" s="1"/>
  <c r="L372" i="7944"/>
  <c r="M372" i="7944" s="1"/>
  <c r="N372" i="7944" s="1"/>
  <c r="L220" i="7942"/>
  <c r="L221" i="7942" s="1"/>
  <c r="F1958" i="7950"/>
  <c r="G1958" i="7950" s="1"/>
  <c r="F2174" i="7950"/>
  <c r="G2174" i="7950" s="1"/>
  <c r="L224" i="7942"/>
  <c r="M224" i="7942" s="1"/>
  <c r="K225" i="7942"/>
  <c r="L523" i="7942"/>
  <c r="L524" i="7942" s="1"/>
  <c r="K524" i="7942"/>
  <c r="L250" i="7942"/>
  <c r="M250" i="7942" s="1"/>
  <c r="J524" i="7942"/>
  <c r="L511" i="7942"/>
  <c r="M511" i="7942" s="1"/>
  <c r="N461" i="7942"/>
  <c r="N462" i="7942" s="1"/>
  <c r="K244" i="7942"/>
  <c r="K245" i="7942" s="1"/>
  <c r="K260" i="7942"/>
  <c r="K261" i="7942" s="1"/>
  <c r="M606" i="7944"/>
  <c r="J423" i="7944"/>
  <c r="F2012" i="7950"/>
  <c r="F2058" i="7950" s="1"/>
  <c r="L384" i="7944"/>
  <c r="K262" i="7942"/>
  <c r="K263" i="7942" s="1"/>
  <c r="K541" i="7944"/>
  <c r="L541" i="7944" s="1"/>
  <c r="N483" i="7942"/>
  <c r="N484" i="7942" s="1"/>
  <c r="P527" i="7942"/>
  <c r="P528" i="7942" s="1"/>
  <c r="M485" i="7942"/>
  <c r="F1688" i="7950"/>
  <c r="F1734" i="7950" s="1"/>
  <c r="F2066" i="7950"/>
  <c r="G2066" i="7950" s="1"/>
  <c r="H2066" i="7950" s="1"/>
  <c r="F1148" i="7950"/>
  <c r="F1194" i="7950" s="1"/>
  <c r="L486" i="7942"/>
  <c r="M231" i="7942"/>
  <c r="L477" i="7942"/>
  <c r="L478" i="7942" s="1"/>
  <c r="L236" i="7942"/>
  <c r="M236" i="7942" s="1"/>
  <c r="M237" i="7942" s="1"/>
  <c r="L200" i="7942"/>
  <c r="M200" i="7942" s="1"/>
  <c r="F1310" i="7950"/>
  <c r="G1310" i="7950" s="1"/>
  <c r="L252" i="7942"/>
  <c r="L253" i="7942" s="1"/>
  <c r="F2498" i="7950"/>
  <c r="F2544" i="7950" s="1"/>
  <c r="F770" i="7950"/>
  <c r="K486" i="7942"/>
  <c r="K510" i="7942"/>
  <c r="M497" i="7942"/>
  <c r="E2490" i="7950"/>
  <c r="K502" i="7944"/>
  <c r="J514" i="7944"/>
  <c r="K580" i="7944"/>
  <c r="K223" i="7942"/>
  <c r="L521" i="7942"/>
  <c r="M521" i="7942" s="1"/>
  <c r="J44" i="7944"/>
  <c r="J592" i="7944"/>
  <c r="K592" i="7944" s="1"/>
  <c r="F1634" i="7950"/>
  <c r="F1680" i="7950" s="1"/>
  <c r="K207" i="7942"/>
  <c r="L206" i="7942"/>
  <c r="L207" i="7942" s="1"/>
  <c r="L246" i="7942"/>
  <c r="M246" i="7942" s="1"/>
  <c r="J501" i="7944"/>
  <c r="K489" i="7944"/>
  <c r="F2390" i="7950"/>
  <c r="G2390" i="7950" s="1"/>
  <c r="K736" i="7944"/>
  <c r="L736" i="7944" s="1"/>
  <c r="M736" i="7944" s="1"/>
  <c r="J332" i="7944"/>
  <c r="K320" i="7944"/>
  <c r="L212" i="7942"/>
  <c r="M212" i="7942" s="1"/>
  <c r="J48" i="7944"/>
  <c r="J644" i="7944"/>
  <c r="M220" i="7942"/>
  <c r="N220" i="7942" s="1"/>
  <c r="L359" i="7944"/>
  <c r="L749" i="7944"/>
  <c r="M749" i="7944" s="1"/>
  <c r="J56" i="7944"/>
  <c r="J748" i="7944"/>
  <c r="L242" i="7942"/>
  <c r="M242" i="7942" s="1"/>
  <c r="N242" i="7942" s="1"/>
  <c r="K319" i="7944"/>
  <c r="J696" i="7944"/>
  <c r="K696" i="7944" s="1"/>
  <c r="L489" i="7944"/>
  <c r="K489" i="7942"/>
  <c r="L489" i="7942" s="1"/>
  <c r="L202" i="7942"/>
  <c r="L203" i="7942" s="1"/>
  <c r="E1302" i="7950"/>
  <c r="K632" i="7944"/>
  <c r="L632" i="7944" s="1"/>
  <c r="L232" i="7942"/>
  <c r="M232" i="7942" s="1"/>
  <c r="E2382" i="7950"/>
  <c r="F1850" i="7950"/>
  <c r="F1896" i="7950" s="1"/>
  <c r="F1472" i="7950"/>
  <c r="G1472" i="7950" s="1"/>
  <c r="F932" i="7950"/>
  <c r="G932" i="7950" s="1"/>
  <c r="F2228" i="7950"/>
  <c r="F2274" i="7950" s="1"/>
  <c r="F824" i="7950"/>
  <c r="F870" i="7950" s="1"/>
  <c r="L223" i="7942"/>
  <c r="M222" i="7942"/>
  <c r="M223" i="7942" s="1"/>
  <c r="J579" i="7944"/>
  <c r="L473" i="7942"/>
  <c r="M473" i="7942" s="1"/>
  <c r="L491" i="7942"/>
  <c r="L492" i="7942" s="1"/>
  <c r="E2598" i="7950"/>
  <c r="F2552" i="7950"/>
  <c r="L645" i="7944"/>
  <c r="M645" i="7944" s="1"/>
  <c r="K528" i="7944"/>
  <c r="L528" i="7944" s="1"/>
  <c r="K567" i="7944"/>
  <c r="K474" i="7942"/>
  <c r="K488" i="7944"/>
  <c r="J508" i="7942"/>
  <c r="K507" i="7942"/>
  <c r="K508" i="7942" s="1"/>
  <c r="E1032" i="7950"/>
  <c r="F986" i="7950"/>
  <c r="J269" i="7942"/>
  <c r="K268" i="7942"/>
  <c r="K265" i="7942"/>
  <c r="L264" i="7942"/>
  <c r="K398" i="7944"/>
  <c r="K239" i="7942"/>
  <c r="L238" i="7942"/>
  <c r="L239" i="7942" s="1"/>
  <c r="L424" i="7944"/>
  <c r="L510" i="7942"/>
  <c r="N509" i="7942"/>
  <c r="N510" i="7942" s="1"/>
  <c r="J462" i="7944"/>
  <c r="J34" i="7944"/>
  <c r="K306" i="7944"/>
  <c r="L294" i="7944"/>
  <c r="J29" i="7944"/>
  <c r="M499" i="7942"/>
  <c r="N499" i="7942" s="1"/>
  <c r="N500" i="7942" s="1"/>
  <c r="N506" i="7942"/>
  <c r="M684" i="7944"/>
  <c r="N684" i="7944" s="1"/>
  <c r="O505" i="7942"/>
  <c r="P505" i="7942" s="1"/>
  <c r="L475" i="7942"/>
  <c r="E1086" i="7950"/>
  <c r="F1040" i="7950"/>
  <c r="E2328" i="7950"/>
  <c r="F2282" i="7950"/>
  <c r="K358" i="7944"/>
  <c r="L307" i="7944"/>
  <c r="M307" i="7944" s="1"/>
  <c r="N671" i="7944"/>
  <c r="J449" i="7944"/>
  <c r="J33" i="7944"/>
  <c r="M482" i="7942"/>
  <c r="N481" i="7942"/>
  <c r="L479" i="7942"/>
  <c r="L480" i="7942" s="1"/>
  <c r="E1572" i="7950"/>
  <c r="F1526" i="7950"/>
  <c r="K217" i="7942"/>
  <c r="L216" i="7942"/>
  <c r="L515" i="7944"/>
  <c r="M515" i="7944" s="1"/>
  <c r="K209" i="7942"/>
  <c r="L208" i="7942"/>
  <c r="M208" i="7942" s="1"/>
  <c r="M209" i="7942" s="1"/>
  <c r="M523" i="7942"/>
  <c r="M524" i="7942" s="1"/>
  <c r="J618" i="7944"/>
  <c r="K618" i="7944" s="1"/>
  <c r="J46" i="7944"/>
  <c r="K436" i="7944"/>
  <c r="J43" i="7944"/>
  <c r="L346" i="7944"/>
  <c r="M346" i="7944" s="1"/>
  <c r="J735" i="7944"/>
  <c r="J55" i="7944"/>
  <c r="K450" i="7944"/>
  <c r="K657" i="7944"/>
  <c r="J526" i="7942"/>
  <c r="K525" i="7942"/>
  <c r="K526" i="7942" s="1"/>
  <c r="J397" i="7944"/>
  <c r="F2382" i="7950"/>
  <c r="G2336" i="7950"/>
  <c r="L500" i="7942"/>
  <c r="M384" i="7944"/>
  <c r="E1248" i="7950"/>
  <c r="F1202" i="7950"/>
  <c r="E1410" i="7950"/>
  <c r="F1364" i="7950"/>
  <c r="K722" i="7944"/>
  <c r="M710" i="7944"/>
  <c r="N710" i="7944" s="1"/>
  <c r="J52" i="7944"/>
  <c r="L593" i="7944"/>
  <c r="M593" i="7944" s="1"/>
  <c r="J45" i="7944"/>
  <c r="J605" i="7944"/>
  <c r="K605" i="7944" s="1"/>
  <c r="K227" i="7942"/>
  <c r="M385" i="7944"/>
  <c r="N385" i="7944" s="1"/>
  <c r="J683" i="7944"/>
  <c r="J51" i="7944"/>
  <c r="K437" i="7944"/>
  <c r="L476" i="7944"/>
  <c r="M476" i="7944" s="1"/>
  <c r="K480" i="7942"/>
  <c r="L228" i="7942"/>
  <c r="M228" i="7942" s="1"/>
  <c r="K229" i="7942"/>
  <c r="J468" i="7942"/>
  <c r="K467" i="7942"/>
  <c r="K529" i="7942"/>
  <c r="K530" i="7942" s="1"/>
  <c r="J40" i="7944"/>
  <c r="J540" i="7944"/>
  <c r="K540" i="7944" s="1"/>
  <c r="L540" i="7944" s="1"/>
  <c r="K670" i="7944"/>
  <c r="L670" i="7944" s="1"/>
  <c r="K723" i="7944"/>
  <c r="L723" i="7944" s="1"/>
  <c r="O483" i="7942"/>
  <c r="O484" i="7942" s="1"/>
  <c r="E2652" i="7950"/>
  <c r="F2606" i="7950"/>
  <c r="N606" i="7944"/>
  <c r="J492" i="7942"/>
  <c r="K241" i="7942"/>
  <c r="L240" i="7942"/>
  <c r="J410" i="7944"/>
  <c r="J30" i="7944"/>
  <c r="M528" i="7944"/>
  <c r="K494" i="7942"/>
  <c r="L493" i="7942"/>
  <c r="L494" i="7942" s="1"/>
  <c r="M658" i="7944"/>
  <c r="L495" i="7942"/>
  <c r="M226" i="7942"/>
  <c r="N226" i="7942" s="1"/>
  <c r="N227" i="7942" s="1"/>
  <c r="N554" i="7944"/>
  <c r="O554" i="7944" s="1"/>
  <c r="E1140" i="7950"/>
  <c r="F1094" i="7950"/>
  <c r="K514" i="7942"/>
  <c r="L513" i="7942"/>
  <c r="L514" i="7942" s="1"/>
  <c r="E924" i="7950"/>
  <c r="F878" i="7950"/>
  <c r="N231" i="7942"/>
  <c r="N250" i="7942"/>
  <c r="L211" i="7942"/>
  <c r="E1842" i="7950"/>
  <c r="F1796" i="7950"/>
  <c r="K214" i="7942"/>
  <c r="L214" i="7942" s="1"/>
  <c r="L215" i="7942" s="1"/>
  <c r="E1950" i="7950"/>
  <c r="F1904" i="7950"/>
  <c r="L631" i="7944"/>
  <c r="M258" i="7942"/>
  <c r="N258" i="7942" s="1"/>
  <c r="N259" i="7942" s="1"/>
  <c r="M465" i="7942"/>
  <c r="L466" i="7942"/>
  <c r="K460" i="7942"/>
  <c r="L459" i="7942"/>
  <c r="M459" i="7942" s="1"/>
  <c r="J42" i="7944"/>
  <c r="M359" i="7944"/>
  <c r="N359" i="7944" s="1"/>
  <c r="J27" i="7944"/>
  <c r="J371" i="7944"/>
  <c r="K371" i="7944" s="1"/>
  <c r="K475" i="7944"/>
  <c r="E1788" i="7950"/>
  <c r="F1742" i="7950"/>
  <c r="K411" i="7944"/>
  <c r="E2706" i="7950"/>
  <c r="F2660" i="7950"/>
  <c r="K257" i="7942"/>
  <c r="O230" i="7942"/>
  <c r="O372" i="7944"/>
  <c r="P372" i="7944" s="1"/>
  <c r="Q372" i="7944" s="1"/>
  <c r="M471" i="7942"/>
  <c r="F2490" i="7950"/>
  <c r="G2444" i="7950"/>
  <c r="K254" i="7942"/>
  <c r="L254" i="7942" s="1"/>
  <c r="M254" i="7942" s="1"/>
  <c r="M255" i="7942" s="1"/>
  <c r="J57" i="7944"/>
  <c r="J761" i="7944"/>
  <c r="E1626" i="7950"/>
  <c r="F1580" i="7950"/>
  <c r="K517" i="7942"/>
  <c r="K518" i="7942" s="1"/>
  <c r="K527" i="7944"/>
  <c r="K520" i="7942"/>
  <c r="L519" i="7942"/>
  <c r="E2166" i="7950"/>
  <c r="F2120" i="7950"/>
  <c r="K502" i="7942"/>
  <c r="L501" i="7942"/>
  <c r="L256" i="7942"/>
  <c r="L251" i="7942"/>
  <c r="M210" i="7942"/>
  <c r="N210" i="7942" s="1"/>
  <c r="M697" i="7944"/>
  <c r="J709" i="7944"/>
  <c r="K709" i="7944" s="1"/>
  <c r="J53" i="7944"/>
  <c r="K199" i="7942"/>
  <c r="M619" i="7944"/>
  <c r="N619" i="7944" s="1"/>
  <c r="O619" i="7944" s="1"/>
  <c r="M487" i="7942"/>
  <c r="L259" i="7942"/>
  <c r="J496" i="7942"/>
  <c r="M515" i="7942"/>
  <c r="K267" i="7942"/>
  <c r="L266" i="7942"/>
  <c r="J566" i="7944"/>
  <c r="K566" i="7944" s="1"/>
  <c r="K234" i="7942"/>
  <c r="J205" i="7942"/>
  <c r="K204" i="7942"/>
  <c r="L463" i="7944"/>
  <c r="K218" i="7942"/>
  <c r="E1464" i="7950"/>
  <c r="F1418" i="7950"/>
  <c r="J31" i="7944"/>
  <c r="K490" i="7942"/>
  <c r="F1302" i="7950"/>
  <c r="G1256" i="7950"/>
  <c r="K333" i="7944"/>
  <c r="J345" i="7944"/>
  <c r="J25" i="7944"/>
  <c r="K248" i="7942"/>
  <c r="L463" i="7942"/>
  <c r="L464" i="7942" s="1"/>
  <c r="L198" i="7942"/>
  <c r="M198" i="7942" s="1"/>
  <c r="K469" i="7942"/>
  <c r="M503" i="7942"/>
  <c r="L504" i="7942"/>
  <c r="N236" i="7942" l="1"/>
  <c r="M202" i="7942"/>
  <c r="N749" i="7944"/>
  <c r="O749" i="7944" s="1"/>
  <c r="O528" i="7942"/>
  <c r="N528" i="7942"/>
  <c r="L512" i="7942"/>
  <c r="F2220" i="7950"/>
  <c r="L201" i="7942"/>
  <c r="L225" i="7942"/>
  <c r="N521" i="7942"/>
  <c r="O521" i="7942" s="1"/>
  <c r="O522" i="7942" s="1"/>
  <c r="M221" i="7942"/>
  <c r="M522" i="7942"/>
  <c r="M251" i="7942"/>
  <c r="L244" i="7942"/>
  <c r="L245" i="7942" s="1"/>
  <c r="F2004" i="7950"/>
  <c r="F1356" i="7950"/>
  <c r="G2012" i="7950"/>
  <c r="H2012" i="7950" s="1"/>
  <c r="G1688" i="7950"/>
  <c r="H1688" i="7950" s="1"/>
  <c r="G2112" i="7950"/>
  <c r="F2112" i="7950"/>
  <c r="L262" i="7942"/>
  <c r="L263" i="7942" s="1"/>
  <c r="G1148" i="7950"/>
  <c r="H1148" i="7950" s="1"/>
  <c r="G2498" i="7950"/>
  <c r="G2544" i="7950" s="1"/>
  <c r="N246" i="7942"/>
  <c r="O246" i="7942" s="1"/>
  <c r="O247" i="7942" s="1"/>
  <c r="Q527" i="7942"/>
  <c r="Q528" i="7942" s="1"/>
  <c r="Q1050" i="7941" s="1"/>
  <c r="L237" i="7942"/>
  <c r="M491" i="7942"/>
  <c r="N491" i="7942" s="1"/>
  <c r="M225" i="7942"/>
  <c r="N224" i="7942"/>
  <c r="N225" i="7942" s="1"/>
  <c r="M477" i="7942"/>
  <c r="N477" i="7942" s="1"/>
  <c r="N459" i="7942"/>
  <c r="O459" i="7942" s="1"/>
  <c r="P459" i="7942" s="1"/>
  <c r="M252" i="7942"/>
  <c r="M253" i="7942" s="1"/>
  <c r="F2436" i="7950"/>
  <c r="L260" i="7942"/>
  <c r="M260" i="7942" s="1"/>
  <c r="M261" i="7942" s="1"/>
  <c r="L522" i="7942"/>
  <c r="O461" i="7942"/>
  <c r="P461" i="7942" s="1"/>
  <c r="P462" i="7942" s="1"/>
  <c r="F1518" i="7950"/>
  <c r="K553" i="7944"/>
  <c r="M247" i="7942"/>
  <c r="P483" i="7942"/>
  <c r="P484" i="7942" s="1"/>
  <c r="K423" i="7944"/>
  <c r="N211" i="7942"/>
  <c r="O509" i="7942"/>
  <c r="O510" i="7942" s="1"/>
  <c r="O220" i="7942"/>
  <c r="O221" i="7942" s="1"/>
  <c r="N221" i="7942"/>
  <c r="L436" i="7944"/>
  <c r="F816" i="7950"/>
  <c r="G770" i="7950"/>
  <c r="M486" i="7942"/>
  <c r="N485" i="7942"/>
  <c r="O485" i="7942" s="1"/>
  <c r="O486" i="7942" s="1"/>
  <c r="L618" i="7944"/>
  <c r="M618" i="7944" s="1"/>
  <c r="G1850" i="7950"/>
  <c r="G1896" i="7950" s="1"/>
  <c r="L371" i="7944"/>
  <c r="M371" i="7944" s="1"/>
  <c r="G1634" i="7950"/>
  <c r="H1634" i="7950" s="1"/>
  <c r="H1680" i="7950" s="1"/>
  <c r="L247" i="7942"/>
  <c r="K748" i="7944"/>
  <c r="L748" i="7944" s="1"/>
  <c r="L243" i="7942"/>
  <c r="N478" i="7942"/>
  <c r="L507" i="7942"/>
  <c r="M507" i="7942" s="1"/>
  <c r="M229" i="7942"/>
  <c r="L517" i="7942"/>
  <c r="L518" i="7942" s="1"/>
  <c r="M214" i="7942"/>
  <c r="M215" i="7942" s="1"/>
  <c r="O210" i="7942"/>
  <c r="O211" i="7942" s="1"/>
  <c r="M519" i="7942"/>
  <c r="M520" i="7942" s="1"/>
  <c r="L520" i="7942"/>
  <c r="O250" i="7942"/>
  <c r="P250" i="7942" s="1"/>
  <c r="F978" i="7950"/>
  <c r="M513" i="7942"/>
  <c r="M514" i="7942" s="1"/>
  <c r="N251" i="7942"/>
  <c r="N515" i="7944"/>
  <c r="O515" i="7944" s="1"/>
  <c r="L460" i="7942"/>
  <c r="O224" i="7942"/>
  <c r="O225" i="7942" s="1"/>
  <c r="K332" i="7944"/>
  <c r="K514" i="7944"/>
  <c r="M498" i="7942"/>
  <c r="N497" i="7942"/>
  <c r="M206" i="7942"/>
  <c r="N206" i="7942" s="1"/>
  <c r="N207" i="7942" s="1"/>
  <c r="L580" i="7944"/>
  <c r="L502" i="7944"/>
  <c r="M632" i="7944"/>
  <c r="M489" i="7942"/>
  <c r="N489" i="7942" s="1"/>
  <c r="N490" i="7942" s="1"/>
  <c r="L490" i="7942"/>
  <c r="K345" i="7944"/>
  <c r="M460" i="7942"/>
  <c r="M211" i="7942"/>
  <c r="P554" i="7944"/>
  <c r="Q554" i="7944" s="1"/>
  <c r="M243" i="7942"/>
  <c r="G824" i="7950"/>
  <c r="H824" i="7950" s="1"/>
  <c r="K462" i="7944"/>
  <c r="N222" i="7942"/>
  <c r="L233" i="7942"/>
  <c r="M233" i="7942"/>
  <c r="N232" i="7942"/>
  <c r="L213" i="7942"/>
  <c r="M213" i="7942"/>
  <c r="N212" i="7942"/>
  <c r="N213" i="7942" s="1"/>
  <c r="N736" i="7944"/>
  <c r="O736" i="7944" s="1"/>
  <c r="M489" i="7944"/>
  <c r="N489" i="7944" s="1"/>
  <c r="O236" i="7942"/>
  <c r="O237" i="7942" s="1"/>
  <c r="O506" i="7942"/>
  <c r="N618" i="7944"/>
  <c r="M500" i="7942"/>
  <c r="M474" i="7942"/>
  <c r="L320" i="7944"/>
  <c r="K501" i="7944"/>
  <c r="L501" i="7944" s="1"/>
  <c r="O499" i="7942"/>
  <c r="O500" i="7942" s="1"/>
  <c r="L450" i="7944"/>
  <c r="M450" i="7944" s="1"/>
  <c r="K735" i="7944"/>
  <c r="L735" i="7944" s="1"/>
  <c r="N523" i="7942"/>
  <c r="N524" i="7942" s="1"/>
  <c r="L474" i="7942"/>
  <c r="N473" i="7942"/>
  <c r="N474" i="7942" s="1"/>
  <c r="N632" i="7944"/>
  <c r="O632" i="7944" s="1"/>
  <c r="P632" i="7944" s="1"/>
  <c r="K644" i="7944"/>
  <c r="G2228" i="7950"/>
  <c r="H2228" i="7950" s="1"/>
  <c r="P506" i="7942"/>
  <c r="Q505" i="7942"/>
  <c r="Q506" i="7942" s="1"/>
  <c r="Q1039" i="7941" s="1"/>
  <c r="N307" i="7944"/>
  <c r="O307" i="7944" s="1"/>
  <c r="M516" i="7942"/>
  <c r="F1626" i="7950"/>
  <c r="G1580" i="7950"/>
  <c r="F1842" i="7950"/>
  <c r="G1796" i="7950"/>
  <c r="L657" i="7944"/>
  <c r="G1356" i="7950"/>
  <c r="H1310" i="7950"/>
  <c r="O481" i="7942"/>
  <c r="O482" i="7942" s="1"/>
  <c r="N482" i="7942"/>
  <c r="K397" i="7944"/>
  <c r="L397" i="7944" s="1"/>
  <c r="L265" i="7942"/>
  <c r="G2436" i="7950"/>
  <c r="H2390" i="7950"/>
  <c r="H2112" i="7950"/>
  <c r="I2066" i="7950"/>
  <c r="O671" i="7944"/>
  <c r="P671" i="7944" s="1"/>
  <c r="Q671" i="7944" s="1"/>
  <c r="O710" i="7944"/>
  <c r="O226" i="7942"/>
  <c r="O227" i="7942" s="1"/>
  <c r="L502" i="7942"/>
  <c r="M517" i="7942"/>
  <c r="M518" i="7942" s="1"/>
  <c r="N503" i="7942"/>
  <c r="O503" i="7942" s="1"/>
  <c r="O504" i="7942" s="1"/>
  <c r="L199" i="7942"/>
  <c r="M199" i="7942"/>
  <c r="N198" i="7942"/>
  <c r="O198" i="7942" s="1"/>
  <c r="O199" i="7942" s="1"/>
  <c r="K249" i="7942"/>
  <c r="L248" i="7942"/>
  <c r="L249" i="7942" s="1"/>
  <c r="L333" i="7944"/>
  <c r="M333" i="7944" s="1"/>
  <c r="G1302" i="7950"/>
  <c r="H1256" i="7950"/>
  <c r="K219" i="7942"/>
  <c r="L218" i="7942"/>
  <c r="K205" i="7942"/>
  <c r="L204" i="7942"/>
  <c r="M204" i="7942" s="1"/>
  <c r="M205" i="7942" s="1"/>
  <c r="L709" i="7944"/>
  <c r="L527" i="7944"/>
  <c r="M527" i="7944" s="1"/>
  <c r="P749" i="7944"/>
  <c r="Q749" i="7944" s="1"/>
  <c r="N697" i="7944"/>
  <c r="O697" i="7944" s="1"/>
  <c r="P697" i="7944" s="1"/>
  <c r="Q697" i="7944" s="1"/>
  <c r="O231" i="7942"/>
  <c r="F2706" i="7950"/>
  <c r="G2660" i="7950"/>
  <c r="L411" i="7944"/>
  <c r="M411" i="7944" s="1"/>
  <c r="N411" i="7944" s="1"/>
  <c r="L475" i="7944"/>
  <c r="M631" i="7944"/>
  <c r="F1950" i="7950"/>
  <c r="G1904" i="7950"/>
  <c r="F924" i="7950"/>
  <c r="G878" i="7950"/>
  <c r="M493" i="7942"/>
  <c r="N493" i="7942" s="1"/>
  <c r="L241" i="7942"/>
  <c r="Q483" i="7942"/>
  <c r="Q484" i="7942" s="1"/>
  <c r="Q1028" i="7941" s="1"/>
  <c r="K468" i="7942"/>
  <c r="L467" i="7942"/>
  <c r="M467" i="7942" s="1"/>
  <c r="L229" i="7942"/>
  <c r="N228" i="7942"/>
  <c r="L696" i="7944"/>
  <c r="L722" i="7944"/>
  <c r="M722" i="7944" s="1"/>
  <c r="N722" i="7944" s="1"/>
  <c r="O242" i="7942"/>
  <c r="O243" i="7942" s="1"/>
  <c r="N243" i="7942"/>
  <c r="G2382" i="7950"/>
  <c r="H2336" i="7950"/>
  <c r="L209" i="7942"/>
  <c r="F2328" i="7950"/>
  <c r="G2282" i="7950"/>
  <c r="G1040" i="7950"/>
  <c r="F1086" i="7950"/>
  <c r="M475" i="7942"/>
  <c r="L476" i="7942"/>
  <c r="O684" i="7944"/>
  <c r="P684" i="7944" s="1"/>
  <c r="Q684" i="7944" s="1"/>
  <c r="M201" i="7942"/>
  <c r="N200" i="7942"/>
  <c r="L306" i="7944"/>
  <c r="M294" i="7944"/>
  <c r="M424" i="7944"/>
  <c r="M436" i="7944" s="1"/>
  <c r="K269" i="7942"/>
  <c r="L268" i="7942"/>
  <c r="L269" i="7942" s="1"/>
  <c r="L567" i="7944"/>
  <c r="F2598" i="7950"/>
  <c r="G2552" i="7950"/>
  <c r="N658" i="7944"/>
  <c r="O658" i="7944" s="1"/>
  <c r="P658" i="7944" s="1"/>
  <c r="Q658" i="7944" s="1"/>
  <c r="L319" i="7944"/>
  <c r="F1464" i="7950"/>
  <c r="G1418" i="7950"/>
  <c r="N465" i="7942"/>
  <c r="O465" i="7942" s="1"/>
  <c r="O466" i="7942" s="1"/>
  <c r="M466" i="7942"/>
  <c r="M463" i="7944"/>
  <c r="K235" i="7942"/>
  <c r="L234" i="7942"/>
  <c r="L235" i="7942" s="1"/>
  <c r="L267" i="7942"/>
  <c r="M266" i="7942"/>
  <c r="M267" i="7942" s="1"/>
  <c r="L255" i="7942"/>
  <c r="L257" i="7942"/>
  <c r="M256" i="7942"/>
  <c r="M257" i="7942" s="1"/>
  <c r="G2120" i="7950"/>
  <c r="F2166" i="7950"/>
  <c r="O359" i="7944"/>
  <c r="P359" i="7944" s="1"/>
  <c r="K761" i="7944"/>
  <c r="L761" i="7944" s="1"/>
  <c r="K255" i="7942"/>
  <c r="G2490" i="7950"/>
  <c r="H2444" i="7950"/>
  <c r="L566" i="7944"/>
  <c r="O258" i="7942"/>
  <c r="F1140" i="7950"/>
  <c r="G1094" i="7950"/>
  <c r="M495" i="7942"/>
  <c r="N495" i="7942" s="1"/>
  <c r="K410" i="7944"/>
  <c r="M240" i="7942"/>
  <c r="M241" i="7942" s="1"/>
  <c r="O606" i="7944"/>
  <c r="P606" i="7944" s="1"/>
  <c r="H1472" i="7950"/>
  <c r="G1518" i="7950"/>
  <c r="M540" i="7944"/>
  <c r="N476" i="7944"/>
  <c r="O476" i="7944" s="1"/>
  <c r="L437" i="7944"/>
  <c r="K683" i="7944"/>
  <c r="M227" i="7942"/>
  <c r="L605" i="7944"/>
  <c r="M605" i="7944" s="1"/>
  <c r="F1410" i="7950"/>
  <c r="G1364" i="7950"/>
  <c r="N384" i="7944"/>
  <c r="O384" i="7944" s="1"/>
  <c r="N645" i="7944"/>
  <c r="O645" i="7944" s="1"/>
  <c r="P645" i="7944" s="1"/>
  <c r="L496" i="7942"/>
  <c r="N528" i="7944"/>
  <c r="O528" i="7944" s="1"/>
  <c r="N208" i="7942"/>
  <c r="N209" i="7942" s="1"/>
  <c r="M216" i="7942"/>
  <c r="N216" i="7942" s="1"/>
  <c r="N217" i="7942" s="1"/>
  <c r="F1572" i="7950"/>
  <c r="G1526" i="7950"/>
  <c r="L358" i="7944"/>
  <c r="M358" i="7944" s="1"/>
  <c r="P230" i="7942"/>
  <c r="L398" i="7944"/>
  <c r="M398" i="7944" s="1"/>
  <c r="N398" i="7944" s="1"/>
  <c r="G2004" i="7950"/>
  <c r="H1958" i="7950"/>
  <c r="L488" i="7944"/>
  <c r="M512" i="7942"/>
  <c r="N511" i="7942"/>
  <c r="K579" i="7944"/>
  <c r="P499" i="7942"/>
  <c r="P500" i="7942" s="1"/>
  <c r="M541" i="7944"/>
  <c r="N541" i="7944" s="1"/>
  <c r="M723" i="7944"/>
  <c r="M463" i="7942"/>
  <c r="M464" i="7942" s="1"/>
  <c r="M490" i="7942"/>
  <c r="M488" i="7942"/>
  <c r="N487" i="7942"/>
  <c r="O487" i="7942" s="1"/>
  <c r="M501" i="7942"/>
  <c r="M502" i="7942" s="1"/>
  <c r="M472" i="7942"/>
  <c r="N254" i="7942"/>
  <c r="N255" i="7942" s="1"/>
  <c r="N237" i="7942"/>
  <c r="L469" i="7942"/>
  <c r="M469" i="7942" s="1"/>
  <c r="K470" i="7942"/>
  <c r="G2220" i="7950"/>
  <c r="H2174" i="7950"/>
  <c r="N515" i="7942"/>
  <c r="M203" i="7942"/>
  <c r="N202" i="7942"/>
  <c r="O202" i="7942" s="1"/>
  <c r="N471" i="7942"/>
  <c r="F1788" i="7950"/>
  <c r="G1742" i="7950"/>
  <c r="K215" i="7942"/>
  <c r="G978" i="7950"/>
  <c r="H932" i="7950"/>
  <c r="P619" i="7944"/>
  <c r="Q619" i="7944" s="1"/>
  <c r="F2652" i="7950"/>
  <c r="G2606" i="7950"/>
  <c r="M259" i="7942"/>
  <c r="M670" i="7944"/>
  <c r="L529" i="7942"/>
  <c r="F1248" i="7950"/>
  <c r="G1202" i="7950"/>
  <c r="O385" i="7944"/>
  <c r="P385" i="7944" s="1"/>
  <c r="M504" i="7942"/>
  <c r="L261" i="7942"/>
  <c r="L217" i="7942"/>
  <c r="M479" i="7942"/>
  <c r="K449" i="7944"/>
  <c r="N593" i="7944"/>
  <c r="O593" i="7944" s="1"/>
  <c r="L553" i="7944"/>
  <c r="M238" i="7942"/>
  <c r="M264" i="7942"/>
  <c r="M265" i="7942" s="1"/>
  <c r="O489" i="7944"/>
  <c r="P489" i="7944" s="1"/>
  <c r="Q489" i="7944" s="1"/>
  <c r="F1032" i="7950"/>
  <c r="G986" i="7950"/>
  <c r="P521" i="7942"/>
  <c r="P522" i="7942" s="1"/>
  <c r="L525" i="7942"/>
  <c r="N346" i="7944"/>
  <c r="O346" i="7944" s="1"/>
  <c r="P346" i="7944" s="1"/>
  <c r="M501" i="7944" l="1"/>
  <c r="N501" i="7944" s="1"/>
  <c r="O501" i="7944" s="1"/>
  <c r="P501" i="7944" s="1"/>
  <c r="P226" i="7942"/>
  <c r="P227" i="7942" s="1"/>
  <c r="N486" i="7942"/>
  <c r="N260" i="7942"/>
  <c r="N261" i="7942" s="1"/>
  <c r="M492" i="7942"/>
  <c r="O489" i="7942"/>
  <c r="O490" i="7942" s="1"/>
  <c r="P509" i="7942"/>
  <c r="Q509" i="7942" s="1"/>
  <c r="M244" i="7942"/>
  <c r="M245" i="7942" s="1"/>
  <c r="N492" i="7942"/>
  <c r="N460" i="7942"/>
  <c r="M478" i="7942"/>
  <c r="N522" i="7942"/>
  <c r="G2058" i="7950"/>
  <c r="M262" i="7942"/>
  <c r="M263" i="7942" s="1"/>
  <c r="O491" i="7942"/>
  <c r="O492" i="7942" s="1"/>
  <c r="O477" i="7942"/>
  <c r="P477" i="7942" s="1"/>
  <c r="Q477" i="7942" s="1"/>
  <c r="L345" i="7944"/>
  <c r="G1734" i="7950"/>
  <c r="H2498" i="7950"/>
  <c r="H2544" i="7950" s="1"/>
  <c r="I1634" i="7950"/>
  <c r="I1680" i="7950" s="1"/>
  <c r="G1194" i="7950"/>
  <c r="P481" i="7942"/>
  <c r="P482" i="7942" s="1"/>
  <c r="P224" i="7942"/>
  <c r="P225" i="7942" s="1"/>
  <c r="N247" i="7942"/>
  <c r="P485" i="7942"/>
  <c r="P486" i="7942" s="1"/>
  <c r="N513" i="7942"/>
  <c r="N514" i="7942" s="1"/>
  <c r="Q461" i="7942"/>
  <c r="Q462" i="7942" s="1"/>
  <c r="Q1017" i="7941" s="1"/>
  <c r="N252" i="7942"/>
  <c r="O252" i="7942" s="1"/>
  <c r="P252" i="7942" s="1"/>
  <c r="P246" i="7942"/>
  <c r="Q246" i="7942" s="1"/>
  <c r="Q472" i="7941" s="1"/>
  <c r="G2274" i="7950"/>
  <c r="G870" i="7950"/>
  <c r="O460" i="7942"/>
  <c r="H1850" i="7950"/>
  <c r="H1896" i="7950" s="1"/>
  <c r="P242" i="7942"/>
  <c r="P243" i="7942" s="1"/>
  <c r="N214" i="7942"/>
  <c r="N215" i="7942" s="1"/>
  <c r="O462" i="7942"/>
  <c r="P247" i="7942"/>
  <c r="M553" i="7944"/>
  <c r="N553" i="7944" s="1"/>
  <c r="N488" i="7942"/>
  <c r="P251" i="7942"/>
  <c r="N424" i="7944"/>
  <c r="O424" i="7944" s="1"/>
  <c r="G1680" i="7950"/>
  <c r="Q250" i="7942"/>
  <c r="Q251" i="7942" s="1"/>
  <c r="M207" i="7942"/>
  <c r="O206" i="7942"/>
  <c r="O207" i="7942" s="1"/>
  <c r="M748" i="7944"/>
  <c r="N748" i="7944" s="1"/>
  <c r="O748" i="7944" s="1"/>
  <c r="P465" i="7942"/>
  <c r="P466" i="7942" s="1"/>
  <c r="P210" i="7942"/>
  <c r="P211" i="7942" s="1"/>
  <c r="L579" i="7944"/>
  <c r="P710" i="7944"/>
  <c r="Q710" i="7944" s="1"/>
  <c r="L508" i="7942"/>
  <c r="G816" i="7950"/>
  <c r="H770" i="7950"/>
  <c r="P515" i="7944"/>
  <c r="Q515" i="7944" s="1"/>
  <c r="L462" i="7944"/>
  <c r="M462" i="7944" s="1"/>
  <c r="P220" i="7942"/>
  <c r="M397" i="7944"/>
  <c r="N397" i="7944" s="1"/>
  <c r="N504" i="7942"/>
  <c r="Q459" i="7942"/>
  <c r="Q460" i="7942" s="1"/>
  <c r="Q1016" i="7941" s="1"/>
  <c r="P460" i="7942"/>
  <c r="M268" i="7942"/>
  <c r="M269" i="7942" s="1"/>
  <c r="L514" i="7944"/>
  <c r="N519" i="7942"/>
  <c r="M345" i="7944"/>
  <c r="L592" i="7944"/>
  <c r="O251" i="7942"/>
  <c r="M494" i="7942"/>
  <c r="M502" i="7944"/>
  <c r="N502" i="7944" s="1"/>
  <c r="O502" i="7944" s="1"/>
  <c r="O411" i="7944"/>
  <c r="P411" i="7944" s="1"/>
  <c r="Q411" i="7944" s="1"/>
  <c r="P503" i="7942"/>
  <c r="N498" i="7942"/>
  <c r="O497" i="7942"/>
  <c r="M580" i="7944"/>
  <c r="N580" i="7944" s="1"/>
  <c r="N450" i="7944"/>
  <c r="Q632" i="7944"/>
  <c r="M735" i="7944"/>
  <c r="Q359" i="7944"/>
  <c r="M218" i="7942"/>
  <c r="M219" i="7942" s="1"/>
  <c r="O473" i="7942"/>
  <c r="M320" i="7944"/>
  <c r="N320" i="7944" s="1"/>
  <c r="O320" i="7944" s="1"/>
  <c r="L332" i="7944"/>
  <c r="N605" i="7944"/>
  <c r="O605" i="7944" s="1"/>
  <c r="N240" i="7942"/>
  <c r="N241" i="7942" s="1"/>
  <c r="Q247" i="7942"/>
  <c r="Q473" i="7941" s="1"/>
  <c r="N266" i="7942"/>
  <c r="N267" i="7942" s="1"/>
  <c r="P491" i="7942"/>
  <c r="P492" i="7942" s="1"/>
  <c r="L644" i="7944"/>
  <c r="M644" i="7944" s="1"/>
  <c r="O523" i="7942"/>
  <c r="P236" i="7942"/>
  <c r="N233" i="7942"/>
  <c r="O232" i="7942"/>
  <c r="N540" i="7944"/>
  <c r="O540" i="7944" s="1"/>
  <c r="M475" i="7944"/>
  <c r="N244" i="7942"/>
  <c r="N245" i="7942" s="1"/>
  <c r="O212" i="7942"/>
  <c r="O213" i="7942" s="1"/>
  <c r="P736" i="7944"/>
  <c r="Q736" i="7944" s="1"/>
  <c r="O222" i="7942"/>
  <c r="N223" i="7942"/>
  <c r="M470" i="7942"/>
  <c r="P384" i="7944"/>
  <c r="Q384" i="7944" s="1"/>
  <c r="P476" i="7944"/>
  <c r="Q476" i="7944" s="1"/>
  <c r="O495" i="7942"/>
  <c r="O496" i="7942" s="1"/>
  <c r="N496" i="7942"/>
  <c r="M761" i="7944"/>
  <c r="N761" i="7944" s="1"/>
  <c r="O761" i="7944" s="1"/>
  <c r="P761" i="7944" s="1"/>
  <c r="Q761" i="7944" s="1"/>
  <c r="M468" i="7942"/>
  <c r="O493" i="7942"/>
  <c r="O494" i="7942" s="1"/>
  <c r="N494" i="7942"/>
  <c r="O488" i="7942"/>
  <c r="P487" i="7942"/>
  <c r="P488" i="7942" s="1"/>
  <c r="P528" i="7944"/>
  <c r="Q528" i="7944" s="1"/>
  <c r="N436" i="7944"/>
  <c r="O436" i="7944" s="1"/>
  <c r="G1248" i="7950"/>
  <c r="H1202" i="7950"/>
  <c r="G1032" i="7950"/>
  <c r="H986" i="7950"/>
  <c r="L449" i="7944"/>
  <c r="M480" i="7942"/>
  <c r="N472" i="7942"/>
  <c r="N203" i="7942"/>
  <c r="P202" i="7942"/>
  <c r="P203" i="7942" s="1"/>
  <c r="O203" i="7942"/>
  <c r="N512" i="7942"/>
  <c r="G1572" i="7950"/>
  <c r="H1526" i="7950"/>
  <c r="M217" i="7942"/>
  <c r="O216" i="7942"/>
  <c r="O217" i="7942" s="1"/>
  <c r="H870" i="7950"/>
  <c r="I824" i="7950"/>
  <c r="L683" i="7944"/>
  <c r="L410" i="7944"/>
  <c r="M410" i="7944" s="1"/>
  <c r="N410" i="7944" s="1"/>
  <c r="G2166" i="7950"/>
  <c r="H2120" i="7950"/>
  <c r="O515" i="7942"/>
  <c r="O516" i="7942" s="1"/>
  <c r="N466" i="7942"/>
  <c r="M567" i="7944"/>
  <c r="M579" i="7944" s="1"/>
  <c r="M306" i="7944"/>
  <c r="N201" i="7942"/>
  <c r="O200" i="7942"/>
  <c r="O201" i="7942" s="1"/>
  <c r="N229" i="7942"/>
  <c r="O228" i="7942"/>
  <c r="O229" i="7942" s="1"/>
  <c r="N371" i="7944"/>
  <c r="P198" i="7942"/>
  <c r="Q198" i="7942" s="1"/>
  <c r="Q199" i="7942" s="1"/>
  <c r="Q440" i="7941" s="1"/>
  <c r="N333" i="7944"/>
  <c r="N199" i="7942"/>
  <c r="L423" i="7944"/>
  <c r="P593" i="7944"/>
  <c r="Q593" i="7944" s="1"/>
  <c r="M657" i="7944"/>
  <c r="N657" i="7944" s="1"/>
  <c r="M234" i="7942"/>
  <c r="N234" i="7942" s="1"/>
  <c r="P307" i="7944"/>
  <c r="Q307" i="7944" s="1"/>
  <c r="M437" i="7944"/>
  <c r="N437" i="7944" s="1"/>
  <c r="O437" i="7944" s="1"/>
  <c r="P437" i="7944" s="1"/>
  <c r="Q437" i="7944" s="1"/>
  <c r="M525" i="7942"/>
  <c r="M239" i="7942"/>
  <c r="N238" i="7942"/>
  <c r="L530" i="7942"/>
  <c r="H2220" i="7950"/>
  <c r="I2174" i="7950"/>
  <c r="O214" i="7942"/>
  <c r="O215" i="7942" s="1"/>
  <c r="N463" i="7942"/>
  <c r="O463" i="7942" s="1"/>
  <c r="N723" i="7944"/>
  <c r="N507" i="7942"/>
  <c r="M508" i="7942"/>
  <c r="O398" i="7944"/>
  <c r="P398" i="7944" s="1"/>
  <c r="Q398" i="7944" s="1"/>
  <c r="M529" i="7942"/>
  <c r="O618" i="7944"/>
  <c r="Q606" i="7944"/>
  <c r="O254" i="7942"/>
  <c r="P254" i="7942" s="1"/>
  <c r="P255" i="7942" s="1"/>
  <c r="N501" i="7942"/>
  <c r="N463" i="7944"/>
  <c r="G1464" i="7950"/>
  <c r="H1418" i="7950"/>
  <c r="G2598" i="7950"/>
  <c r="H2552" i="7950"/>
  <c r="L526" i="7942"/>
  <c r="M476" i="7942"/>
  <c r="N475" i="7942"/>
  <c r="O475" i="7942" s="1"/>
  <c r="H2282" i="7950"/>
  <c r="G2328" i="7950"/>
  <c r="O208" i="7942"/>
  <c r="P208" i="7942" s="1"/>
  <c r="Q645" i="7944"/>
  <c r="M696" i="7944"/>
  <c r="N696" i="7944" s="1"/>
  <c r="N670" i="7944"/>
  <c r="G924" i="7950"/>
  <c r="H878" i="7950"/>
  <c r="N527" i="7944"/>
  <c r="M709" i="7944"/>
  <c r="N709" i="7944" s="1"/>
  <c r="L205" i="7942"/>
  <c r="N204" i="7942"/>
  <c r="N205" i="7942" s="1"/>
  <c r="L219" i="7942"/>
  <c r="N345" i="7944"/>
  <c r="I2112" i="7950"/>
  <c r="J2066" i="7950"/>
  <c r="N264" i="7942"/>
  <c r="N265" i="7942" s="1"/>
  <c r="N262" i="7942"/>
  <c r="N516" i="7942"/>
  <c r="O471" i="7942"/>
  <c r="G2652" i="7950"/>
  <c r="H2606" i="7950"/>
  <c r="H2058" i="7950"/>
  <c r="I2012" i="7950"/>
  <c r="Q385" i="7944"/>
  <c r="H2004" i="7950"/>
  <c r="I1958" i="7950"/>
  <c r="G1410" i="7950"/>
  <c r="H1364" i="7950"/>
  <c r="H1518" i="7950"/>
  <c r="I1472" i="7950"/>
  <c r="M319" i="7944"/>
  <c r="O397" i="7944"/>
  <c r="P397" i="7944" s="1"/>
  <c r="H1734" i="7950"/>
  <c r="I1688" i="7950"/>
  <c r="N631" i="7944"/>
  <c r="O631" i="7944" s="1"/>
  <c r="M566" i="7944"/>
  <c r="N566" i="7944" s="1"/>
  <c r="O566" i="7944" s="1"/>
  <c r="P566" i="7944" s="1"/>
  <c r="Q566" i="7944" s="1"/>
  <c r="H2660" i="7950"/>
  <c r="G2706" i="7950"/>
  <c r="H1194" i="7950"/>
  <c r="I1148" i="7950"/>
  <c r="G1842" i="7950"/>
  <c r="H1796" i="7950"/>
  <c r="G1626" i="7950"/>
  <c r="H1580" i="7950"/>
  <c r="O511" i="7942"/>
  <c r="O512" i="7942" s="1"/>
  <c r="N479" i="7942"/>
  <c r="N358" i="7944"/>
  <c r="O358" i="7944" s="1"/>
  <c r="P358" i="7944" s="1"/>
  <c r="Q346" i="7944"/>
  <c r="H978" i="7950"/>
  <c r="I932" i="7950"/>
  <c r="G1788" i="7950"/>
  <c r="H1742" i="7950"/>
  <c r="L470" i="7942"/>
  <c r="N469" i="7942"/>
  <c r="N470" i="7942" s="1"/>
  <c r="M488" i="7944"/>
  <c r="P231" i="7942"/>
  <c r="Q230" i="7942"/>
  <c r="Q456" i="7941" s="1"/>
  <c r="M496" i="7942"/>
  <c r="G1140" i="7950"/>
  <c r="H1094" i="7950"/>
  <c r="O259" i="7942"/>
  <c r="P258" i="7942"/>
  <c r="H2490" i="7950"/>
  <c r="I2444" i="7950"/>
  <c r="H2274" i="7950"/>
  <c r="I2228" i="7950"/>
  <c r="N256" i="7942"/>
  <c r="O256" i="7942" s="1"/>
  <c r="O257" i="7942" s="1"/>
  <c r="Q485" i="7942"/>
  <c r="Q486" i="7942" s="1"/>
  <c r="Q1029" i="7941" s="1"/>
  <c r="N294" i="7944"/>
  <c r="O294" i="7944" s="1"/>
  <c r="P294" i="7944" s="1"/>
  <c r="O541" i="7944"/>
  <c r="P541" i="7944" s="1"/>
  <c r="G1086" i="7950"/>
  <c r="H1040" i="7950"/>
  <c r="H2382" i="7950"/>
  <c r="I2336" i="7950"/>
  <c r="O722" i="7944"/>
  <c r="Q499" i="7942"/>
  <c r="Q500" i="7942" s="1"/>
  <c r="Q1036" i="7941" s="1"/>
  <c r="L468" i="7942"/>
  <c r="N467" i="7942"/>
  <c r="O467" i="7942" s="1"/>
  <c r="G1950" i="7950"/>
  <c r="H1904" i="7950"/>
  <c r="N517" i="7942"/>
  <c r="I1256" i="7950"/>
  <c r="H1302" i="7950"/>
  <c r="O333" i="7944"/>
  <c r="P333" i="7944" s="1"/>
  <c r="Q333" i="7944" s="1"/>
  <c r="M248" i="7942"/>
  <c r="Q521" i="7942"/>
  <c r="Q522" i="7942" s="1"/>
  <c r="Q1047" i="7941" s="1"/>
  <c r="H2436" i="7950"/>
  <c r="I2390" i="7950"/>
  <c r="H1356" i="7950"/>
  <c r="I1310" i="7950"/>
  <c r="Q226" i="7942"/>
  <c r="Q227" i="7942" s="1"/>
  <c r="Q454" i="7941" s="1"/>
  <c r="Q224" i="7942" l="1"/>
  <c r="Q225" i="7942" s="1"/>
  <c r="Q453" i="7941" s="1"/>
  <c r="Q510" i="7942"/>
  <c r="Q1041" i="7941" s="1"/>
  <c r="Q478" i="7942"/>
  <c r="Q1025" i="7941" s="1"/>
  <c r="O260" i="7942"/>
  <c r="O261" i="7942" s="1"/>
  <c r="P510" i="7942"/>
  <c r="O240" i="7942"/>
  <c r="P240" i="7942" s="1"/>
  <c r="Q210" i="7942"/>
  <c r="Q211" i="7942" s="1"/>
  <c r="Q446" i="7941" s="1"/>
  <c r="Q242" i="7942"/>
  <c r="Q468" i="7941" s="1"/>
  <c r="P489" i="7942"/>
  <c r="P490" i="7942" s="1"/>
  <c r="N253" i="7942"/>
  <c r="O478" i="7942"/>
  <c r="P478" i="7942"/>
  <c r="P605" i="7944"/>
  <c r="P722" i="7944"/>
  <c r="O513" i="7942"/>
  <c r="P513" i="7942" s="1"/>
  <c r="Q513" i="7942" s="1"/>
  <c r="Q514" i="7942" s="1"/>
  <c r="Q1043" i="7941" s="1"/>
  <c r="Q481" i="7942"/>
  <c r="Q482" i="7942" s="1"/>
  <c r="Q1027" i="7941" s="1"/>
  <c r="O709" i="7944"/>
  <c r="P709" i="7944" s="1"/>
  <c r="Q709" i="7944" s="1"/>
  <c r="J1634" i="7950"/>
  <c r="J1680" i="7950" s="1"/>
  <c r="I2498" i="7950"/>
  <c r="J2498" i="7950" s="1"/>
  <c r="P540" i="7944"/>
  <c r="Q540" i="7944" s="1"/>
  <c r="I1850" i="7950"/>
  <c r="J1850" i="7950" s="1"/>
  <c r="O204" i="7942"/>
  <c r="P204" i="7942" s="1"/>
  <c r="Q204" i="7942" s="1"/>
  <c r="Q205" i="7942" s="1"/>
  <c r="Q443" i="7941" s="1"/>
  <c r="O253" i="7942"/>
  <c r="P216" i="7942"/>
  <c r="P217" i="7942" s="1"/>
  <c r="N268" i="7942"/>
  <c r="N269" i="7942" s="1"/>
  <c r="O241" i="7942"/>
  <c r="P424" i="7944"/>
  <c r="Q424" i="7944" s="1"/>
  <c r="Q487" i="7942"/>
  <c r="Q488" i="7942" s="1"/>
  <c r="Q1030" i="7941" s="1"/>
  <c r="P206" i="7942"/>
  <c r="Q206" i="7942" s="1"/>
  <c r="Q207" i="7942" s="1"/>
  <c r="Q444" i="7941" s="1"/>
  <c r="P748" i="7944"/>
  <c r="Q748" i="7944" s="1"/>
  <c r="P436" i="7944"/>
  <c r="Q465" i="7942"/>
  <c r="Q466" i="7942" s="1"/>
  <c r="Q1019" i="7941" s="1"/>
  <c r="Q397" i="7944"/>
  <c r="N475" i="7944"/>
  <c r="H816" i="7950"/>
  <c r="I770" i="7950"/>
  <c r="M235" i="7942"/>
  <c r="N567" i="7944"/>
  <c r="O567" i="7944" s="1"/>
  <c r="P567" i="7944" s="1"/>
  <c r="Q567" i="7944" s="1"/>
  <c r="Q220" i="7942"/>
  <c r="Q221" i="7942" s="1"/>
  <c r="Q451" i="7941" s="1"/>
  <c r="P221" i="7942"/>
  <c r="Q503" i="7942"/>
  <c r="Q504" i="7942" s="1"/>
  <c r="Q1038" i="7941" s="1"/>
  <c r="P504" i="7942"/>
  <c r="Q216" i="7942"/>
  <c r="Q217" i="7942" s="1"/>
  <c r="Q449" i="7941" s="1"/>
  <c r="P228" i="7942"/>
  <c r="Q228" i="7942" s="1"/>
  <c r="Q229" i="7942" s="1"/>
  <c r="Q455" i="7941" s="1"/>
  <c r="Q202" i="7942"/>
  <c r="Q203" i="7942" s="1"/>
  <c r="Q442" i="7941" s="1"/>
  <c r="Q491" i="7942"/>
  <c r="Q492" i="7942" s="1"/>
  <c r="Q1032" i="7941" s="1"/>
  <c r="P199" i="7942"/>
  <c r="N462" i="7944"/>
  <c r="M514" i="7944"/>
  <c r="N514" i="7944" s="1"/>
  <c r="O498" i="7942"/>
  <c r="P497" i="7942"/>
  <c r="P502" i="7944"/>
  <c r="Q502" i="7944" s="1"/>
  <c r="M592" i="7944"/>
  <c r="N592" i="7944" s="1"/>
  <c r="N520" i="7942"/>
  <c r="O519" i="7942"/>
  <c r="O450" i="7944"/>
  <c r="P450" i="7944" s="1"/>
  <c r="Q450" i="7944" s="1"/>
  <c r="O580" i="7944"/>
  <c r="P580" i="7944" s="1"/>
  <c r="Q580" i="7944" s="1"/>
  <c r="Q236" i="7942"/>
  <c r="Q462" i="7941" s="1"/>
  <c r="P237" i="7942"/>
  <c r="M332" i="7944"/>
  <c r="N332" i="7944" s="1"/>
  <c r="O332" i="7944" s="1"/>
  <c r="P212" i="7942"/>
  <c r="P213" i="7942" s="1"/>
  <c r="O266" i="7942"/>
  <c r="O267" i="7942" s="1"/>
  <c r="O233" i="7942"/>
  <c r="P523" i="7942"/>
  <c r="P524" i="7942" s="1"/>
  <c r="O524" i="7942"/>
  <c r="O527" i="7944"/>
  <c r="P527" i="7944" s="1"/>
  <c r="Q527" i="7944" s="1"/>
  <c r="P467" i="7942"/>
  <c r="P468" i="7942" s="1"/>
  <c r="Q358" i="7944"/>
  <c r="P493" i="7942"/>
  <c r="P494" i="7942" s="1"/>
  <c r="P515" i="7942"/>
  <c r="P516" i="7942" s="1"/>
  <c r="N218" i="7942"/>
  <c r="N219" i="7942" s="1"/>
  <c r="O223" i="7942"/>
  <c r="P222" i="7942"/>
  <c r="P232" i="7942"/>
  <c r="O474" i="7942"/>
  <c r="O244" i="7942"/>
  <c r="P209" i="7942"/>
  <c r="N488" i="7944"/>
  <c r="O488" i="7944" s="1"/>
  <c r="P488" i="7944" s="1"/>
  <c r="Q488" i="7944" s="1"/>
  <c r="P463" i="7942"/>
  <c r="P464" i="7942" s="1"/>
  <c r="O657" i="7944"/>
  <c r="P657" i="7944" s="1"/>
  <c r="N644" i="7944"/>
  <c r="O644" i="7944" s="1"/>
  <c r="P320" i="7944"/>
  <c r="Q320" i="7944" s="1"/>
  <c r="P473" i="7942"/>
  <c r="P474" i="7942" s="1"/>
  <c r="Q252" i="7942"/>
  <c r="Q253" i="7942" s="1"/>
  <c r="P253" i="7942"/>
  <c r="N235" i="7942"/>
  <c r="O234" i="7942"/>
  <c r="O235" i="7942" s="1"/>
  <c r="P631" i="7944"/>
  <c r="Q631" i="7944" s="1"/>
  <c r="N518" i="7942"/>
  <c r="O517" i="7942"/>
  <c r="O518" i="7942" s="1"/>
  <c r="I2436" i="7950"/>
  <c r="J2390" i="7950"/>
  <c r="N468" i="7942"/>
  <c r="I2274" i="7950"/>
  <c r="J2228" i="7950"/>
  <c r="Q501" i="7944"/>
  <c r="I1734" i="7950"/>
  <c r="J1688" i="7950"/>
  <c r="N319" i="7944"/>
  <c r="O319" i="7944" s="1"/>
  <c r="I2004" i="7950"/>
  <c r="J1958" i="7950"/>
  <c r="I2058" i="7950"/>
  <c r="J2012" i="7950"/>
  <c r="J2112" i="7950"/>
  <c r="K2066" i="7950"/>
  <c r="O345" i="7944"/>
  <c r="P345" i="7944" s="1"/>
  <c r="Q345" i="7944" s="1"/>
  <c r="O696" i="7944"/>
  <c r="P696" i="7944" s="1"/>
  <c r="N476" i="7942"/>
  <c r="P475" i="7942"/>
  <c r="O476" i="7942"/>
  <c r="N508" i="7942"/>
  <c r="O507" i="7942"/>
  <c r="O723" i="7944"/>
  <c r="P723" i="7944" s="1"/>
  <c r="P200" i="7942"/>
  <c r="M683" i="7944"/>
  <c r="H1248" i="7950"/>
  <c r="I1202" i="7950"/>
  <c r="I1356" i="7950"/>
  <c r="J1310" i="7950"/>
  <c r="M249" i="7942"/>
  <c r="N248" i="7942"/>
  <c r="I1302" i="7950"/>
  <c r="J1256" i="7950"/>
  <c r="Q294" i="7944"/>
  <c r="Q258" i="7942"/>
  <c r="Q259" i="7942" s="1"/>
  <c r="P259" i="7942"/>
  <c r="H1140" i="7950"/>
  <c r="I1094" i="7950"/>
  <c r="H1788" i="7950"/>
  <c r="I1742" i="7950"/>
  <c r="N480" i="7942"/>
  <c r="O479" i="7942"/>
  <c r="H1626" i="7950"/>
  <c r="I1580" i="7950"/>
  <c r="P256" i="7942"/>
  <c r="P257" i="7942" s="1"/>
  <c r="I1364" i="7950"/>
  <c r="H1410" i="7950"/>
  <c r="H2328" i="7950"/>
  <c r="I2282" i="7950"/>
  <c r="M530" i="7942"/>
  <c r="N529" i="7942"/>
  <c r="P511" i="7942"/>
  <c r="N239" i="7942"/>
  <c r="O238" i="7942"/>
  <c r="M526" i="7942"/>
  <c r="N525" i="7942"/>
  <c r="N526" i="7942" s="1"/>
  <c r="P241" i="7942"/>
  <c r="Q722" i="7944"/>
  <c r="O463" i="7944"/>
  <c r="P463" i="7944" s="1"/>
  <c r="Q463" i="7944" s="1"/>
  <c r="I870" i="7950"/>
  <c r="J824" i="7950"/>
  <c r="P471" i="7942"/>
  <c r="P472" i="7942" s="1"/>
  <c r="O670" i="7944"/>
  <c r="O468" i="7942"/>
  <c r="Q231" i="7942"/>
  <c r="Q457" i="7941" s="1"/>
  <c r="I2490" i="7950"/>
  <c r="J2444" i="7950"/>
  <c r="I1194" i="7950"/>
  <c r="J1148" i="7950"/>
  <c r="I1518" i="7950"/>
  <c r="J1472" i="7950"/>
  <c r="H2652" i="7950"/>
  <c r="I2606" i="7950"/>
  <c r="N263" i="7942"/>
  <c r="O262" i="7942"/>
  <c r="O263" i="7942" s="1"/>
  <c r="Q605" i="7944"/>
  <c r="H924" i="7950"/>
  <c r="I878" i="7950"/>
  <c r="I1418" i="7950"/>
  <c r="H1464" i="7950"/>
  <c r="O255" i="7942"/>
  <c r="Q254" i="7942"/>
  <c r="Q255" i="7942" s="1"/>
  <c r="P618" i="7944"/>
  <c r="Q618" i="7944" s="1"/>
  <c r="J2174" i="7950"/>
  <c r="I2220" i="7950"/>
  <c r="O410" i="7944"/>
  <c r="H1572" i="7950"/>
  <c r="I1526" i="7950"/>
  <c r="O472" i="7942"/>
  <c r="M449" i="7944"/>
  <c r="H1032" i="7950"/>
  <c r="I986" i="7950"/>
  <c r="N735" i="7944"/>
  <c r="O469" i="7942"/>
  <c r="O470" i="7942" s="1"/>
  <c r="H1950" i="7950"/>
  <c r="I1904" i="7950"/>
  <c r="I2382" i="7950"/>
  <c r="J2336" i="7950"/>
  <c r="H1086" i="7950"/>
  <c r="I1040" i="7950"/>
  <c r="N257" i="7942"/>
  <c r="I978" i="7950"/>
  <c r="J932" i="7950"/>
  <c r="H1842" i="7950"/>
  <c r="I1796" i="7950"/>
  <c r="H2706" i="7950"/>
  <c r="I2660" i="7950"/>
  <c r="O209" i="7942"/>
  <c r="Q208" i="7942"/>
  <c r="Q209" i="7942" s="1"/>
  <c r="Q445" i="7941" s="1"/>
  <c r="O264" i="7942"/>
  <c r="H2598" i="7950"/>
  <c r="I2552" i="7950"/>
  <c r="N502" i="7942"/>
  <c r="O501" i="7942"/>
  <c r="O502" i="7942" s="1"/>
  <c r="O514" i="7942"/>
  <c r="P514" i="7942"/>
  <c r="N464" i="7942"/>
  <c r="O553" i="7944"/>
  <c r="M423" i="7944"/>
  <c r="N423" i="7944" s="1"/>
  <c r="Q541" i="7944"/>
  <c r="N306" i="7944"/>
  <c r="H2166" i="7950"/>
  <c r="I2120" i="7950"/>
  <c r="O464" i="7942"/>
  <c r="O371" i="7944"/>
  <c r="P371" i="7944" s="1"/>
  <c r="Q371" i="7944" s="1"/>
  <c r="P495" i="7942"/>
  <c r="P214" i="7942"/>
  <c r="Q436" i="7944" l="1"/>
  <c r="Q240" i="7942"/>
  <c r="Q466" i="7941" s="1"/>
  <c r="P260" i="7942"/>
  <c r="Q260" i="7942" s="1"/>
  <c r="Q261" i="7942" s="1"/>
  <c r="Q243" i="7942"/>
  <c r="Q469" i="7941" s="1"/>
  <c r="I2544" i="7950"/>
  <c r="Q489" i="7942"/>
  <c r="Q490" i="7942" s="1"/>
  <c r="Q1031" i="7941" s="1"/>
  <c r="O205" i="7942"/>
  <c r="K1634" i="7950"/>
  <c r="L1634" i="7950" s="1"/>
  <c r="I1896" i="7950"/>
  <c r="O268" i="7942"/>
  <c r="P268" i="7942" s="1"/>
  <c r="Q268" i="7942" s="1"/>
  <c r="Q269" i="7942" s="1"/>
  <c r="O218" i="7942"/>
  <c r="O219" i="7942" s="1"/>
  <c r="P229" i="7942"/>
  <c r="Q467" i="7942"/>
  <c r="Q468" i="7942" s="1"/>
  <c r="Q1020" i="7941" s="1"/>
  <c r="P207" i="7942"/>
  <c r="Q515" i="7942"/>
  <c r="Q516" i="7942" s="1"/>
  <c r="Q1044" i="7941" s="1"/>
  <c r="Q493" i="7942"/>
  <c r="Q494" i="7942" s="1"/>
  <c r="Q1033" i="7941" s="1"/>
  <c r="P266" i="7942"/>
  <c r="Q266" i="7942" s="1"/>
  <c r="Q267" i="7942" s="1"/>
  <c r="O529" i="7942"/>
  <c r="O530" i="7942" s="1"/>
  <c r="N579" i="7944"/>
  <c r="Q212" i="7942"/>
  <c r="Q213" i="7942" s="1"/>
  <c r="Q447" i="7941" s="1"/>
  <c r="Q696" i="7944"/>
  <c r="J770" i="7950"/>
  <c r="I816" i="7950"/>
  <c r="O592" i="7944"/>
  <c r="P592" i="7944" s="1"/>
  <c r="Q592" i="7944" s="1"/>
  <c r="O514" i="7944"/>
  <c r="P514" i="7944" s="1"/>
  <c r="Q514" i="7944" s="1"/>
  <c r="O462" i="7944"/>
  <c r="P462" i="7944" s="1"/>
  <c r="Q462" i="7944" s="1"/>
  <c r="O520" i="7942"/>
  <c r="P519" i="7942"/>
  <c r="Q241" i="7942"/>
  <c r="Q467" i="7941" s="1"/>
  <c r="Q497" i="7942"/>
  <c r="Q498" i="7942" s="1"/>
  <c r="Q1035" i="7941" s="1"/>
  <c r="P498" i="7942"/>
  <c r="P644" i="7944"/>
  <c r="Q644" i="7944" s="1"/>
  <c r="Q523" i="7942"/>
  <c r="Q524" i="7942" s="1"/>
  <c r="Q1048" i="7941" s="1"/>
  <c r="P233" i="7942"/>
  <c r="P332" i="7944"/>
  <c r="Q332" i="7944" s="1"/>
  <c r="Q256" i="7942"/>
  <c r="Q257" i="7942" s="1"/>
  <c r="P205" i="7942"/>
  <c r="Q657" i="7944"/>
  <c r="Q473" i="7942"/>
  <c r="Q474" i="7942" s="1"/>
  <c r="Q1023" i="7941" s="1"/>
  <c r="Q222" i="7942"/>
  <c r="Q223" i="7942" s="1"/>
  <c r="Q452" i="7941" s="1"/>
  <c r="P223" i="7942"/>
  <c r="Q237" i="7942"/>
  <c r="Q463" i="7941" s="1"/>
  <c r="P244" i="7942"/>
  <c r="P245" i="7942" s="1"/>
  <c r="O245" i="7942"/>
  <c r="O525" i="7942"/>
  <c r="P525" i="7942" s="1"/>
  <c r="Q463" i="7942"/>
  <c r="Q464" i="7942" s="1"/>
  <c r="Q1018" i="7941" s="1"/>
  <c r="Q232" i="7942"/>
  <c r="Q458" i="7941" s="1"/>
  <c r="Q214" i="7942"/>
  <c r="Q215" i="7942" s="1"/>
  <c r="Q448" i="7941" s="1"/>
  <c r="P215" i="7942"/>
  <c r="I2166" i="7950"/>
  <c r="J2120" i="7950"/>
  <c r="I2598" i="7950"/>
  <c r="J2552" i="7950"/>
  <c r="I1464" i="7950"/>
  <c r="J1418" i="7950"/>
  <c r="I2652" i="7950"/>
  <c r="J2606" i="7950"/>
  <c r="O239" i="7942"/>
  <c r="Q511" i="7942"/>
  <c r="Q512" i="7942" s="1"/>
  <c r="Q1042" i="7941" s="1"/>
  <c r="P512" i="7942"/>
  <c r="J1896" i="7950"/>
  <c r="K1850" i="7950"/>
  <c r="Q200" i="7942"/>
  <c r="Q201" i="7942" s="1"/>
  <c r="Q441" i="7941" s="1"/>
  <c r="P201" i="7942"/>
  <c r="P507" i="7942"/>
  <c r="O508" i="7942"/>
  <c r="P476" i="7942"/>
  <c r="Q475" i="7942"/>
  <c r="Q476" i="7942" s="1"/>
  <c r="Q1024" i="7941" s="1"/>
  <c r="J2058" i="7950"/>
  <c r="K2012" i="7950"/>
  <c r="P319" i="7944"/>
  <c r="Q319" i="7944" s="1"/>
  <c r="J2436" i="7950"/>
  <c r="K2390" i="7950"/>
  <c r="Q471" i="7942"/>
  <c r="Q472" i="7942" s="1"/>
  <c r="Q1022" i="7941" s="1"/>
  <c r="O475" i="7944"/>
  <c r="P475" i="7944" s="1"/>
  <c r="Q475" i="7944" s="1"/>
  <c r="J1796" i="7950"/>
  <c r="I1842" i="7950"/>
  <c r="I1086" i="7950"/>
  <c r="J1040" i="7950"/>
  <c r="I1572" i="7950"/>
  <c r="J1526" i="7950"/>
  <c r="J2220" i="7950"/>
  <c r="K2174" i="7950"/>
  <c r="I924" i="7950"/>
  <c r="J878" i="7950"/>
  <c r="J1194" i="7950"/>
  <c r="K1148" i="7950"/>
  <c r="I1626" i="7950"/>
  <c r="J1580" i="7950"/>
  <c r="J1742" i="7950"/>
  <c r="I1788" i="7950"/>
  <c r="P261" i="7942"/>
  <c r="O248" i="7942"/>
  <c r="O249" i="7942" s="1"/>
  <c r="N249" i="7942"/>
  <c r="J1356" i="7950"/>
  <c r="K1310" i="7950"/>
  <c r="I1248" i="7950"/>
  <c r="J1202" i="7950"/>
  <c r="J1734" i="7950"/>
  <c r="K1688" i="7950"/>
  <c r="J2274" i="7950"/>
  <c r="K2228" i="7950"/>
  <c r="P238" i="7942"/>
  <c r="Q238" i="7942" s="1"/>
  <c r="Q464" i="7941" s="1"/>
  <c r="O579" i="7944"/>
  <c r="N530" i="7942"/>
  <c r="P670" i="7944"/>
  <c r="Q670" i="7944" s="1"/>
  <c r="P501" i="7942"/>
  <c r="Q501" i="7942" s="1"/>
  <c r="O735" i="7944"/>
  <c r="P735" i="7944" s="1"/>
  <c r="J2544" i="7950"/>
  <c r="K2498" i="7950"/>
  <c r="J1518" i="7950"/>
  <c r="K1472" i="7950"/>
  <c r="I1410" i="7950"/>
  <c r="J1364" i="7950"/>
  <c r="K2112" i="7950"/>
  <c r="L2066" i="7950"/>
  <c r="J2004" i="7950"/>
  <c r="K1958" i="7950"/>
  <c r="N449" i="7944"/>
  <c r="O449" i="7944" s="1"/>
  <c r="P449" i="7944" s="1"/>
  <c r="P234" i="7942"/>
  <c r="O265" i="7942"/>
  <c r="P264" i="7942"/>
  <c r="P265" i="7942" s="1"/>
  <c r="J1904" i="7950"/>
  <c r="I1950" i="7950"/>
  <c r="P496" i="7942"/>
  <c r="Q495" i="7942"/>
  <c r="Q496" i="7942" s="1"/>
  <c r="Q1034" i="7941" s="1"/>
  <c r="O306" i="7944"/>
  <c r="P306" i="7944" s="1"/>
  <c r="Q306" i="7944" s="1"/>
  <c r="O423" i="7944"/>
  <c r="P423" i="7944" s="1"/>
  <c r="Q423" i="7944" s="1"/>
  <c r="P553" i="7944"/>
  <c r="Q553" i="7944" s="1"/>
  <c r="I2706" i="7950"/>
  <c r="J2660" i="7950"/>
  <c r="J978" i="7950"/>
  <c r="K932" i="7950"/>
  <c r="J2382" i="7950"/>
  <c r="K2336" i="7950"/>
  <c r="I1032" i="7950"/>
  <c r="J986" i="7950"/>
  <c r="P410" i="7944"/>
  <c r="Q410" i="7944" s="1"/>
  <c r="J2490" i="7950"/>
  <c r="K2444" i="7950"/>
  <c r="J870" i="7950"/>
  <c r="K824" i="7950"/>
  <c r="P469" i="7942"/>
  <c r="I2328" i="7950"/>
  <c r="J2282" i="7950"/>
  <c r="O480" i="7942"/>
  <c r="P479" i="7942"/>
  <c r="J1094" i="7950"/>
  <c r="I1140" i="7950"/>
  <c r="J1302" i="7950"/>
  <c r="K1256" i="7950"/>
  <c r="N683" i="7944"/>
  <c r="O683" i="7944" s="1"/>
  <c r="Q723" i="7944"/>
  <c r="P517" i="7942"/>
  <c r="P262" i="7942"/>
  <c r="K1680" i="7950" l="1"/>
  <c r="P269" i="7942"/>
  <c r="O269" i="7942"/>
  <c r="P218" i="7942"/>
  <c r="P219" i="7942" s="1"/>
  <c r="P267" i="7942"/>
  <c r="O526" i="7942"/>
  <c r="P529" i="7942"/>
  <c r="P526" i="7942"/>
  <c r="Q525" i="7942"/>
  <c r="Q526" i="7942" s="1"/>
  <c r="Q1049" i="7941" s="1"/>
  <c r="J816" i="7950"/>
  <c r="K770" i="7950"/>
  <c r="P520" i="7942"/>
  <c r="Q519" i="7942"/>
  <c r="Q520" i="7942" s="1"/>
  <c r="Q1046" i="7941" s="1"/>
  <c r="Q735" i="7944"/>
  <c r="Q264" i="7942"/>
  <c r="Q265" i="7942" s="1"/>
  <c r="Q502" i="7942"/>
  <c r="Q1037" i="7941" s="1"/>
  <c r="Q244" i="7942"/>
  <c r="Q233" i="7942"/>
  <c r="Q459" i="7941" s="1"/>
  <c r="J1032" i="7950"/>
  <c r="K986" i="7950"/>
  <c r="K978" i="7950"/>
  <c r="L932" i="7950"/>
  <c r="K2004" i="7950"/>
  <c r="L1958" i="7950"/>
  <c r="J1410" i="7950"/>
  <c r="K1364" i="7950"/>
  <c r="K1518" i="7950"/>
  <c r="L1472" i="7950"/>
  <c r="K2274" i="7950"/>
  <c r="L2228" i="7950"/>
  <c r="J1248" i="7950"/>
  <c r="K1202" i="7950"/>
  <c r="P248" i="7942"/>
  <c r="K878" i="7950"/>
  <c r="J924" i="7950"/>
  <c r="J1086" i="7950"/>
  <c r="K1040" i="7950"/>
  <c r="K2436" i="7950"/>
  <c r="L2390" i="7950"/>
  <c r="P508" i="7942"/>
  <c r="Q507" i="7942"/>
  <c r="Q508" i="7942" s="1"/>
  <c r="Q1040" i="7941" s="1"/>
  <c r="P239" i="7942"/>
  <c r="J2166" i="7950"/>
  <c r="K2120" i="7950"/>
  <c r="J1140" i="7950"/>
  <c r="K1094" i="7950"/>
  <c r="K2490" i="7950"/>
  <c r="L2444" i="7950"/>
  <c r="K1302" i="7950"/>
  <c r="L1256" i="7950"/>
  <c r="P480" i="7942"/>
  <c r="Q479" i="7942"/>
  <c r="Q480" i="7942" s="1"/>
  <c r="Q1026" i="7941" s="1"/>
  <c r="Q469" i="7942"/>
  <c r="Q470" i="7942" s="1"/>
  <c r="Q1021" i="7941" s="1"/>
  <c r="P470" i="7942"/>
  <c r="P502" i="7942"/>
  <c r="J1788" i="7950"/>
  <c r="K1742" i="7950"/>
  <c r="J1842" i="7950"/>
  <c r="K1796" i="7950"/>
  <c r="J1464" i="7950"/>
  <c r="K1418" i="7950"/>
  <c r="Q262" i="7942"/>
  <c r="Q263" i="7942" s="1"/>
  <c r="P263" i="7942"/>
  <c r="K2382" i="7950"/>
  <c r="L2336" i="7950"/>
  <c r="J2706" i="7950"/>
  <c r="K2660" i="7950"/>
  <c r="J1950" i="7950"/>
  <c r="K1904" i="7950"/>
  <c r="Q234" i="7942"/>
  <c r="P235" i="7942"/>
  <c r="L2112" i="7950"/>
  <c r="M2066" i="7950"/>
  <c r="K2544" i="7950"/>
  <c r="L2498" i="7950"/>
  <c r="K1734" i="7950"/>
  <c r="L1688" i="7950"/>
  <c r="K1356" i="7950"/>
  <c r="L1310" i="7950"/>
  <c r="J1626" i="7950"/>
  <c r="K1580" i="7950"/>
  <c r="K1194" i="7950"/>
  <c r="L1148" i="7950"/>
  <c r="K2220" i="7950"/>
  <c r="L2174" i="7950"/>
  <c r="J1572" i="7950"/>
  <c r="K1526" i="7950"/>
  <c r="L1680" i="7950"/>
  <c r="M1634" i="7950"/>
  <c r="P579" i="7944"/>
  <c r="Q579" i="7944" s="1"/>
  <c r="P683" i="7944"/>
  <c r="Q683" i="7944" s="1"/>
  <c r="K870" i="7950"/>
  <c r="L824" i="7950"/>
  <c r="P518" i="7942"/>
  <c r="Q517" i="7942"/>
  <c r="Q518" i="7942" s="1"/>
  <c r="Q1045" i="7941" s="1"/>
  <c r="J2328" i="7950"/>
  <c r="K2282" i="7950"/>
  <c r="Q449" i="7944"/>
  <c r="K2058" i="7950"/>
  <c r="L2012" i="7950"/>
  <c r="K1896" i="7950"/>
  <c r="L1850" i="7950"/>
  <c r="Q239" i="7942"/>
  <c r="Q465" i="7941" s="1"/>
  <c r="J2652" i="7950"/>
  <c r="K2606" i="7950"/>
  <c r="J2598" i="7950"/>
  <c r="K2552" i="7950"/>
  <c r="Q218" i="7942" l="1"/>
  <c r="Q219" i="7942" s="1"/>
  <c r="Q450" i="7941" s="1"/>
  <c r="P530" i="7942"/>
  <c r="Q529" i="7942"/>
  <c r="Q530" i="7942" s="1"/>
  <c r="Q1051" i="7941" s="1"/>
  <c r="L770" i="7950"/>
  <c r="K816" i="7950"/>
  <c r="Q470" i="7941"/>
  <c r="Q245" i="7942"/>
  <c r="Q471" i="7941" s="1"/>
  <c r="K2652" i="7950"/>
  <c r="L2606" i="7950"/>
  <c r="K2328" i="7950"/>
  <c r="L2282" i="7950"/>
  <c r="L870" i="7950"/>
  <c r="M824" i="7950"/>
  <c r="M1680" i="7950"/>
  <c r="N1634" i="7950"/>
  <c r="L2220" i="7950"/>
  <c r="M2174" i="7950"/>
  <c r="K1626" i="7950"/>
  <c r="L1580" i="7950"/>
  <c r="L1734" i="7950"/>
  <c r="M1688" i="7950"/>
  <c r="Q460" i="7941"/>
  <c r="Q235" i="7942"/>
  <c r="Q461" i="7941" s="1"/>
  <c r="L1302" i="7950"/>
  <c r="M1256" i="7950"/>
  <c r="K1140" i="7950"/>
  <c r="L1094" i="7950"/>
  <c r="K1248" i="7950"/>
  <c r="L1202" i="7950"/>
  <c r="K1410" i="7950"/>
  <c r="L1364" i="7950"/>
  <c r="L978" i="7950"/>
  <c r="M932" i="7950"/>
  <c r="L2058" i="7950"/>
  <c r="M2012" i="7950"/>
  <c r="M2112" i="7950"/>
  <c r="N2066" i="7950"/>
  <c r="K1950" i="7950"/>
  <c r="L1904" i="7950"/>
  <c r="L2382" i="7950"/>
  <c r="M2336" i="7950"/>
  <c r="K1464" i="7950"/>
  <c r="L1418" i="7950"/>
  <c r="K1788" i="7950"/>
  <c r="L1742" i="7950"/>
  <c r="K1086" i="7950"/>
  <c r="L1040" i="7950"/>
  <c r="L1194" i="7950"/>
  <c r="M1148" i="7950"/>
  <c r="L1356" i="7950"/>
  <c r="M1310" i="7950"/>
  <c r="L2490" i="7950"/>
  <c r="M2444" i="7950"/>
  <c r="K2166" i="7950"/>
  <c r="L2120" i="7950"/>
  <c r="K924" i="7950"/>
  <c r="L878" i="7950"/>
  <c r="L2274" i="7950"/>
  <c r="M2228" i="7950"/>
  <c r="L1518" i="7950"/>
  <c r="M1472" i="7950"/>
  <c r="L2004" i="7950"/>
  <c r="M1958" i="7950"/>
  <c r="K1032" i="7950"/>
  <c r="L986" i="7950"/>
  <c r="K2598" i="7950"/>
  <c r="L2552" i="7950"/>
  <c r="K1572" i="7950"/>
  <c r="L1526" i="7950"/>
  <c r="L1896" i="7950"/>
  <c r="M1850" i="7950"/>
  <c r="L2544" i="7950"/>
  <c r="M2498" i="7950"/>
  <c r="K2706" i="7950"/>
  <c r="L2660" i="7950"/>
  <c r="K1842" i="7950"/>
  <c r="L1796" i="7950"/>
  <c r="L2436" i="7950"/>
  <c r="M2390" i="7950"/>
  <c r="Q248" i="7942"/>
  <c r="P249" i="7942"/>
  <c r="M770" i="7950" l="1"/>
  <c r="L816" i="7950"/>
  <c r="M2436" i="7950"/>
  <c r="N2390" i="7950"/>
  <c r="L2706" i="7950"/>
  <c r="M2660" i="7950"/>
  <c r="M1896" i="7950"/>
  <c r="N1850" i="7950"/>
  <c r="L2598" i="7950"/>
  <c r="M2552" i="7950"/>
  <c r="M2004" i="7950"/>
  <c r="N1958" i="7950"/>
  <c r="M2274" i="7950"/>
  <c r="N2228" i="7950"/>
  <c r="L2166" i="7950"/>
  <c r="M2120" i="7950"/>
  <c r="M1356" i="7950"/>
  <c r="N1310" i="7950"/>
  <c r="L1086" i="7950"/>
  <c r="M1040" i="7950"/>
  <c r="L1464" i="7950"/>
  <c r="M1418" i="7950"/>
  <c r="L1950" i="7950"/>
  <c r="M1904" i="7950"/>
  <c r="M2058" i="7950"/>
  <c r="N2012" i="7950"/>
  <c r="L1410" i="7950"/>
  <c r="M1364" i="7950"/>
  <c r="L1140" i="7950"/>
  <c r="M1094" i="7950"/>
  <c r="L1626" i="7950"/>
  <c r="M1580" i="7950"/>
  <c r="N1680" i="7950"/>
  <c r="O1634" i="7950"/>
  <c r="L2328" i="7950"/>
  <c r="M2282" i="7950"/>
  <c r="Q474" i="7941"/>
  <c r="Q249" i="7942"/>
  <c r="Q475" i="7941" s="1"/>
  <c r="L1842" i="7950"/>
  <c r="M1796" i="7950"/>
  <c r="M2544" i="7950"/>
  <c r="N2498" i="7950"/>
  <c r="L1572" i="7950"/>
  <c r="M1526" i="7950"/>
  <c r="L1032" i="7950"/>
  <c r="M986" i="7950"/>
  <c r="M1518" i="7950"/>
  <c r="N1472" i="7950"/>
  <c r="L924" i="7950"/>
  <c r="M878" i="7950"/>
  <c r="M2490" i="7950"/>
  <c r="N2444" i="7950"/>
  <c r="M1194" i="7950"/>
  <c r="N1148" i="7950"/>
  <c r="L1788" i="7950"/>
  <c r="M1742" i="7950"/>
  <c r="M2382" i="7950"/>
  <c r="N2336" i="7950"/>
  <c r="N2112" i="7950"/>
  <c r="O2066" i="7950"/>
  <c r="M978" i="7950"/>
  <c r="N932" i="7950"/>
  <c r="L1248" i="7950"/>
  <c r="M1202" i="7950"/>
  <c r="M1302" i="7950"/>
  <c r="N1256" i="7950"/>
  <c r="M1734" i="7950"/>
  <c r="N1688" i="7950"/>
  <c r="M2220" i="7950"/>
  <c r="N2174" i="7950"/>
  <c r="M870" i="7950"/>
  <c r="N824" i="7950"/>
  <c r="L2652" i="7950"/>
  <c r="M2606" i="7950"/>
  <c r="M816" i="7950" l="1"/>
  <c r="N770" i="7950"/>
  <c r="M2652" i="7950"/>
  <c r="N2606" i="7950"/>
  <c r="N1302" i="7950"/>
  <c r="O1256" i="7950"/>
  <c r="N2382" i="7950"/>
  <c r="O2336" i="7950"/>
  <c r="M924" i="7950"/>
  <c r="N878" i="7950"/>
  <c r="M1032" i="7950"/>
  <c r="N986" i="7950"/>
  <c r="N2544" i="7950"/>
  <c r="O2498" i="7950"/>
  <c r="O1680" i="7950"/>
  <c r="P1634" i="7950"/>
  <c r="M1140" i="7950"/>
  <c r="N1094" i="7950"/>
  <c r="N2058" i="7950"/>
  <c r="O2012" i="7950"/>
  <c r="M1464" i="7950"/>
  <c r="N1418" i="7950"/>
  <c r="N1356" i="7950"/>
  <c r="O1310" i="7950"/>
  <c r="N2274" i="7950"/>
  <c r="O2228" i="7950"/>
  <c r="M2598" i="7950"/>
  <c r="N2552" i="7950"/>
  <c r="M2706" i="7950"/>
  <c r="N2660" i="7950"/>
  <c r="N2220" i="7950"/>
  <c r="O2174" i="7950"/>
  <c r="N978" i="7950"/>
  <c r="O932" i="7950"/>
  <c r="N1194" i="7950"/>
  <c r="O1148" i="7950"/>
  <c r="N1734" i="7950"/>
  <c r="O1688" i="7950"/>
  <c r="M1248" i="7950"/>
  <c r="N1202" i="7950"/>
  <c r="O2112" i="7950"/>
  <c r="P2066" i="7950"/>
  <c r="M1788" i="7950"/>
  <c r="N1742" i="7950"/>
  <c r="N2490" i="7950"/>
  <c r="O2444" i="7950"/>
  <c r="N1518" i="7950"/>
  <c r="O1472" i="7950"/>
  <c r="M1572" i="7950"/>
  <c r="N1526" i="7950"/>
  <c r="M1842" i="7950"/>
  <c r="N1796" i="7950"/>
  <c r="M2328" i="7950"/>
  <c r="N2282" i="7950"/>
  <c r="M1626" i="7950"/>
  <c r="N1580" i="7950"/>
  <c r="M1410" i="7950"/>
  <c r="N1364" i="7950"/>
  <c r="M1950" i="7950"/>
  <c r="N1904" i="7950"/>
  <c r="M1086" i="7950"/>
  <c r="N1040" i="7950"/>
  <c r="M2166" i="7950"/>
  <c r="N2120" i="7950"/>
  <c r="N2004" i="7950"/>
  <c r="O1958" i="7950"/>
  <c r="N1896" i="7950"/>
  <c r="O1850" i="7950"/>
  <c r="N2436" i="7950"/>
  <c r="O2390" i="7950"/>
  <c r="N870" i="7950"/>
  <c r="O824" i="7950"/>
  <c r="O770" i="7950" l="1"/>
  <c r="N816" i="7950"/>
  <c r="O1896" i="7950"/>
  <c r="P1850" i="7950"/>
  <c r="N1950" i="7950"/>
  <c r="O1904" i="7950"/>
  <c r="N1842" i="7950"/>
  <c r="O1796" i="7950"/>
  <c r="O1518" i="7950"/>
  <c r="P1472" i="7950"/>
  <c r="N1788" i="7950"/>
  <c r="O1742" i="7950"/>
  <c r="N1248" i="7950"/>
  <c r="O1202" i="7950"/>
  <c r="O978" i="7950"/>
  <c r="P932" i="7950"/>
  <c r="N2706" i="7950"/>
  <c r="O2660" i="7950"/>
  <c r="O2274" i="7950"/>
  <c r="P2228" i="7950"/>
  <c r="N1464" i="7950"/>
  <c r="O1418" i="7950"/>
  <c r="N1140" i="7950"/>
  <c r="O1094" i="7950"/>
  <c r="O2544" i="7950"/>
  <c r="P2498" i="7950"/>
  <c r="N924" i="7950"/>
  <c r="O878" i="7950"/>
  <c r="O1302" i="7950"/>
  <c r="P1256" i="7950"/>
  <c r="O870" i="7950"/>
  <c r="P824" i="7950"/>
  <c r="N2166" i="7950"/>
  <c r="O2120" i="7950"/>
  <c r="N1626" i="7950"/>
  <c r="O1580" i="7950"/>
  <c r="O2436" i="7950"/>
  <c r="P2390" i="7950"/>
  <c r="N1086" i="7950"/>
  <c r="O1040" i="7950"/>
  <c r="N2328" i="7950"/>
  <c r="O2282" i="7950"/>
  <c r="N1572" i="7950"/>
  <c r="O1526" i="7950"/>
  <c r="O2490" i="7950"/>
  <c r="P2444" i="7950"/>
  <c r="P2112" i="7950"/>
  <c r="Q2066" i="7950"/>
  <c r="O1734" i="7950"/>
  <c r="P1688" i="7950"/>
  <c r="O1194" i="7950"/>
  <c r="P1148" i="7950"/>
  <c r="O2220" i="7950"/>
  <c r="P2174" i="7950"/>
  <c r="N2598" i="7950"/>
  <c r="O2552" i="7950"/>
  <c r="O1356" i="7950"/>
  <c r="P1310" i="7950"/>
  <c r="O2058" i="7950"/>
  <c r="P2012" i="7950"/>
  <c r="P1680" i="7950"/>
  <c r="Q1634" i="7950"/>
  <c r="N1032" i="7950"/>
  <c r="O986" i="7950"/>
  <c r="O2382" i="7950"/>
  <c r="P2336" i="7950"/>
  <c r="N2652" i="7950"/>
  <c r="O2606" i="7950"/>
  <c r="O2004" i="7950"/>
  <c r="P1958" i="7950"/>
  <c r="N1410" i="7950"/>
  <c r="O1364" i="7950"/>
  <c r="O816" i="7950" l="1"/>
  <c r="P770" i="7950"/>
  <c r="O1032" i="7950"/>
  <c r="P986" i="7950"/>
  <c r="O2598" i="7950"/>
  <c r="P2552" i="7950"/>
  <c r="P1194" i="7950"/>
  <c r="Q1148" i="7950"/>
  <c r="Q2112" i="7950"/>
  <c r="R2066" i="7950"/>
  <c r="O1572" i="7950"/>
  <c r="P1526" i="7950"/>
  <c r="O1086" i="7950"/>
  <c r="P1040" i="7950"/>
  <c r="O1626" i="7950"/>
  <c r="P1580" i="7950"/>
  <c r="P870" i="7950"/>
  <c r="Q824" i="7950"/>
  <c r="O924" i="7950"/>
  <c r="P878" i="7950"/>
  <c r="O1140" i="7950"/>
  <c r="P1094" i="7950"/>
  <c r="P2274" i="7950"/>
  <c r="Q2228" i="7950"/>
  <c r="P978" i="7950"/>
  <c r="Q932" i="7950"/>
  <c r="O1248" i="7950"/>
  <c r="P1202" i="7950"/>
  <c r="P1518" i="7950"/>
  <c r="Q1472" i="7950"/>
  <c r="O1950" i="7950"/>
  <c r="P1904" i="7950"/>
  <c r="P2058" i="7950"/>
  <c r="Q2012" i="7950"/>
  <c r="O1410" i="7950"/>
  <c r="P1364" i="7950"/>
  <c r="P2382" i="7950"/>
  <c r="Q2336" i="7950"/>
  <c r="Q1680" i="7950"/>
  <c r="R1634" i="7950"/>
  <c r="P2220" i="7950"/>
  <c r="Q2174" i="7950"/>
  <c r="P1734" i="7950"/>
  <c r="Q1688" i="7950"/>
  <c r="P2490" i="7950"/>
  <c r="Q2444" i="7950"/>
  <c r="O2328" i="7950"/>
  <c r="P2282" i="7950"/>
  <c r="P2436" i="7950"/>
  <c r="Q2390" i="7950"/>
  <c r="O2166" i="7950"/>
  <c r="P2120" i="7950"/>
  <c r="P1302" i="7950"/>
  <c r="Q1256" i="7950"/>
  <c r="P2544" i="7950"/>
  <c r="Q2498" i="7950"/>
  <c r="O1464" i="7950"/>
  <c r="P1418" i="7950"/>
  <c r="O2706" i="7950"/>
  <c r="P2660" i="7950"/>
  <c r="O1788" i="7950"/>
  <c r="P1742" i="7950"/>
  <c r="O1842" i="7950"/>
  <c r="P1796" i="7950"/>
  <c r="P1896" i="7950"/>
  <c r="Q1850" i="7950"/>
  <c r="O2652" i="7950"/>
  <c r="P2606" i="7950"/>
  <c r="P2004" i="7950"/>
  <c r="Q1958" i="7950"/>
  <c r="P1356" i="7950"/>
  <c r="Q1310" i="7950"/>
  <c r="P816" i="7950" l="1"/>
  <c r="Q770" i="7950"/>
  <c r="Q1356" i="7950"/>
  <c r="R1310" i="7950"/>
  <c r="Q1302" i="7950"/>
  <c r="R1256" i="7950"/>
  <c r="Q2436" i="7950"/>
  <c r="R2390" i="7950"/>
  <c r="Q2490" i="7950"/>
  <c r="R2444" i="7950"/>
  <c r="Q2220" i="7950"/>
  <c r="R2174" i="7950"/>
  <c r="Q2382" i="7950"/>
  <c r="R2336" i="7950"/>
  <c r="Q2058" i="7950"/>
  <c r="R2012" i="7950"/>
  <c r="Q1518" i="7950"/>
  <c r="R1472" i="7950"/>
  <c r="Q978" i="7950"/>
  <c r="R932" i="7950"/>
  <c r="P1140" i="7950"/>
  <c r="Q1094" i="7950"/>
  <c r="Q870" i="7950"/>
  <c r="R824" i="7950"/>
  <c r="P1086" i="7950"/>
  <c r="Q1040" i="7950"/>
  <c r="R2112" i="7950"/>
  <c r="S2066" i="7950"/>
  <c r="P2598" i="7950"/>
  <c r="Q2552" i="7950"/>
  <c r="P2652" i="7950"/>
  <c r="Q2606" i="7950"/>
  <c r="P1464" i="7950"/>
  <c r="Q1418" i="7950"/>
  <c r="Q2004" i="7950"/>
  <c r="R1958" i="7950"/>
  <c r="Q1896" i="7950"/>
  <c r="R1850" i="7950"/>
  <c r="P1788" i="7950"/>
  <c r="Q1742" i="7950"/>
  <c r="Q2544" i="7950"/>
  <c r="R2498" i="7950"/>
  <c r="P2166" i="7950"/>
  <c r="Q2120" i="7950"/>
  <c r="P2328" i="7950"/>
  <c r="Q2282" i="7950"/>
  <c r="Q1734" i="7950"/>
  <c r="R1688" i="7950"/>
  <c r="R1680" i="7950"/>
  <c r="S1634" i="7950"/>
  <c r="P1410" i="7950"/>
  <c r="Q1364" i="7950"/>
  <c r="P1950" i="7950"/>
  <c r="Q1904" i="7950"/>
  <c r="P1248" i="7950"/>
  <c r="Q1202" i="7950"/>
  <c r="Q2274" i="7950"/>
  <c r="R2228" i="7950"/>
  <c r="P924" i="7950"/>
  <c r="Q878" i="7950"/>
  <c r="P1626" i="7950"/>
  <c r="Q1580" i="7950"/>
  <c r="P1572" i="7950"/>
  <c r="Q1526" i="7950"/>
  <c r="Q1194" i="7950"/>
  <c r="R1148" i="7950"/>
  <c r="P1032" i="7950"/>
  <c r="Q986" i="7950"/>
  <c r="P1842" i="7950"/>
  <c r="Q1796" i="7950"/>
  <c r="P2706" i="7950"/>
  <c r="Q2660" i="7950"/>
  <c r="R770" i="7950" l="1"/>
  <c r="Q816" i="7950"/>
  <c r="Q1572" i="7950"/>
  <c r="R1526" i="7950"/>
  <c r="Q924" i="7950"/>
  <c r="R878" i="7950"/>
  <c r="Q1410" i="7950"/>
  <c r="R1364" i="7950"/>
  <c r="R1734" i="7950"/>
  <c r="S1688" i="7950"/>
  <c r="Q2166" i="7950"/>
  <c r="R2120" i="7950"/>
  <c r="Q1788" i="7950"/>
  <c r="R1742" i="7950"/>
  <c r="R2004" i="7950"/>
  <c r="S1958" i="7950"/>
  <c r="Q2652" i="7950"/>
  <c r="R2606" i="7950"/>
  <c r="S2112" i="7950"/>
  <c r="T2066" i="7950"/>
  <c r="R870" i="7950"/>
  <c r="S824" i="7950"/>
  <c r="R978" i="7950"/>
  <c r="S932" i="7950"/>
  <c r="R2058" i="7950"/>
  <c r="S2012" i="7950"/>
  <c r="R2220" i="7950"/>
  <c r="S2174" i="7950"/>
  <c r="R2436" i="7950"/>
  <c r="S2390" i="7950"/>
  <c r="Q2706" i="7950"/>
  <c r="R2660" i="7950"/>
  <c r="Q1248" i="7950"/>
  <c r="R1202" i="7950"/>
  <c r="Q1842" i="7950"/>
  <c r="R1796" i="7950"/>
  <c r="R1194" i="7950"/>
  <c r="S1148" i="7950"/>
  <c r="Q1626" i="7950"/>
  <c r="R1580" i="7950"/>
  <c r="Q1950" i="7950"/>
  <c r="R1904" i="7950"/>
  <c r="S1680" i="7950"/>
  <c r="T1634" i="7950"/>
  <c r="Q2328" i="7950"/>
  <c r="R2282" i="7950"/>
  <c r="R2544" i="7950"/>
  <c r="S2498" i="7950"/>
  <c r="R1896" i="7950"/>
  <c r="S1850" i="7950"/>
  <c r="Q1464" i="7950"/>
  <c r="R1418" i="7950"/>
  <c r="Q2598" i="7950"/>
  <c r="R2552" i="7950"/>
  <c r="Q1086" i="7950"/>
  <c r="R1040" i="7950"/>
  <c r="Q1140" i="7950"/>
  <c r="R1094" i="7950"/>
  <c r="R1518" i="7950"/>
  <c r="S1472" i="7950"/>
  <c r="R2382" i="7950"/>
  <c r="S2336" i="7950"/>
  <c r="R2490" i="7950"/>
  <c r="S2444" i="7950"/>
  <c r="R1302" i="7950"/>
  <c r="S1256" i="7950"/>
  <c r="R1356" i="7950"/>
  <c r="S1310" i="7950"/>
  <c r="Q1032" i="7950"/>
  <c r="R986" i="7950"/>
  <c r="R2274" i="7950"/>
  <c r="S2228" i="7950"/>
  <c r="R816" i="7950" l="1"/>
  <c r="S770" i="7950"/>
  <c r="S1356" i="7950"/>
  <c r="T1310" i="7950"/>
  <c r="S2490" i="7950"/>
  <c r="T2444" i="7950"/>
  <c r="S1518" i="7950"/>
  <c r="T1472" i="7950"/>
  <c r="R1086" i="7950"/>
  <c r="S1040" i="7950"/>
  <c r="R1464" i="7950"/>
  <c r="S1418" i="7950"/>
  <c r="S2544" i="7950"/>
  <c r="T2498" i="7950"/>
  <c r="T1680" i="7950"/>
  <c r="U1634" i="7950"/>
  <c r="R1626" i="7950"/>
  <c r="S1580" i="7950"/>
  <c r="R1842" i="7950"/>
  <c r="S1796" i="7950"/>
  <c r="R2706" i="7950"/>
  <c r="S2660" i="7950"/>
  <c r="S2436" i="7950"/>
  <c r="T2390" i="7950"/>
  <c r="S2058" i="7950"/>
  <c r="T2012" i="7950"/>
  <c r="S870" i="7950"/>
  <c r="T824" i="7950"/>
  <c r="R2652" i="7950"/>
  <c r="S2606" i="7950"/>
  <c r="R1788" i="7950"/>
  <c r="S1742" i="7950"/>
  <c r="S1734" i="7950"/>
  <c r="T1688" i="7950"/>
  <c r="R924" i="7950"/>
  <c r="S878" i="7950"/>
  <c r="S2274" i="7950"/>
  <c r="T2228" i="7950"/>
  <c r="R1032" i="7950"/>
  <c r="S986" i="7950"/>
  <c r="S1302" i="7950"/>
  <c r="T1256" i="7950"/>
  <c r="R1140" i="7950"/>
  <c r="S1094" i="7950"/>
  <c r="R2598" i="7950"/>
  <c r="S2552" i="7950"/>
  <c r="S1896" i="7950"/>
  <c r="T1850" i="7950"/>
  <c r="R2328" i="7950"/>
  <c r="S2282" i="7950"/>
  <c r="R1950" i="7950"/>
  <c r="S1904" i="7950"/>
  <c r="S1194" i="7950"/>
  <c r="T1148" i="7950"/>
  <c r="R1248" i="7950"/>
  <c r="S1202" i="7950"/>
  <c r="S2220" i="7950"/>
  <c r="T2174" i="7950"/>
  <c r="S978" i="7950"/>
  <c r="T932" i="7950"/>
  <c r="T2112" i="7950"/>
  <c r="U2066" i="7950"/>
  <c r="S2004" i="7950"/>
  <c r="T1958" i="7950"/>
  <c r="R2166" i="7950"/>
  <c r="S2120" i="7950"/>
  <c r="R1410" i="7950"/>
  <c r="S1364" i="7950"/>
  <c r="R1572" i="7950"/>
  <c r="S1526" i="7950"/>
  <c r="S2382" i="7950"/>
  <c r="T2336" i="7950"/>
  <c r="T770" i="7950" l="1"/>
  <c r="S816" i="7950"/>
  <c r="T2004" i="7950"/>
  <c r="U1958" i="7950"/>
  <c r="T978" i="7950"/>
  <c r="U932" i="7950"/>
  <c r="T1194" i="7950"/>
  <c r="U1148" i="7950"/>
  <c r="S2328" i="7950"/>
  <c r="T2282" i="7950"/>
  <c r="S2598" i="7950"/>
  <c r="T2552" i="7950"/>
  <c r="T1302" i="7950"/>
  <c r="U1256" i="7950"/>
  <c r="T2274" i="7950"/>
  <c r="U2228" i="7950"/>
  <c r="T1734" i="7950"/>
  <c r="U1688" i="7950"/>
  <c r="S2652" i="7950"/>
  <c r="T2606" i="7950"/>
  <c r="T2058" i="7950"/>
  <c r="U2012" i="7950"/>
  <c r="S2706" i="7950"/>
  <c r="T2660" i="7950"/>
  <c r="S1626" i="7950"/>
  <c r="T1580" i="7950"/>
  <c r="T2544" i="7950"/>
  <c r="U2498" i="7950"/>
  <c r="S1086" i="7950"/>
  <c r="T1040" i="7950"/>
  <c r="T2490" i="7950"/>
  <c r="U2444" i="7950"/>
  <c r="S1410" i="7950"/>
  <c r="T1364" i="7950"/>
  <c r="S1572" i="7950"/>
  <c r="T1526" i="7950"/>
  <c r="S2166" i="7950"/>
  <c r="T2120" i="7950"/>
  <c r="U2112" i="7950"/>
  <c r="V2066" i="7950"/>
  <c r="S1248" i="7950"/>
  <c r="T1202" i="7950"/>
  <c r="S1950" i="7950"/>
  <c r="T1904" i="7950"/>
  <c r="T1896" i="7950"/>
  <c r="U1850" i="7950"/>
  <c r="S1140" i="7950"/>
  <c r="T1094" i="7950"/>
  <c r="S1032" i="7950"/>
  <c r="T986" i="7950"/>
  <c r="S924" i="7950"/>
  <c r="T878" i="7950"/>
  <c r="S1788" i="7950"/>
  <c r="T1742" i="7950"/>
  <c r="T870" i="7950"/>
  <c r="U824" i="7950"/>
  <c r="T2436" i="7950"/>
  <c r="U2390" i="7950"/>
  <c r="S1842" i="7950"/>
  <c r="T1796" i="7950"/>
  <c r="U1680" i="7950"/>
  <c r="V1634" i="7950"/>
  <c r="S1464" i="7950"/>
  <c r="T1418" i="7950"/>
  <c r="T1518" i="7950"/>
  <c r="U1472" i="7950"/>
  <c r="T1356" i="7950"/>
  <c r="U1310" i="7950"/>
  <c r="T2382" i="7950"/>
  <c r="U2336" i="7950"/>
  <c r="T2220" i="7950"/>
  <c r="U2174" i="7950"/>
  <c r="T816" i="7950" l="1"/>
  <c r="U770" i="7950"/>
  <c r="U2382" i="7950"/>
  <c r="V2336" i="7950"/>
  <c r="U2220" i="7950"/>
  <c r="V2174" i="7950"/>
  <c r="T1464" i="7950"/>
  <c r="U1418" i="7950"/>
  <c r="T1842" i="7950"/>
  <c r="U1796" i="7950"/>
  <c r="U870" i="7950"/>
  <c r="V824" i="7950"/>
  <c r="T924" i="7950"/>
  <c r="U878" i="7950"/>
  <c r="T1140" i="7950"/>
  <c r="U1094" i="7950"/>
  <c r="T1950" i="7950"/>
  <c r="U1904" i="7950"/>
  <c r="V2112" i="7950"/>
  <c r="W2066" i="7950"/>
  <c r="W2112" i="7950" s="1"/>
  <c r="T1572" i="7950"/>
  <c r="U1526" i="7950"/>
  <c r="T1410" i="7950"/>
  <c r="U1364" i="7950"/>
  <c r="T1086" i="7950"/>
  <c r="U1040" i="7950"/>
  <c r="T1626" i="7950"/>
  <c r="U1580" i="7950"/>
  <c r="U2058" i="7950"/>
  <c r="V2012" i="7950"/>
  <c r="U1734" i="7950"/>
  <c r="V1688" i="7950"/>
  <c r="U1302" i="7950"/>
  <c r="V1256" i="7950"/>
  <c r="T2328" i="7950"/>
  <c r="U2282" i="7950"/>
  <c r="U978" i="7950"/>
  <c r="V932" i="7950"/>
  <c r="U1356" i="7950"/>
  <c r="V1310" i="7950"/>
  <c r="U1518" i="7950"/>
  <c r="V1472" i="7950"/>
  <c r="V1680" i="7950"/>
  <c r="W1634" i="7950"/>
  <c r="W1680" i="7950" s="1"/>
  <c r="T1788" i="7950"/>
  <c r="U1742" i="7950"/>
  <c r="T1032" i="7950"/>
  <c r="U986" i="7950"/>
  <c r="U1896" i="7950"/>
  <c r="V1850" i="7950"/>
  <c r="T1248" i="7950"/>
  <c r="U1202" i="7950"/>
  <c r="T2166" i="7950"/>
  <c r="U2120" i="7950"/>
  <c r="U2490" i="7950"/>
  <c r="V2444" i="7950"/>
  <c r="U2544" i="7950"/>
  <c r="V2498" i="7950"/>
  <c r="T2706" i="7950"/>
  <c r="U2660" i="7950"/>
  <c r="T2652" i="7950"/>
  <c r="U2606" i="7950"/>
  <c r="U2274" i="7950"/>
  <c r="V2228" i="7950"/>
  <c r="T2598" i="7950"/>
  <c r="U2552" i="7950"/>
  <c r="U1194" i="7950"/>
  <c r="V1148" i="7950"/>
  <c r="U2004" i="7950"/>
  <c r="V1958" i="7950"/>
  <c r="U2436" i="7950"/>
  <c r="V2390" i="7950"/>
  <c r="U816" i="7950" l="1"/>
  <c r="V770" i="7950"/>
  <c r="V2436" i="7950"/>
  <c r="W2390" i="7950"/>
  <c r="W2436" i="7950" s="1"/>
  <c r="V1194" i="7950"/>
  <c r="W1148" i="7950"/>
  <c r="W1194" i="7950" s="1"/>
  <c r="V2274" i="7950"/>
  <c r="W2228" i="7950"/>
  <c r="W2274" i="7950" s="1"/>
  <c r="U2706" i="7950"/>
  <c r="V2660" i="7950"/>
  <c r="V2490" i="7950"/>
  <c r="W2444" i="7950"/>
  <c r="W2490" i="7950" s="1"/>
  <c r="U2166" i="7950"/>
  <c r="V2120" i="7950"/>
  <c r="V1896" i="7950"/>
  <c r="W1850" i="7950"/>
  <c r="W1896" i="7950" s="1"/>
  <c r="U1788" i="7950"/>
  <c r="V1742" i="7950"/>
  <c r="V1518" i="7950"/>
  <c r="W1472" i="7950"/>
  <c r="W1518" i="7950" s="1"/>
  <c r="V978" i="7950"/>
  <c r="W932" i="7950"/>
  <c r="W978" i="7950" s="1"/>
  <c r="V1302" i="7950"/>
  <c r="W1256" i="7950"/>
  <c r="W1302" i="7950" s="1"/>
  <c r="V2058" i="7950"/>
  <c r="W2012" i="7950"/>
  <c r="W2058" i="7950" s="1"/>
  <c r="U1086" i="7950"/>
  <c r="V1040" i="7950"/>
  <c r="U1572" i="7950"/>
  <c r="V1526" i="7950"/>
  <c r="U1950" i="7950"/>
  <c r="V1904" i="7950"/>
  <c r="U924" i="7950"/>
  <c r="V878" i="7950"/>
  <c r="U1842" i="7950"/>
  <c r="V1796" i="7950"/>
  <c r="V2220" i="7950"/>
  <c r="W2174" i="7950"/>
  <c r="W2220" i="7950" s="1"/>
  <c r="V2544" i="7950"/>
  <c r="W2498" i="7950"/>
  <c r="W2544" i="7950" s="1"/>
  <c r="U2652" i="7950"/>
  <c r="V2606" i="7950"/>
  <c r="U1032" i="7950"/>
  <c r="V986" i="7950"/>
  <c r="V1356" i="7950"/>
  <c r="W1310" i="7950"/>
  <c r="W1356" i="7950" s="1"/>
  <c r="U2328" i="7950"/>
  <c r="V2282" i="7950"/>
  <c r="V1734" i="7950"/>
  <c r="W1688" i="7950"/>
  <c r="W1734" i="7950" s="1"/>
  <c r="U1626" i="7950"/>
  <c r="V1580" i="7950"/>
  <c r="U1410" i="7950"/>
  <c r="V1364" i="7950"/>
  <c r="U1140" i="7950"/>
  <c r="V1094" i="7950"/>
  <c r="V870" i="7950"/>
  <c r="W824" i="7950"/>
  <c r="W870" i="7950" s="1"/>
  <c r="U1464" i="7950"/>
  <c r="V1418" i="7950"/>
  <c r="V2382" i="7950"/>
  <c r="W2336" i="7950"/>
  <c r="W2382" i="7950" s="1"/>
  <c r="V2004" i="7950"/>
  <c r="W1958" i="7950"/>
  <c r="W2004" i="7950" s="1"/>
  <c r="U2598" i="7950"/>
  <c r="V2552" i="7950"/>
  <c r="U1248" i="7950"/>
  <c r="V1202" i="7950"/>
  <c r="V816" i="7950" l="1"/>
  <c r="W770" i="7950"/>
  <c r="W816" i="7950" s="1"/>
  <c r="V2598" i="7950"/>
  <c r="W2552" i="7950"/>
  <c r="W2598" i="7950" s="1"/>
  <c r="V1572" i="7950"/>
  <c r="W1526" i="7950"/>
  <c r="W1572" i="7950" s="1"/>
  <c r="V1788" i="7950"/>
  <c r="W1742" i="7950"/>
  <c r="W1788" i="7950" s="1"/>
  <c r="V2166" i="7950"/>
  <c r="W2120" i="7950"/>
  <c r="W2166" i="7950" s="1"/>
  <c r="V2706" i="7950"/>
  <c r="W2660" i="7950"/>
  <c r="W2706" i="7950" s="1"/>
  <c r="V1410" i="7950"/>
  <c r="W1364" i="7950"/>
  <c r="W1410" i="7950" s="1"/>
  <c r="V2652" i="7950"/>
  <c r="W2606" i="7950"/>
  <c r="W2652" i="7950" s="1"/>
  <c r="V924" i="7950"/>
  <c r="W878" i="7950"/>
  <c r="W924" i="7950" s="1"/>
  <c r="V1140" i="7950"/>
  <c r="W1094" i="7950"/>
  <c r="W1140" i="7950" s="1"/>
  <c r="V2328" i="7950"/>
  <c r="W2282" i="7950"/>
  <c r="W2328" i="7950" s="1"/>
  <c r="V1950" i="7950"/>
  <c r="W1904" i="7950"/>
  <c r="W1950" i="7950" s="1"/>
  <c r="V1086" i="7950"/>
  <c r="W1040" i="7950"/>
  <c r="W1086" i="7950" s="1"/>
  <c r="V1248" i="7950"/>
  <c r="W1202" i="7950"/>
  <c r="W1248" i="7950" s="1"/>
  <c r="V1464" i="7950"/>
  <c r="W1418" i="7950"/>
  <c r="W1464" i="7950" s="1"/>
  <c r="V1626" i="7950"/>
  <c r="W1580" i="7950"/>
  <c r="W1626" i="7950" s="1"/>
  <c r="V1032" i="7950"/>
  <c r="W986" i="7950"/>
  <c r="W1032" i="7950" s="1"/>
  <c r="V1842" i="7950"/>
  <c r="W1796" i="7950"/>
  <c r="W1842" i="7950" s="1"/>
  <c r="G835" i="18" l="1"/>
  <c r="G73" i="7941" s="1"/>
  <c r="G27" i="7942"/>
  <c r="G131" i="7942" s="1"/>
  <c r="G1255" i="18"/>
  <c r="G649" i="7941" s="1"/>
  <c r="G288" i="7942"/>
  <c r="G392" i="7942" s="1"/>
  <c r="H457" i="7942" l="1"/>
  <c r="I457" i="7942" s="1"/>
  <c r="J457" i="7942" s="1"/>
  <c r="J458" i="7942" s="1"/>
  <c r="H196" i="7942"/>
  <c r="I196" i="7942" s="1"/>
  <c r="I197" i="7942" s="1"/>
  <c r="J196" i="7942" l="1"/>
  <c r="J197" i="7942" s="1"/>
  <c r="I458" i="7942"/>
  <c r="K457" i="7942"/>
  <c r="L457" i="7942" s="1"/>
  <c r="L458" i="7942" l="1"/>
  <c r="M457" i="7942"/>
  <c r="M458" i="7942" s="1"/>
  <c r="K458" i="7942"/>
  <c r="K196" i="7942"/>
  <c r="N457" i="7942" l="1"/>
  <c r="N458" i="7942" s="1"/>
  <c r="L196" i="7942"/>
  <c r="M196" i="7942" s="1"/>
  <c r="N196" i="7942" s="1"/>
  <c r="K197" i="7942"/>
  <c r="L197" i="7942" l="1"/>
  <c r="M197" i="7942"/>
  <c r="O457" i="7942"/>
  <c r="P457" i="7942" s="1"/>
  <c r="Q457" i="7942" s="1"/>
  <c r="Q458" i="7942" s="1"/>
  <c r="Q1015" i="7941" s="1"/>
  <c r="O196" i="7942"/>
  <c r="P196" i="7942" s="1"/>
  <c r="P197" i="7942" s="1"/>
  <c r="N197" i="7942"/>
  <c r="G782" i="18"/>
  <c r="G886" i="18"/>
  <c r="G124" i="7941" s="1"/>
  <c r="G778" i="18"/>
  <c r="O458" i="7942" l="1"/>
  <c r="O197" i="7942"/>
  <c r="Q196" i="7942"/>
  <c r="Q197" i="7942" s="1"/>
  <c r="Q439" i="7941" s="1"/>
  <c r="G20" i="7941"/>
  <c r="G1148" i="18"/>
  <c r="G1096" i="18" s="1"/>
  <c r="G1144" i="18"/>
  <c r="G16" i="7941"/>
  <c r="P458" i="7942"/>
  <c r="G882" i="18" l="1"/>
  <c r="G120" i="7941" s="1"/>
  <c r="G1092" i="18" l="1"/>
  <c r="G877" i="18" l="1"/>
  <c r="G115" i="7941" s="1"/>
  <c r="G773" i="18"/>
  <c r="G1139" i="18" l="1"/>
  <c r="G1087" i="18" s="1"/>
  <c r="G11" i="7941"/>
  <c r="G879" i="18" l="1"/>
  <c r="G117" i="7941" s="1"/>
  <c r="G887" i="18"/>
  <c r="G125" i="7941" s="1"/>
  <c r="G881" i="18"/>
  <c r="G119" i="7941" s="1"/>
  <c r="G774" i="18"/>
  <c r="G779" i="18"/>
  <c r="G776" i="18"/>
  <c r="G780" i="18"/>
  <c r="G775" i="18"/>
  <c r="G783" i="18"/>
  <c r="G777" i="18"/>
  <c r="G878" i="18"/>
  <c r="G116" i="7941" s="1"/>
  <c r="G883" i="18"/>
  <c r="G121" i="7941" s="1"/>
  <c r="G880" i="18"/>
  <c r="G118" i="7941" s="1"/>
  <c r="G884" i="18"/>
  <c r="G122" i="7941" s="1"/>
  <c r="G1149" i="18" l="1"/>
  <c r="G1097" i="18" s="1"/>
  <c r="G21" i="7941"/>
  <c r="H783" i="18"/>
  <c r="G13" i="7941"/>
  <c r="G1141" i="18"/>
  <c r="G1089" i="18" s="1"/>
  <c r="G1142" i="18"/>
  <c r="G1090" i="18" s="1"/>
  <c r="G14" i="7941"/>
  <c r="G12" i="7941"/>
  <c r="G1140" i="18"/>
  <c r="G1088" i="18" s="1"/>
  <c r="G1146" i="18"/>
  <c r="G1094" i="18" s="1"/>
  <c r="G18" i="7941"/>
  <c r="G17" i="7941"/>
  <c r="G1145" i="18"/>
  <c r="G1093" i="18" s="1"/>
  <c r="G15" i="7941"/>
  <c r="G1143" i="18"/>
  <c r="G1091" i="18" s="1"/>
  <c r="G885" i="18"/>
  <c r="G123" i="7941" s="1"/>
  <c r="G781" i="18"/>
  <c r="H1149" i="18" l="1"/>
  <c r="G335" i="7941"/>
  <c r="H21" i="7941"/>
  <c r="G19" i="7941"/>
  <c r="G1147" i="18"/>
  <c r="G1095" i="18" s="1"/>
  <c r="G1201" i="18" l="1"/>
  <c r="G1305" i="18"/>
  <c r="G699" i="7941" s="1"/>
  <c r="G595" i="7941" l="1"/>
  <c r="G1567" i="18"/>
  <c r="G1515" i="18" s="1"/>
  <c r="G1297" i="18"/>
  <c r="G691" i="7941" s="1"/>
  <c r="G1301" i="18"/>
  <c r="G695" i="7941" s="1"/>
  <c r="G1193" i="18"/>
  <c r="G1197" i="18"/>
  <c r="G1563" i="18" l="1"/>
  <c r="G1511" i="18" s="1"/>
  <c r="G591" i="7941"/>
  <c r="G587" i="7941"/>
  <c r="G1559" i="18"/>
  <c r="G1507" i="18" s="1"/>
  <c r="G1300" i="18"/>
  <c r="G694" i="7941" s="1"/>
  <c r="G1298" i="18"/>
  <c r="G692" i="7941" s="1"/>
  <c r="G1199" i="18"/>
  <c r="G1196" i="18"/>
  <c r="G1194" i="18"/>
  <c r="G1202" i="18"/>
  <c r="G1307" i="18"/>
  <c r="G701" i="7941" s="1"/>
  <c r="G1304" i="18"/>
  <c r="G698" i="7941" s="1"/>
  <c r="G1299" i="18"/>
  <c r="G693" i="7941" s="1"/>
  <c r="G1302" i="18"/>
  <c r="G696" i="7941" s="1"/>
  <c r="G1303" i="18"/>
  <c r="G697" i="7941" s="1"/>
  <c r="G1306" i="18"/>
  <c r="G700" i="7941" s="1"/>
  <c r="G1203" i="18"/>
  <c r="G1200" i="18"/>
  <c r="G1195" i="18"/>
  <c r="G1198" i="18"/>
  <c r="G592" i="7941" l="1"/>
  <c r="G1564" i="18"/>
  <c r="G1512" i="18" s="1"/>
  <c r="H1203" i="18"/>
  <c r="G1569" i="18"/>
  <c r="G1517" i="18" s="1"/>
  <c r="G597" i="7941"/>
  <c r="G1565" i="18"/>
  <c r="G1513" i="18" s="1"/>
  <c r="G593" i="7941"/>
  <c r="G588" i="7941"/>
  <c r="G1560" i="18"/>
  <c r="G1508" i="18" s="1"/>
  <c r="G1568" i="18"/>
  <c r="G1516" i="18" s="1"/>
  <c r="G596" i="7941"/>
  <c r="G589" i="7941"/>
  <c r="G1561" i="18"/>
  <c r="G1509" i="18" s="1"/>
  <c r="G1566" i="18"/>
  <c r="G1514" i="18" s="1"/>
  <c r="G594" i="7941"/>
  <c r="G590" i="7941"/>
  <c r="G1562" i="18"/>
  <c r="G1510" i="18" s="1"/>
  <c r="H1569" i="18" l="1"/>
  <c r="C716" i="7949"/>
  <c r="C721" i="7949" s="1"/>
  <c r="G911" i="7941"/>
  <c r="H597" i="7941"/>
  <c r="H21" i="7944" l="1"/>
  <c r="C711" i="7950" l="1"/>
  <c r="C716" i="7950" s="1"/>
  <c r="C712" i="7950" l="1"/>
  <c r="I281" i="7944"/>
  <c r="I293" i="7944" s="1"/>
  <c r="H281" i="7944"/>
  <c r="H293" i="7944" s="1"/>
  <c r="J281" i="7944"/>
  <c r="J293" i="7944" l="1"/>
  <c r="I21" i="7944"/>
  <c r="K281" i="7944"/>
  <c r="L281" i="7944" s="1"/>
  <c r="M281" i="7944" s="1"/>
  <c r="N281" i="7944" s="1"/>
  <c r="O281" i="7944" s="1"/>
  <c r="P281" i="7944" s="1"/>
  <c r="Q281" i="7944" s="1"/>
  <c r="C740" i="7950"/>
  <c r="C762" i="7950" s="1"/>
  <c r="J21" i="7944" l="1"/>
  <c r="K293" i="7944"/>
  <c r="L293" i="7944" s="1"/>
  <c r="M293" i="7944" s="1"/>
  <c r="N293" i="7944" s="1"/>
  <c r="O293" i="7944" s="1"/>
  <c r="P293" i="7944" s="1"/>
  <c r="Q293" i="7944" s="1"/>
  <c r="D716" i="7950"/>
  <c r="D740" i="7950"/>
  <c r="D762" i="7950" l="1"/>
  <c r="E716" i="7950"/>
  <c r="E740" i="7950"/>
  <c r="F716" i="7950" l="1"/>
  <c r="F740" i="7950"/>
  <c r="E762" i="7950"/>
  <c r="F762" i="7950" l="1"/>
  <c r="G740" i="7950"/>
  <c r="G716" i="7950"/>
  <c r="G762" i="7950" s="1"/>
  <c r="H716" i="7950" l="1"/>
  <c r="H762" i="7950" s="1"/>
  <c r="H740" i="7950"/>
  <c r="I716" i="7950" l="1"/>
  <c r="I762" i="7950" s="1"/>
  <c r="I740" i="7950"/>
  <c r="J716" i="7950" l="1"/>
  <c r="J762" i="7950" s="1"/>
  <c r="J740" i="7950"/>
  <c r="K716" i="7950" l="1"/>
  <c r="K762" i="7950" s="1"/>
  <c r="K740" i="7950"/>
  <c r="L740" i="7950" l="1"/>
  <c r="L716" i="7950"/>
  <c r="L762" i="7950" s="1"/>
  <c r="M716" i="7950" l="1"/>
  <c r="M762" i="7950" s="1"/>
  <c r="M740" i="7950"/>
  <c r="N740" i="7950" l="1"/>
  <c r="N716" i="7950"/>
  <c r="N762" i="7950" s="1"/>
  <c r="O740" i="7950" l="1"/>
  <c r="O716" i="7950"/>
  <c r="O762" i="7950" s="1"/>
  <c r="P740" i="7950" l="1"/>
  <c r="P716" i="7950"/>
  <c r="P762" i="7950" s="1"/>
  <c r="Q716" i="7950" l="1"/>
  <c r="Q762" i="7950" s="1"/>
  <c r="Q740" i="7950"/>
  <c r="R716" i="7950" l="1"/>
  <c r="R762" i="7950" s="1"/>
  <c r="R740" i="7950"/>
  <c r="S740" i="7950" l="1"/>
  <c r="S716" i="7950"/>
  <c r="S762" i="7950" s="1"/>
  <c r="T740" i="7950" l="1"/>
  <c r="T716" i="7950"/>
  <c r="T762" i="7950" s="1"/>
  <c r="U740" i="7950" l="1"/>
  <c r="U716" i="7950"/>
  <c r="U762" i="7950" s="1"/>
  <c r="V740" i="7950" l="1"/>
  <c r="V716" i="7950"/>
  <c r="V762" i="7950" s="1"/>
  <c r="W740" i="7950" l="1"/>
  <c r="W716" i="7950"/>
  <c r="W762" i="7950" s="1"/>
  <c r="G1295" i="18" l="1"/>
  <c r="G689" i="7941" s="1"/>
  <c r="G1191" i="18"/>
  <c r="G1557" i="18" l="1"/>
  <c r="G1505" i="18" s="1"/>
  <c r="G585" i="7941"/>
  <c r="G1296" i="18" l="1"/>
  <c r="G690" i="7941" s="1"/>
  <c r="G1192" i="18"/>
  <c r="G875" i="18"/>
  <c r="G113" i="7941" s="1"/>
  <c r="G771" i="18"/>
  <c r="G586" i="7941" l="1"/>
  <c r="G1558" i="18"/>
  <c r="G1506" i="18" s="1"/>
  <c r="G9" i="7941"/>
  <c r="G1137" i="18"/>
  <c r="G1085" i="18" s="1"/>
  <c r="G876" i="18"/>
  <c r="G114" i="7941" s="1"/>
  <c r="G772" i="18"/>
  <c r="I57" i="1" l="1"/>
  <c r="G770" i="18"/>
  <c r="G10" i="7941"/>
  <c r="G1138" i="18"/>
  <c r="G1086" i="18" s="1"/>
  <c r="J57" i="1"/>
  <c r="G1190" i="18"/>
  <c r="P57" i="1" l="1"/>
  <c r="G1294" i="18"/>
  <c r="G769" i="18"/>
  <c r="G8" i="7941"/>
  <c r="G1136" i="18"/>
  <c r="O57" i="1"/>
  <c r="G874" i="18"/>
  <c r="G584" i="7941"/>
  <c r="G1556" i="18"/>
  <c r="G1189" i="18"/>
  <c r="G1504" i="18" l="1"/>
  <c r="G1503" i="18" s="1"/>
  <c r="G1555" i="18"/>
  <c r="G583" i="7941"/>
  <c r="G1084" i="18"/>
  <c r="G1083" i="18" s="1"/>
  <c r="G1135" i="18"/>
  <c r="G112" i="7941"/>
  <c r="G111" i="7941" s="1"/>
  <c r="G873" i="18"/>
  <c r="G7" i="7941"/>
  <c r="G1293" i="18"/>
  <c r="G688" i="7941"/>
  <c r="G687" i="7941" s="1"/>
  <c r="G826" i="18" l="1"/>
  <c r="G18" i="7942"/>
  <c r="G122" i="7942" s="1"/>
  <c r="G19" i="7942" l="1"/>
  <c r="G123" i="7942" s="1"/>
  <c r="G827" i="18"/>
  <c r="G1246" i="18"/>
  <c r="G279" i="7942"/>
  <c r="G383" i="7942" s="1"/>
  <c r="H439" i="7942"/>
  <c r="I439" i="7942" s="1"/>
  <c r="I440" i="7942" s="1"/>
  <c r="H178" i="7942"/>
  <c r="I178" i="7942" s="1"/>
  <c r="I179" i="7942" s="1"/>
  <c r="G834" i="18"/>
  <c r="G26" i="7942"/>
  <c r="G130" i="7942" s="1"/>
  <c r="H12" i="7944"/>
  <c r="G64" i="7941"/>
  <c r="H774" i="18"/>
  <c r="H13" i="7944"/>
  <c r="H20" i="7944" l="1"/>
  <c r="C657" i="7950"/>
  <c r="C662" i="7950" s="1"/>
  <c r="G326" i="7941"/>
  <c r="H12" i="7941"/>
  <c r="G280" i="7942"/>
  <c r="G384" i="7942" s="1"/>
  <c r="G1247" i="18"/>
  <c r="C225" i="7950"/>
  <c r="C230" i="7950" s="1"/>
  <c r="G640" i="7941"/>
  <c r="H1194" i="18"/>
  <c r="G287" i="7942"/>
  <c r="G391" i="7942" s="1"/>
  <c r="G1254" i="18"/>
  <c r="H455" i="7942"/>
  <c r="H194" i="7942"/>
  <c r="I194" i="7942" s="1"/>
  <c r="J194" i="7942" s="1"/>
  <c r="K194" i="7942" s="1"/>
  <c r="J178" i="7942"/>
  <c r="K178" i="7942" s="1"/>
  <c r="L178" i="7942" s="1"/>
  <c r="L179" i="7942" s="1"/>
  <c r="G65" i="7941"/>
  <c r="H775" i="18"/>
  <c r="C279" i="7950"/>
  <c r="C284" i="7950" s="1"/>
  <c r="H1140" i="18"/>
  <c r="G72" i="7941"/>
  <c r="H782" i="18"/>
  <c r="J439" i="7942"/>
  <c r="J440" i="7942" s="1"/>
  <c r="H441" i="7942"/>
  <c r="H180" i="7942"/>
  <c r="I180" i="7942" s="1"/>
  <c r="I181" i="7942" s="1"/>
  <c r="H1148" i="18" l="1"/>
  <c r="I195" i="7942"/>
  <c r="L194" i="7942"/>
  <c r="L195" i="7942" s="1"/>
  <c r="K195" i="7942"/>
  <c r="J195" i="7942"/>
  <c r="H164" i="7944"/>
  <c r="H176" i="7944" s="1"/>
  <c r="C226" i="7950"/>
  <c r="H20" i="7941"/>
  <c r="G334" i="7941"/>
  <c r="H168" i="18"/>
  <c r="H180" i="18" s="1"/>
  <c r="C230" i="7949"/>
  <c r="C235" i="7949" s="1"/>
  <c r="H1560" i="18"/>
  <c r="G641" i="7941"/>
  <c r="H1195" i="18"/>
  <c r="I441" i="7942"/>
  <c r="J441" i="7942" s="1"/>
  <c r="K441" i="7942" s="1"/>
  <c r="K442" i="7942" s="1"/>
  <c r="H1141" i="18"/>
  <c r="K179" i="7942"/>
  <c r="I455" i="7942"/>
  <c r="I456" i="7942" s="1"/>
  <c r="H588" i="7941"/>
  <c r="G902" i="7941"/>
  <c r="J180" i="7942"/>
  <c r="K180" i="7942" s="1"/>
  <c r="K439" i="7942"/>
  <c r="H13" i="7941"/>
  <c r="G327" i="7941"/>
  <c r="M178" i="7942"/>
  <c r="M179" i="7942" s="1"/>
  <c r="J179" i="7942"/>
  <c r="G648" i="7941"/>
  <c r="H1202" i="18"/>
  <c r="I168" i="18" l="1"/>
  <c r="I180" i="18" s="1"/>
  <c r="I164" i="7944"/>
  <c r="I176" i="7944" s="1"/>
  <c r="H177" i="7944"/>
  <c r="H189" i="7944" s="1"/>
  <c r="C280" i="7950"/>
  <c r="I177" i="7944"/>
  <c r="I189" i="7944" s="1"/>
  <c r="J177" i="7944"/>
  <c r="H1568" i="18"/>
  <c r="C662" i="7949"/>
  <c r="C667" i="7949" s="1"/>
  <c r="H272" i="18"/>
  <c r="H284" i="18" s="1"/>
  <c r="L180" i="7942"/>
  <c r="I1088" i="18"/>
  <c r="I1508" i="18"/>
  <c r="H1088" i="18"/>
  <c r="H878" i="18" s="1"/>
  <c r="H1508" i="18"/>
  <c r="H1298" i="18" s="1"/>
  <c r="C658" i="7950"/>
  <c r="H268" i="7944"/>
  <c r="H280" i="7944" s="1"/>
  <c r="H596" i="7941"/>
  <c r="G910" i="7941"/>
  <c r="L439" i="7942"/>
  <c r="K440" i="7942"/>
  <c r="K181" i="7942"/>
  <c r="J455" i="7942"/>
  <c r="J456" i="7942" s="1"/>
  <c r="H1561" i="18"/>
  <c r="C284" i="7949"/>
  <c r="C289" i="7949" s="1"/>
  <c r="C254" i="7950"/>
  <c r="C276" i="7950"/>
  <c r="M194" i="7942"/>
  <c r="J442" i="7942"/>
  <c r="N178" i="7942"/>
  <c r="O178" i="7942" s="1"/>
  <c r="O179" i="7942" s="1"/>
  <c r="J181" i="7942"/>
  <c r="G903" i="7941"/>
  <c r="H589" i="7941"/>
  <c r="C281" i="7949"/>
  <c r="D235" i="7949"/>
  <c r="D281" i="7949" s="1"/>
  <c r="I12" i="7944"/>
  <c r="L441" i="7942"/>
  <c r="L442" i="7942" s="1"/>
  <c r="I442" i="7942"/>
  <c r="J168" i="18" l="1"/>
  <c r="J164" i="7944"/>
  <c r="K164" i="7944" s="1"/>
  <c r="L164" i="7944" s="1"/>
  <c r="M164" i="7944" s="1"/>
  <c r="N164" i="7944" s="1"/>
  <c r="O164" i="7944" s="1"/>
  <c r="P164" i="7944" s="1"/>
  <c r="Q164" i="7944" s="1"/>
  <c r="K177" i="7944"/>
  <c r="L177" i="7944" s="1"/>
  <c r="M177" i="7944" s="1"/>
  <c r="N177" i="7944" s="1"/>
  <c r="O177" i="7944" s="1"/>
  <c r="P177" i="7944" s="1"/>
  <c r="Q177" i="7944" s="1"/>
  <c r="M441" i="7942"/>
  <c r="M442" i="7942" s="1"/>
  <c r="P178" i="7942"/>
  <c r="Q178" i="7942" s="1"/>
  <c r="Q179" i="7942" s="1"/>
  <c r="Q430" i="7941" s="1"/>
  <c r="M180" i="7942"/>
  <c r="N180" i="7942" s="1"/>
  <c r="O180" i="7942" s="1"/>
  <c r="M439" i="7942"/>
  <c r="N439" i="7942" s="1"/>
  <c r="N440" i="7942" s="1"/>
  <c r="E235" i="7949"/>
  <c r="E281" i="7949" s="1"/>
  <c r="N179" i="7942"/>
  <c r="L181" i="7942"/>
  <c r="H1516" i="18"/>
  <c r="H1306" i="18" s="1"/>
  <c r="H1096" i="18"/>
  <c r="H886" i="18" s="1"/>
  <c r="J12" i="7944"/>
  <c r="D254" i="7950"/>
  <c r="D230" i="7950"/>
  <c r="D276" i="7950" s="1"/>
  <c r="K455" i="7942"/>
  <c r="K456" i="7942" s="1"/>
  <c r="I268" i="7944"/>
  <c r="I280" i="7944" s="1"/>
  <c r="H692" i="7941"/>
  <c r="I1194" i="18"/>
  <c r="D667" i="7949"/>
  <c r="D713" i="7949" s="1"/>
  <c r="C713" i="7949"/>
  <c r="I20" i="7944"/>
  <c r="H116" i="7941"/>
  <c r="I774" i="18"/>
  <c r="C308" i="7950"/>
  <c r="M195" i="7942"/>
  <c r="N194" i="7942"/>
  <c r="L440" i="7942"/>
  <c r="C708" i="7950"/>
  <c r="C686" i="7950"/>
  <c r="I272" i="18"/>
  <c r="J189" i="7944"/>
  <c r="I13" i="7944"/>
  <c r="K189" i="7944" l="1"/>
  <c r="L189" i="7944" s="1"/>
  <c r="M189" i="7944" s="1"/>
  <c r="N189" i="7944" s="1"/>
  <c r="M440" i="7942"/>
  <c r="N441" i="7942"/>
  <c r="K168" i="18"/>
  <c r="L168" i="18" s="1"/>
  <c r="M168" i="18" s="1"/>
  <c r="N168" i="18" s="1"/>
  <c r="O168" i="18" s="1"/>
  <c r="P168" i="18" s="1"/>
  <c r="Q168" i="18" s="1"/>
  <c r="J180" i="18"/>
  <c r="J176" i="7944"/>
  <c r="K176" i="7944" s="1"/>
  <c r="L176" i="7944" s="1"/>
  <c r="M176" i="7944" s="1"/>
  <c r="N176" i="7944" s="1"/>
  <c r="O176" i="7944" s="1"/>
  <c r="P176" i="7944" s="1"/>
  <c r="Q176" i="7944" s="1"/>
  <c r="M181" i="7942"/>
  <c r="P179" i="7942"/>
  <c r="P180" i="7942"/>
  <c r="Q180" i="7942" s="1"/>
  <c r="Q181" i="7942" s="1"/>
  <c r="Q431" i="7941" s="1"/>
  <c r="O439" i="7942"/>
  <c r="P439" i="7942" s="1"/>
  <c r="Q439" i="7942" s="1"/>
  <c r="Q440" i="7942" s="1"/>
  <c r="Q1006" i="7941" s="1"/>
  <c r="O181" i="7942"/>
  <c r="N181" i="7942"/>
  <c r="F235" i="7949"/>
  <c r="F281" i="7949" s="1"/>
  <c r="J13" i="7944"/>
  <c r="I284" i="18"/>
  <c r="J272" i="18"/>
  <c r="K272" i="18" s="1"/>
  <c r="H326" i="7941"/>
  <c r="I12" i="7941"/>
  <c r="I1560" i="18"/>
  <c r="H124" i="7941"/>
  <c r="I782" i="18"/>
  <c r="J268" i="7944"/>
  <c r="O441" i="7942"/>
  <c r="P441" i="7942" s="1"/>
  <c r="P442" i="7942" s="1"/>
  <c r="O189" i="7944"/>
  <c r="P189" i="7944" s="1"/>
  <c r="Q189" i="7944" s="1"/>
  <c r="J20" i="7944"/>
  <c r="I588" i="7941"/>
  <c r="H902" i="7941"/>
  <c r="E230" i="7950"/>
  <c r="E254" i="7950"/>
  <c r="H700" i="7941"/>
  <c r="I1202" i="18"/>
  <c r="N195" i="7942"/>
  <c r="O194" i="7942"/>
  <c r="O195" i="7942" s="1"/>
  <c r="C330" i="7950"/>
  <c r="D308" i="7950"/>
  <c r="D284" i="7950"/>
  <c r="N442" i="7942"/>
  <c r="G24" i="7942"/>
  <c r="G128" i="7942" s="1"/>
  <c r="G832" i="18"/>
  <c r="G25" i="7942"/>
  <c r="G129" i="7942" s="1"/>
  <c r="G833" i="18"/>
  <c r="D686" i="7950"/>
  <c r="D662" i="7950"/>
  <c r="D708" i="7950" s="1"/>
  <c r="I1140" i="18"/>
  <c r="E667" i="7949"/>
  <c r="L455" i="7942"/>
  <c r="L456" i="7942" s="1"/>
  <c r="H18" i="7944"/>
  <c r="L272" i="18" l="1"/>
  <c r="K180" i="18"/>
  <c r="L180" i="18" s="1"/>
  <c r="J1508" i="18"/>
  <c r="J1088" i="18"/>
  <c r="P440" i="7942"/>
  <c r="G235" i="7949"/>
  <c r="G281" i="7949" s="1"/>
  <c r="D330" i="7950"/>
  <c r="O442" i="7942"/>
  <c r="H19" i="7944"/>
  <c r="C603" i="7950" s="1"/>
  <c r="C608" i="7950" s="1"/>
  <c r="O440" i="7942"/>
  <c r="P194" i="7942"/>
  <c r="P195" i="7942" s="1"/>
  <c r="P181" i="7942"/>
  <c r="E276" i="7950"/>
  <c r="I878" i="18"/>
  <c r="G71" i="7941"/>
  <c r="H781" i="18"/>
  <c r="I1568" i="18"/>
  <c r="K268" i="7944"/>
  <c r="L268" i="7944" s="1"/>
  <c r="M268" i="7944" s="1"/>
  <c r="N268" i="7944" s="1"/>
  <c r="O268" i="7944" s="1"/>
  <c r="P268" i="7944" s="1"/>
  <c r="Q268" i="7944" s="1"/>
  <c r="J280" i="7944"/>
  <c r="I1298" i="18"/>
  <c r="C549" i="7950"/>
  <c r="C554" i="7950" s="1"/>
  <c r="H192" i="7942"/>
  <c r="H453" i="7942"/>
  <c r="I453" i="7942" s="1"/>
  <c r="J453" i="7942" s="1"/>
  <c r="H910" i="7941"/>
  <c r="I596" i="7941"/>
  <c r="I1148" i="18"/>
  <c r="M455" i="7942"/>
  <c r="E713" i="7949"/>
  <c r="F667" i="7949"/>
  <c r="E686" i="7950"/>
  <c r="E662" i="7950"/>
  <c r="E708" i="7950" s="1"/>
  <c r="G70" i="7941"/>
  <c r="H780" i="18"/>
  <c r="E284" i="7950"/>
  <c r="E308" i="7950"/>
  <c r="H334" i="7941"/>
  <c r="I20" i="7941"/>
  <c r="M272" i="18"/>
  <c r="N272" i="18" s="1"/>
  <c r="O272" i="18" s="1"/>
  <c r="P272" i="18" s="1"/>
  <c r="Q272" i="18" s="1"/>
  <c r="G285" i="7942"/>
  <c r="G389" i="7942" s="1"/>
  <c r="G1252" i="18"/>
  <c r="G286" i="7942"/>
  <c r="G390" i="7942" s="1"/>
  <c r="G1253" i="18"/>
  <c r="M456" i="7942"/>
  <c r="H451" i="7942"/>
  <c r="I451" i="7942" s="1"/>
  <c r="I452" i="7942" s="1"/>
  <c r="H190" i="7942"/>
  <c r="I190" i="7942" s="1"/>
  <c r="I191" i="7942" s="1"/>
  <c r="F230" i="7950"/>
  <c r="F254" i="7950"/>
  <c r="I1516" i="18"/>
  <c r="I1096" i="18"/>
  <c r="J284" i="18"/>
  <c r="Q441" i="7942"/>
  <c r="Q442" i="7942" s="1"/>
  <c r="Q1007" i="7941" s="1"/>
  <c r="I1306" i="18" l="1"/>
  <c r="I700" i="7941" s="1"/>
  <c r="L1088" i="18"/>
  <c r="L1508" i="18"/>
  <c r="K1088" i="18"/>
  <c r="K1508" i="18"/>
  <c r="M180" i="18"/>
  <c r="N180" i="18" s="1"/>
  <c r="I886" i="18"/>
  <c r="H235" i="7949"/>
  <c r="H281" i="7949" s="1"/>
  <c r="F276" i="7950"/>
  <c r="Q194" i="7942"/>
  <c r="Q195" i="7942" s="1"/>
  <c r="Q438" i="7941" s="1"/>
  <c r="E330" i="7950"/>
  <c r="F662" i="7950"/>
  <c r="F708" i="7950" s="1"/>
  <c r="F686" i="7950"/>
  <c r="J782" i="18"/>
  <c r="J1202" i="18"/>
  <c r="I116" i="7941"/>
  <c r="J774" i="18"/>
  <c r="K284" i="18"/>
  <c r="L284" i="18" s="1"/>
  <c r="G647" i="7941"/>
  <c r="H1201" i="18"/>
  <c r="H1146" i="18"/>
  <c r="F713" i="7949"/>
  <c r="G667" i="7949"/>
  <c r="I192" i="7942"/>
  <c r="I193" i="7942" s="1"/>
  <c r="N455" i="7942"/>
  <c r="N456" i="7942" s="1"/>
  <c r="G254" i="7950"/>
  <c r="G230" i="7950"/>
  <c r="J190" i="7942"/>
  <c r="K190" i="7942" s="1"/>
  <c r="L190" i="7942" s="1"/>
  <c r="H18" i="7941"/>
  <c r="G332" i="7941"/>
  <c r="I692" i="7941"/>
  <c r="J1194" i="18"/>
  <c r="K280" i="7944"/>
  <c r="L280" i="7944" s="1"/>
  <c r="M280" i="7944" s="1"/>
  <c r="H1147" i="18"/>
  <c r="J1516" i="18"/>
  <c r="J1096" i="18"/>
  <c r="J451" i="7942"/>
  <c r="J452" i="7942" s="1"/>
  <c r="G646" i="7941"/>
  <c r="H1200" i="18"/>
  <c r="F284" i="7950"/>
  <c r="F330" i="7950" s="1"/>
  <c r="F308" i="7950"/>
  <c r="I910" i="7941"/>
  <c r="J596" i="7941"/>
  <c r="K453" i="7942"/>
  <c r="K454" i="7942" s="1"/>
  <c r="I454" i="7942"/>
  <c r="J454" i="7942"/>
  <c r="G333" i="7941"/>
  <c r="H19" i="7941"/>
  <c r="I124" i="7941" l="1"/>
  <c r="O180" i="18"/>
  <c r="P180" i="18" s="1"/>
  <c r="N1508" i="18"/>
  <c r="N1088" i="18"/>
  <c r="M1088" i="18"/>
  <c r="M1508" i="18"/>
  <c r="O455" i="7942"/>
  <c r="O456" i="7942" s="1"/>
  <c r="I235" i="7949"/>
  <c r="I281" i="7949" s="1"/>
  <c r="J191" i="7942"/>
  <c r="J192" i="7942"/>
  <c r="K192" i="7942" s="1"/>
  <c r="K193" i="7942" s="1"/>
  <c r="K451" i="7942"/>
  <c r="M190" i="7942"/>
  <c r="N190" i="7942" s="1"/>
  <c r="I255" i="7944"/>
  <c r="I267" i="7944" s="1"/>
  <c r="H255" i="7944"/>
  <c r="H267" i="7944" s="1"/>
  <c r="J255" i="7944"/>
  <c r="C604" i="7950"/>
  <c r="G284" i="7950"/>
  <c r="G330" i="7950" s="1"/>
  <c r="G308" i="7950"/>
  <c r="J1560" i="18"/>
  <c r="H230" i="7950"/>
  <c r="H254" i="7950"/>
  <c r="G713" i="7949"/>
  <c r="H667" i="7949"/>
  <c r="C608" i="7949"/>
  <c r="C613" i="7949" s="1"/>
  <c r="H1567" i="18"/>
  <c r="K1516" i="18"/>
  <c r="K1096" i="18"/>
  <c r="L453" i="7942"/>
  <c r="J588" i="7941"/>
  <c r="I902" i="7941"/>
  <c r="H595" i="7941"/>
  <c r="G909" i="7941"/>
  <c r="L1096" i="18"/>
  <c r="L1516" i="18"/>
  <c r="J1568" i="18"/>
  <c r="J1306" i="18" s="1"/>
  <c r="M284" i="18"/>
  <c r="N284" i="18" s="1"/>
  <c r="H242" i="7944"/>
  <c r="H254" i="7944" s="1"/>
  <c r="C550" i="7950"/>
  <c r="P455" i="7942"/>
  <c r="C554" i="7949"/>
  <c r="C559" i="7949" s="1"/>
  <c r="H1566" i="18"/>
  <c r="K452" i="7942"/>
  <c r="N280" i="7944"/>
  <c r="O280" i="7944" s="1"/>
  <c r="P280" i="7944" s="1"/>
  <c r="Q280" i="7944" s="1"/>
  <c r="M191" i="7942"/>
  <c r="J1140" i="18"/>
  <c r="J1148" i="18"/>
  <c r="J886" i="18" s="1"/>
  <c r="G908" i="7941"/>
  <c r="H594" i="7941"/>
  <c r="L191" i="7942"/>
  <c r="K191" i="7942"/>
  <c r="G276" i="7950"/>
  <c r="I326" i="7941"/>
  <c r="J12" i="7941"/>
  <c r="G662" i="7950"/>
  <c r="G708" i="7950" s="1"/>
  <c r="G686" i="7950"/>
  <c r="O1508" i="18" l="1"/>
  <c r="Q180" i="18"/>
  <c r="P1508" i="18"/>
  <c r="P1088" i="18"/>
  <c r="O1088" i="18"/>
  <c r="I334" i="7941"/>
  <c r="J20" i="7941"/>
  <c r="J235" i="7949"/>
  <c r="J281" i="7949" s="1"/>
  <c r="J124" i="7941"/>
  <c r="K782" i="18"/>
  <c r="K1148" i="18" s="1"/>
  <c r="K886" i="18" s="1"/>
  <c r="L192" i="7942"/>
  <c r="L193" i="7942" s="1"/>
  <c r="J193" i="7942"/>
  <c r="L451" i="7942"/>
  <c r="M451" i="7942" s="1"/>
  <c r="M452" i="7942" s="1"/>
  <c r="K255" i="7944"/>
  <c r="L255" i="7944" s="1"/>
  <c r="M255" i="7944" s="1"/>
  <c r="N255" i="7944" s="1"/>
  <c r="O255" i="7944" s="1"/>
  <c r="P255" i="7944" s="1"/>
  <c r="Q255" i="7944" s="1"/>
  <c r="O190" i="7942"/>
  <c r="O191" i="7942" s="1"/>
  <c r="N191" i="7942"/>
  <c r="J700" i="7941"/>
  <c r="K1202" i="18"/>
  <c r="K1568" i="18" s="1"/>
  <c r="C600" i="7950"/>
  <c r="C578" i="7950"/>
  <c r="I254" i="7950"/>
  <c r="I230" i="7950"/>
  <c r="K20" i="7941"/>
  <c r="Q455" i="7942"/>
  <c r="Q456" i="7942" s="1"/>
  <c r="Q1014" i="7941" s="1"/>
  <c r="P456" i="7942"/>
  <c r="I18" i="7944"/>
  <c r="H276" i="7950"/>
  <c r="H308" i="7950"/>
  <c r="H284" i="7950"/>
  <c r="H330" i="7950" s="1"/>
  <c r="C632" i="7950"/>
  <c r="C654" i="7950" s="1"/>
  <c r="H662" i="7950"/>
  <c r="H708" i="7950" s="1"/>
  <c r="H686" i="7950"/>
  <c r="O284" i="18"/>
  <c r="N1096" i="18"/>
  <c r="N1516" i="18"/>
  <c r="M1096" i="18"/>
  <c r="M1516" i="18"/>
  <c r="L454" i="7942"/>
  <c r="M453" i="7942"/>
  <c r="H713" i="7949"/>
  <c r="I667" i="7949"/>
  <c r="J878" i="18"/>
  <c r="I242" i="7944"/>
  <c r="J1298" i="18"/>
  <c r="J267" i="7944"/>
  <c r="I19" i="7944"/>
  <c r="K235" i="7949" l="1"/>
  <c r="K281" i="7949" s="1"/>
  <c r="J334" i="7941"/>
  <c r="K124" i="7941"/>
  <c r="Q1508" i="18"/>
  <c r="Q1088" i="18"/>
  <c r="P190" i="7942"/>
  <c r="P191" i="7942" s="1"/>
  <c r="M192" i="7942"/>
  <c r="N192" i="7942" s="1"/>
  <c r="K267" i="7944"/>
  <c r="L267" i="7944" s="1"/>
  <c r="M267" i="7944" s="1"/>
  <c r="N267" i="7944" s="1"/>
  <c r="O267" i="7944" s="1"/>
  <c r="P267" i="7944" s="1"/>
  <c r="Q267" i="7944" s="1"/>
  <c r="N451" i="7942"/>
  <c r="O451" i="7942" s="1"/>
  <c r="K334" i="7941"/>
  <c r="L452" i="7942"/>
  <c r="I276" i="7950"/>
  <c r="J19" i="7944"/>
  <c r="J692" i="7941"/>
  <c r="K1194" i="18"/>
  <c r="J116" i="7941"/>
  <c r="K774" i="18"/>
  <c r="K1306" i="18"/>
  <c r="K700" i="7941" s="1"/>
  <c r="D608" i="7950"/>
  <c r="D632" i="7950"/>
  <c r="N453" i="7942"/>
  <c r="N454" i="7942" s="1"/>
  <c r="M454" i="7942"/>
  <c r="O1096" i="18"/>
  <c r="O1516" i="18"/>
  <c r="P284" i="18"/>
  <c r="L20" i="7941"/>
  <c r="K596" i="7941"/>
  <c r="J910" i="7941"/>
  <c r="I254" i="7944"/>
  <c r="J18" i="7944" s="1"/>
  <c r="J242" i="7944"/>
  <c r="K242" i="7944" s="1"/>
  <c r="L242" i="7944" s="1"/>
  <c r="M242" i="7944" s="1"/>
  <c r="N242" i="7944" s="1"/>
  <c r="O242" i="7944" s="1"/>
  <c r="P242" i="7944" s="1"/>
  <c r="Q242" i="7944" s="1"/>
  <c r="I713" i="7949"/>
  <c r="J667" i="7949"/>
  <c r="O453" i="7942"/>
  <c r="I686" i="7950"/>
  <c r="I662" i="7950"/>
  <c r="I708" i="7950" s="1"/>
  <c r="I284" i="7950"/>
  <c r="I330" i="7950" s="1"/>
  <c r="I308" i="7950"/>
  <c r="D578" i="7950"/>
  <c r="D554" i="7950"/>
  <c r="D600" i="7950" s="1"/>
  <c r="L782" i="18"/>
  <c r="J254" i="7950"/>
  <c r="J230" i="7950"/>
  <c r="L235" i="7949" l="1"/>
  <c r="M235" i="7949" s="1"/>
  <c r="L1202" i="18"/>
  <c r="Q190" i="7942"/>
  <c r="Q191" i="7942" s="1"/>
  <c r="Q436" i="7941" s="1"/>
  <c r="M193" i="7942"/>
  <c r="O192" i="7942"/>
  <c r="O193" i="7942" s="1"/>
  <c r="N193" i="7942"/>
  <c r="O454" i="7942"/>
  <c r="D654" i="7950"/>
  <c r="P451" i="7942"/>
  <c r="P452" i="7942" s="1"/>
  <c r="O452" i="7942"/>
  <c r="P453" i="7942"/>
  <c r="Q453" i="7942" s="1"/>
  <c r="Q454" i="7942" s="1"/>
  <c r="Q1013" i="7941" s="1"/>
  <c r="N452" i="7942"/>
  <c r="J254" i="7944"/>
  <c r="K254" i="7944" s="1"/>
  <c r="L254" i="7944" s="1"/>
  <c r="M254" i="7944" s="1"/>
  <c r="N254" i="7944" s="1"/>
  <c r="O254" i="7944" s="1"/>
  <c r="P254" i="7944" s="1"/>
  <c r="Q254" i="7944" s="1"/>
  <c r="P1516" i="18"/>
  <c r="P1096" i="18"/>
  <c r="Q284" i="18"/>
  <c r="K254" i="7950"/>
  <c r="K230" i="7950"/>
  <c r="L1568" i="18"/>
  <c r="K1560" i="18"/>
  <c r="E554" i="7950"/>
  <c r="E600" i="7950" s="1"/>
  <c r="E578" i="7950"/>
  <c r="J713" i="7949"/>
  <c r="K667" i="7949"/>
  <c r="K910" i="7941"/>
  <c r="E632" i="7950"/>
  <c r="E608" i="7950"/>
  <c r="K1140" i="18"/>
  <c r="K588" i="7941"/>
  <c r="J902" i="7941"/>
  <c r="K12" i="7941"/>
  <c r="J326" i="7941"/>
  <c r="L281" i="7949"/>
  <c r="J662" i="7950"/>
  <c r="J708" i="7950" s="1"/>
  <c r="J686" i="7950"/>
  <c r="L596" i="7941"/>
  <c r="J276" i="7950"/>
  <c r="L1148" i="18"/>
  <c r="J284" i="7950"/>
  <c r="J308" i="7950"/>
  <c r="P192" i="7942" l="1"/>
  <c r="K276" i="7950"/>
  <c r="P454" i="7942"/>
  <c r="Q451" i="7942"/>
  <c r="Q452" i="7942" s="1"/>
  <c r="Q1012" i="7941" s="1"/>
  <c r="Q192" i="7942"/>
  <c r="Q193" i="7942" s="1"/>
  <c r="Q437" i="7941" s="1"/>
  <c r="P193" i="7942"/>
  <c r="E654" i="7950"/>
  <c r="J330" i="7950"/>
  <c r="K1298" i="18"/>
  <c r="K878" i="18"/>
  <c r="K713" i="7949"/>
  <c r="L667" i="7949"/>
  <c r="M281" i="7949"/>
  <c r="N235" i="7949"/>
  <c r="F632" i="7950"/>
  <c r="F608" i="7950"/>
  <c r="L230" i="7950"/>
  <c r="L254" i="7950"/>
  <c r="K284" i="7950"/>
  <c r="K308" i="7950"/>
  <c r="L886" i="18"/>
  <c r="K662" i="7950"/>
  <c r="K708" i="7950" s="1"/>
  <c r="K686" i="7950"/>
  <c r="F578" i="7950"/>
  <c r="F554" i="7950"/>
  <c r="F600" i="7950" s="1"/>
  <c r="L1306" i="18"/>
  <c r="Q1096" i="18"/>
  <c r="Q1516" i="18"/>
  <c r="F654" i="7950" l="1"/>
  <c r="K330" i="7950"/>
  <c r="L124" i="7941"/>
  <c r="M782" i="18"/>
  <c r="M230" i="7950"/>
  <c r="M254" i="7950"/>
  <c r="L662" i="7950"/>
  <c r="L708" i="7950" s="1"/>
  <c r="L686" i="7950"/>
  <c r="L276" i="7950"/>
  <c r="G608" i="7950"/>
  <c r="G632" i="7950"/>
  <c r="G554" i="7950"/>
  <c r="G600" i="7950" s="1"/>
  <c r="G578" i="7950"/>
  <c r="L700" i="7941"/>
  <c r="M1202" i="18"/>
  <c r="L284" i="7950"/>
  <c r="L308" i="7950"/>
  <c r="N281" i="7949"/>
  <c r="O235" i="7949"/>
  <c r="K692" i="7941"/>
  <c r="L1194" i="18"/>
  <c r="L713" i="7949"/>
  <c r="M667" i="7949"/>
  <c r="K116" i="7941"/>
  <c r="L774" i="18"/>
  <c r="G654" i="7950" l="1"/>
  <c r="M276" i="7950"/>
  <c r="L910" i="7941"/>
  <c r="M596" i="7941"/>
  <c r="N230" i="7950"/>
  <c r="N254" i="7950"/>
  <c r="L1140" i="18"/>
  <c r="L1560" i="18"/>
  <c r="M308" i="7950"/>
  <c r="M284" i="7950"/>
  <c r="H554" i="7950"/>
  <c r="H600" i="7950" s="1"/>
  <c r="H578" i="7950"/>
  <c r="L330" i="7950"/>
  <c r="M686" i="7950"/>
  <c r="M662" i="7950"/>
  <c r="M1148" i="18"/>
  <c r="K326" i="7941"/>
  <c r="L12" i="7941"/>
  <c r="L588" i="7941"/>
  <c r="K902" i="7941"/>
  <c r="M713" i="7949"/>
  <c r="N667" i="7949"/>
  <c r="O281" i="7949"/>
  <c r="P235" i="7949"/>
  <c r="M1568" i="18"/>
  <c r="H632" i="7950"/>
  <c r="H608" i="7950"/>
  <c r="M20" i="7941"/>
  <c r="L334" i="7941"/>
  <c r="H654" i="7950" l="1"/>
  <c r="N276" i="7950"/>
  <c r="M708" i="7950"/>
  <c r="N686" i="7950"/>
  <c r="N662" i="7950"/>
  <c r="M330" i="7950"/>
  <c r="O254" i="7950"/>
  <c r="O230" i="7950"/>
  <c r="N713" i="7949"/>
  <c r="O667" i="7949"/>
  <c r="P281" i="7949"/>
  <c r="Q235" i="7949"/>
  <c r="M886" i="18"/>
  <c r="N284" i="7950"/>
  <c r="N308" i="7950"/>
  <c r="L878" i="18"/>
  <c r="I608" i="7950"/>
  <c r="I632" i="7950"/>
  <c r="M1306" i="18"/>
  <c r="I554" i="7950"/>
  <c r="I600" i="7950" s="1"/>
  <c r="I578" i="7950"/>
  <c r="L1298" i="18"/>
  <c r="N708" i="7950" l="1"/>
  <c r="N330" i="7950"/>
  <c r="I654" i="7950"/>
  <c r="O276" i="7950"/>
  <c r="J578" i="7950"/>
  <c r="J554" i="7950"/>
  <c r="J600" i="7950" s="1"/>
  <c r="M700" i="7941"/>
  <c r="N1202" i="18"/>
  <c r="O713" i="7949"/>
  <c r="P667" i="7949"/>
  <c r="L116" i="7941"/>
  <c r="M774" i="18"/>
  <c r="Q281" i="7949"/>
  <c r="R235" i="7949"/>
  <c r="O686" i="7950"/>
  <c r="O662" i="7950"/>
  <c r="L692" i="7941"/>
  <c r="M1194" i="18"/>
  <c r="J632" i="7950"/>
  <c r="J608" i="7950"/>
  <c r="O284" i="7950"/>
  <c r="O308" i="7950"/>
  <c r="M124" i="7941"/>
  <c r="N782" i="18"/>
  <c r="P230" i="7950"/>
  <c r="P254" i="7950"/>
  <c r="P276" i="7950" l="1"/>
  <c r="O330" i="7950"/>
  <c r="J654" i="7950"/>
  <c r="O708" i="7950"/>
  <c r="M1140" i="18"/>
  <c r="N1568" i="18"/>
  <c r="N20" i="7941"/>
  <c r="M334" i="7941"/>
  <c r="K632" i="7950"/>
  <c r="K608" i="7950"/>
  <c r="P686" i="7950"/>
  <c r="P662" i="7950"/>
  <c r="L326" i="7941"/>
  <c r="M12" i="7941"/>
  <c r="M910" i="7941"/>
  <c r="N596" i="7941"/>
  <c r="M588" i="7941"/>
  <c r="L902" i="7941"/>
  <c r="N1148" i="18"/>
  <c r="Q254" i="7950"/>
  <c r="Q230" i="7950"/>
  <c r="P308" i="7950"/>
  <c r="P284" i="7950"/>
  <c r="M1560" i="18"/>
  <c r="R281" i="7949"/>
  <c r="S235" i="7949"/>
  <c r="P713" i="7949"/>
  <c r="Q667" i="7949"/>
  <c r="K554" i="7950"/>
  <c r="K600" i="7950" s="1"/>
  <c r="K578" i="7950"/>
  <c r="K654" i="7950" l="1"/>
  <c r="Q276" i="7950"/>
  <c r="N1306" i="18"/>
  <c r="G831" i="18"/>
  <c r="G23" i="7942"/>
  <c r="G127" i="7942" s="1"/>
  <c r="G828" i="18"/>
  <c r="G20" i="7942"/>
  <c r="G124" i="7942" s="1"/>
  <c r="Q713" i="7949"/>
  <c r="R667" i="7949"/>
  <c r="M1298" i="18"/>
  <c r="R230" i="7950"/>
  <c r="R254" i="7950"/>
  <c r="L632" i="7950"/>
  <c r="L608" i="7950"/>
  <c r="G22" i="7942"/>
  <c r="G126" i="7942" s="1"/>
  <c r="G830" i="18"/>
  <c r="G15" i="7942"/>
  <c r="G119" i="7942" s="1"/>
  <c r="G823" i="18"/>
  <c r="L554" i="7950"/>
  <c r="L600" i="7950" s="1"/>
  <c r="L578" i="7950"/>
  <c r="S281" i="7949"/>
  <c r="T235" i="7949"/>
  <c r="P330" i="7950"/>
  <c r="N886" i="18"/>
  <c r="P708" i="7950"/>
  <c r="M878" i="18"/>
  <c r="Q284" i="7950"/>
  <c r="Q308" i="7950"/>
  <c r="Q662" i="7950"/>
  <c r="Q686" i="7950"/>
  <c r="H17" i="7944" l="1"/>
  <c r="H16" i="7944"/>
  <c r="Q708" i="7950"/>
  <c r="R276" i="7950"/>
  <c r="G276" i="7942"/>
  <c r="G380" i="7942" s="1"/>
  <c r="G1243" i="18"/>
  <c r="C495" i="7950"/>
  <c r="C500" i="7950" s="1"/>
  <c r="H14" i="7944"/>
  <c r="G1251" i="18"/>
  <c r="G284" i="7942"/>
  <c r="G388" i="7942" s="1"/>
  <c r="G16" i="7942"/>
  <c r="G120" i="7942" s="1"/>
  <c r="G824" i="18"/>
  <c r="G283" i="7942"/>
  <c r="G387" i="7942" s="1"/>
  <c r="G1250" i="18"/>
  <c r="R686" i="7950"/>
  <c r="R662" i="7950"/>
  <c r="R708" i="7950" s="1"/>
  <c r="M116" i="7941"/>
  <c r="N774" i="18"/>
  <c r="N124" i="7941"/>
  <c r="O782" i="18"/>
  <c r="M578" i="7950"/>
  <c r="M554" i="7950"/>
  <c r="M600" i="7950" s="1"/>
  <c r="G68" i="7941"/>
  <c r="H778" i="18"/>
  <c r="H443" i="7942"/>
  <c r="I443" i="7942" s="1"/>
  <c r="I444" i="7942" s="1"/>
  <c r="H182" i="7942"/>
  <c r="R308" i="7950"/>
  <c r="R284" i="7950"/>
  <c r="H186" i="7942"/>
  <c r="H447" i="7942"/>
  <c r="I447" i="7942" s="1"/>
  <c r="I448" i="7942" s="1"/>
  <c r="M692" i="7941"/>
  <c r="N1194" i="18"/>
  <c r="G66" i="7941"/>
  <c r="H776" i="18"/>
  <c r="N700" i="7941"/>
  <c r="O1202" i="18"/>
  <c r="G21" i="7942"/>
  <c r="G125" i="7942" s="1"/>
  <c r="G829" i="18"/>
  <c r="C441" i="7950"/>
  <c r="C446" i="7950" s="1"/>
  <c r="Q330" i="7950"/>
  <c r="T281" i="7949"/>
  <c r="U235" i="7949"/>
  <c r="G61" i="7941"/>
  <c r="H771" i="18"/>
  <c r="L654" i="7950"/>
  <c r="S230" i="7950"/>
  <c r="S254" i="7950"/>
  <c r="R713" i="7949"/>
  <c r="S667" i="7949"/>
  <c r="H188" i="7942"/>
  <c r="I188" i="7942" s="1"/>
  <c r="I189" i="7942" s="1"/>
  <c r="H449" i="7942"/>
  <c r="I449" i="7942" s="1"/>
  <c r="J449" i="7942" s="1"/>
  <c r="G17" i="7942"/>
  <c r="G121" i="7942" s="1"/>
  <c r="G825" i="18"/>
  <c r="G281" i="7942"/>
  <c r="G385" i="7942" s="1"/>
  <c r="G1248" i="18"/>
  <c r="H9" i="7944"/>
  <c r="H172" i="7942"/>
  <c r="I172" i="7942" s="1"/>
  <c r="I173" i="7942" s="1"/>
  <c r="H433" i="7942"/>
  <c r="I433" i="7942" s="1"/>
  <c r="J433" i="7942" s="1"/>
  <c r="J434" i="7942" s="1"/>
  <c r="M608" i="7950"/>
  <c r="M632" i="7950"/>
  <c r="G69" i="7941"/>
  <c r="H779" i="18"/>
  <c r="S276" i="7950" l="1"/>
  <c r="H10" i="7944"/>
  <c r="H15" i="7944"/>
  <c r="C387" i="7950"/>
  <c r="C392" i="7950" s="1"/>
  <c r="M57" i="1"/>
  <c r="G14" i="7942"/>
  <c r="G822" i="18"/>
  <c r="G1244" i="18"/>
  <c r="G277" i="7942"/>
  <c r="G381" i="7942" s="1"/>
  <c r="H11" i="7944"/>
  <c r="M654" i="7950"/>
  <c r="J172" i="7942"/>
  <c r="K172" i="7942" s="1"/>
  <c r="G63" i="7941"/>
  <c r="H773" i="18"/>
  <c r="I450" i="7942"/>
  <c r="J450" i="7942"/>
  <c r="K449" i="7942"/>
  <c r="T230" i="7950"/>
  <c r="T254" i="7950"/>
  <c r="G323" i="7941"/>
  <c r="H9" i="7941"/>
  <c r="O1568" i="18"/>
  <c r="N1560" i="18"/>
  <c r="J447" i="7942"/>
  <c r="J448" i="7942" s="1"/>
  <c r="H16" i="7941"/>
  <c r="G330" i="7941"/>
  <c r="N334" i="7941"/>
  <c r="O20" i="7941"/>
  <c r="S686" i="7950"/>
  <c r="S662" i="7950"/>
  <c r="S708" i="7950" s="1"/>
  <c r="H174" i="7942"/>
  <c r="I174" i="7942" s="1"/>
  <c r="I175" i="7942" s="1"/>
  <c r="H435" i="7942"/>
  <c r="I435" i="7942" s="1"/>
  <c r="I436" i="7942" s="1"/>
  <c r="G282" i="7942"/>
  <c r="G386" i="7942" s="1"/>
  <c r="G1249" i="18"/>
  <c r="H1145" i="18"/>
  <c r="C63" i="7950"/>
  <c r="C68" i="7950" s="1"/>
  <c r="H437" i="7942"/>
  <c r="I437" i="7942" s="1"/>
  <c r="J437" i="7942" s="1"/>
  <c r="H176" i="7942"/>
  <c r="I176" i="7942" s="1"/>
  <c r="I177" i="7942" s="1"/>
  <c r="J188" i="7942"/>
  <c r="K188" i="7942" s="1"/>
  <c r="K189" i="7942" s="1"/>
  <c r="U281" i="7949"/>
  <c r="V235" i="7949"/>
  <c r="O596" i="7941"/>
  <c r="N910" i="7941"/>
  <c r="M902" i="7941"/>
  <c r="N588" i="7941"/>
  <c r="I182" i="7942"/>
  <c r="J182" i="7942" s="1"/>
  <c r="J183" i="7942" s="1"/>
  <c r="N1140" i="18"/>
  <c r="G644" i="7941"/>
  <c r="H1198" i="18"/>
  <c r="C117" i="7950"/>
  <c r="C122" i="7950" s="1"/>
  <c r="G1245" i="18"/>
  <c r="G278" i="7942"/>
  <c r="G382" i="7942" s="1"/>
  <c r="G331" i="7941"/>
  <c r="H17" i="7941"/>
  <c r="G642" i="7941"/>
  <c r="H1196" i="18"/>
  <c r="S713" i="7949"/>
  <c r="T667" i="7949"/>
  <c r="G67" i="7941"/>
  <c r="H777" i="18"/>
  <c r="H1142" i="18"/>
  <c r="I186" i="7942"/>
  <c r="I187" i="7942" s="1"/>
  <c r="R330" i="7950"/>
  <c r="J443" i="7942"/>
  <c r="J444" i="7942" s="1"/>
  <c r="N578" i="7950"/>
  <c r="N554" i="7950"/>
  <c r="N600" i="7950" s="1"/>
  <c r="N12" i="7941"/>
  <c r="M326" i="7941"/>
  <c r="G645" i="7941"/>
  <c r="H1199" i="18"/>
  <c r="G637" i="7941"/>
  <c r="H1191" i="18"/>
  <c r="N608" i="7950"/>
  <c r="N632" i="7950"/>
  <c r="I434" i="7942"/>
  <c r="K433" i="7942"/>
  <c r="K434" i="7942" s="1"/>
  <c r="H1137" i="18"/>
  <c r="H445" i="7942"/>
  <c r="I445" i="7942" s="1"/>
  <c r="I446" i="7942" s="1"/>
  <c r="H184" i="7942"/>
  <c r="G328" i="7941"/>
  <c r="H14" i="7941"/>
  <c r="S284" i="7950"/>
  <c r="S308" i="7950"/>
  <c r="H1144" i="18"/>
  <c r="O1148" i="18"/>
  <c r="G62" i="7941"/>
  <c r="H772" i="18"/>
  <c r="C333" i="7950"/>
  <c r="C338" i="7950" s="1"/>
  <c r="K443" i="7942" l="1"/>
  <c r="K444" i="7942" s="1"/>
  <c r="L433" i="7942"/>
  <c r="M433" i="7942" s="1"/>
  <c r="K173" i="7942"/>
  <c r="L172" i="7942"/>
  <c r="L173" i="7942" s="1"/>
  <c r="J189" i="7942"/>
  <c r="J186" i="7942"/>
  <c r="J187" i="7942" s="1"/>
  <c r="J173" i="7942"/>
  <c r="N654" i="7950"/>
  <c r="T276" i="7950"/>
  <c r="M434" i="7942"/>
  <c r="C496" i="7950"/>
  <c r="H229" i="7944"/>
  <c r="H241" i="7944" s="1"/>
  <c r="G324" i="7941"/>
  <c r="H10" i="7941"/>
  <c r="O632" i="7950"/>
  <c r="O608" i="7950"/>
  <c r="H1565" i="18"/>
  <c r="C500" i="7949"/>
  <c r="C505" i="7949" s="1"/>
  <c r="H15" i="7941"/>
  <c r="G329" i="7941"/>
  <c r="H590" i="7941"/>
  <c r="G904" i="7941"/>
  <c r="G639" i="7941"/>
  <c r="H1193" i="18"/>
  <c r="H592" i="7941"/>
  <c r="G906" i="7941"/>
  <c r="K182" i="7942"/>
  <c r="K183" i="7942" s="1"/>
  <c r="K186" i="7942"/>
  <c r="K187" i="7942" s="1"/>
  <c r="T686" i="7950"/>
  <c r="T662" i="7950"/>
  <c r="T708" i="7950" s="1"/>
  <c r="N1298" i="18"/>
  <c r="L449" i="7942"/>
  <c r="L450" i="7942" s="1"/>
  <c r="G821" i="18"/>
  <c r="G60" i="7941"/>
  <c r="H770" i="18"/>
  <c r="H8" i="7944"/>
  <c r="W57" i="1"/>
  <c r="O886" i="18"/>
  <c r="T284" i="7950"/>
  <c r="T308" i="7950"/>
  <c r="H593" i="7941"/>
  <c r="G907" i="7941"/>
  <c r="O554" i="7950"/>
  <c r="O600" i="7950" s="1"/>
  <c r="O578" i="7950"/>
  <c r="T713" i="7949"/>
  <c r="U667" i="7949"/>
  <c r="N878" i="18"/>
  <c r="G643" i="7941"/>
  <c r="H1197" i="18"/>
  <c r="J435" i="7942"/>
  <c r="J436" i="7942" s="1"/>
  <c r="H1139" i="18"/>
  <c r="C171" i="7950"/>
  <c r="C176" i="7950" s="1"/>
  <c r="G118" i="7942"/>
  <c r="G13" i="7942"/>
  <c r="G1242" i="18"/>
  <c r="G275" i="7942"/>
  <c r="N57" i="1"/>
  <c r="H125" i="7944"/>
  <c r="H137" i="7944" s="1"/>
  <c r="C64" i="7950"/>
  <c r="H216" i="7944"/>
  <c r="H228" i="7944" s="1"/>
  <c r="C442" i="7950"/>
  <c r="S330" i="7950"/>
  <c r="I184" i="7942"/>
  <c r="I185" i="7942" s="1"/>
  <c r="H1557" i="18"/>
  <c r="C68" i="7949"/>
  <c r="C73" i="7949" s="1"/>
  <c r="L443" i="7942"/>
  <c r="L444" i="7942" s="1"/>
  <c r="I183" i="7942"/>
  <c r="V281" i="7949"/>
  <c r="W235" i="7949"/>
  <c r="W281" i="7949" s="1"/>
  <c r="L188" i="7942"/>
  <c r="J176" i="7942"/>
  <c r="J177" i="7942" s="1"/>
  <c r="J174" i="7942"/>
  <c r="J175" i="7942" s="1"/>
  <c r="K447" i="7942"/>
  <c r="O1306" i="18"/>
  <c r="U254" i="7950"/>
  <c r="U230" i="7950"/>
  <c r="K450" i="7942"/>
  <c r="H11" i="7941"/>
  <c r="G325" i="7941"/>
  <c r="C334" i="7950"/>
  <c r="H190" i="7944"/>
  <c r="H202" i="7944" s="1"/>
  <c r="L203" i="7944"/>
  <c r="M203" i="7944"/>
  <c r="I203" i="7944"/>
  <c r="I215" i="7944" s="1"/>
  <c r="H203" i="7944"/>
  <c r="H215" i="7944" s="1"/>
  <c r="O203" i="7944"/>
  <c r="C388" i="7950"/>
  <c r="J203" i="7944"/>
  <c r="K203" i="7944" s="1"/>
  <c r="Q203" i="7944"/>
  <c r="P203" i="7944"/>
  <c r="N203" i="7944"/>
  <c r="H1138" i="18"/>
  <c r="J445" i="7942"/>
  <c r="J446" i="7942" s="1"/>
  <c r="H585" i="7941"/>
  <c r="G899" i="7941"/>
  <c r="H1143" i="18"/>
  <c r="C338" i="7949"/>
  <c r="C343" i="7949" s="1"/>
  <c r="H1562" i="18"/>
  <c r="C446" i="7949"/>
  <c r="C451" i="7949" s="1"/>
  <c r="H1564" i="18"/>
  <c r="K437" i="7942"/>
  <c r="K438" i="7942" s="1"/>
  <c r="I438" i="7942"/>
  <c r="J438" i="7942"/>
  <c r="G638" i="7941"/>
  <c r="H1192" i="18"/>
  <c r="L434" i="7942" l="1"/>
  <c r="N433" i="7942"/>
  <c r="O433" i="7942" s="1"/>
  <c r="O434" i="7942" s="1"/>
  <c r="M172" i="7942"/>
  <c r="M173" i="7942" s="1"/>
  <c r="K176" i="7942"/>
  <c r="K177" i="7942" s="1"/>
  <c r="L437" i="7942"/>
  <c r="L438" i="7942" s="1"/>
  <c r="P433" i="7942"/>
  <c r="Q433" i="7942" s="1"/>
  <c r="Q434" i="7942" s="1"/>
  <c r="Q1003" i="7941" s="1"/>
  <c r="K174" i="7942"/>
  <c r="K175" i="7942" s="1"/>
  <c r="K445" i="7942"/>
  <c r="K446" i="7942" s="1"/>
  <c r="O654" i="7950"/>
  <c r="N434" i="7942"/>
  <c r="L174" i="7942"/>
  <c r="M174" i="7942" s="1"/>
  <c r="N174" i="7942" s="1"/>
  <c r="O174" i="7942" s="1"/>
  <c r="T330" i="7950"/>
  <c r="I216" i="7944"/>
  <c r="I228" i="7944" s="1"/>
  <c r="I151" i="7944"/>
  <c r="I163" i="7944" s="1"/>
  <c r="L151" i="7944"/>
  <c r="Q151" i="7944"/>
  <c r="M151" i="7944"/>
  <c r="P151" i="7944"/>
  <c r="H151" i="7944"/>
  <c r="H163" i="7944" s="1"/>
  <c r="J151" i="7944"/>
  <c r="K151" i="7944" s="1"/>
  <c r="C172" i="7950"/>
  <c r="O151" i="7944"/>
  <c r="N151" i="7944"/>
  <c r="K112" i="7944"/>
  <c r="J112" i="7944"/>
  <c r="L112" i="7944"/>
  <c r="M112" i="7944" s="1"/>
  <c r="C10" i="7950"/>
  <c r="N112" i="7944"/>
  <c r="O112" i="7944" s="1"/>
  <c r="P112" i="7944" s="1"/>
  <c r="Q112" i="7944" s="1"/>
  <c r="I112" i="7944"/>
  <c r="I124" i="7944" s="1"/>
  <c r="H112" i="7944"/>
  <c r="H124" i="7944" s="1"/>
  <c r="I190" i="7944"/>
  <c r="J190" i="7944" s="1"/>
  <c r="K190" i="7944" s="1"/>
  <c r="U276" i="7950"/>
  <c r="L447" i="7942"/>
  <c r="M447" i="7942" s="1"/>
  <c r="N447" i="7942" s="1"/>
  <c r="J184" i="7942"/>
  <c r="K184" i="7942" s="1"/>
  <c r="K185" i="7942" s="1"/>
  <c r="I9" i="7944"/>
  <c r="H1563" i="18"/>
  <c r="C392" i="7949"/>
  <c r="C397" i="7949" s="1"/>
  <c r="N116" i="7941"/>
  <c r="O774" i="18"/>
  <c r="P554" i="7950"/>
  <c r="P600" i="7950" s="1"/>
  <c r="P578" i="7950"/>
  <c r="C9" i="7950"/>
  <c r="C14" i="7950" s="1"/>
  <c r="H7" i="7944"/>
  <c r="M449" i="7942"/>
  <c r="N449" i="7942" s="1"/>
  <c r="N450" i="7942" s="1"/>
  <c r="U686" i="7950"/>
  <c r="U662" i="7950"/>
  <c r="U708" i="7950" s="1"/>
  <c r="M443" i="7942"/>
  <c r="I17" i="7944"/>
  <c r="I14" i="7944"/>
  <c r="V230" i="7950"/>
  <c r="V254" i="7950"/>
  <c r="H170" i="7942"/>
  <c r="I170" i="7942" s="1"/>
  <c r="I169" i="7942" s="1"/>
  <c r="H431" i="7942"/>
  <c r="I431" i="7942" s="1"/>
  <c r="I430" i="7942" s="1"/>
  <c r="G117" i="7942"/>
  <c r="G905" i="7941"/>
  <c r="H591" i="7941"/>
  <c r="H769" i="18"/>
  <c r="H1136" i="18"/>
  <c r="C546" i="7950"/>
  <c r="C524" i="7950"/>
  <c r="H1558" i="18"/>
  <c r="C122" i="7949"/>
  <c r="C127" i="7949" s="1"/>
  <c r="J215" i="7944"/>
  <c r="K215" i="7944" s="1"/>
  <c r="L215" i="7944" s="1"/>
  <c r="M215" i="7944" s="1"/>
  <c r="N215" i="7944" s="1"/>
  <c r="O215" i="7944" s="1"/>
  <c r="P215" i="7944" s="1"/>
  <c r="Q215" i="7944" s="1"/>
  <c r="I15" i="7944"/>
  <c r="H138" i="7944"/>
  <c r="H150" i="7944" s="1"/>
  <c r="C118" i="7950"/>
  <c r="H586" i="7941"/>
  <c r="G900" i="7941"/>
  <c r="C384" i="7950"/>
  <c r="C362" i="7950"/>
  <c r="C470" i="7950"/>
  <c r="C492" i="7950"/>
  <c r="I125" i="7944"/>
  <c r="G379" i="7942"/>
  <c r="G378" i="7942" s="1"/>
  <c r="G274" i="7942"/>
  <c r="K435" i="7942"/>
  <c r="U713" i="7949"/>
  <c r="V667" i="7949"/>
  <c r="O124" i="7941"/>
  <c r="P782" i="18"/>
  <c r="G59" i="7941"/>
  <c r="G322" i="7941"/>
  <c r="G321" i="7941" s="1"/>
  <c r="H8" i="7941"/>
  <c r="N692" i="7941"/>
  <c r="O1194" i="18"/>
  <c r="L186" i="7942"/>
  <c r="M186" i="7942" s="1"/>
  <c r="L182" i="7942"/>
  <c r="H1559" i="18"/>
  <c r="C176" i="7949"/>
  <c r="C181" i="7949" s="1"/>
  <c r="P632" i="7950"/>
  <c r="P608" i="7950"/>
  <c r="M437" i="7942"/>
  <c r="D438" i="7950"/>
  <c r="E438" i="7950"/>
  <c r="L438" i="7950"/>
  <c r="H438" i="7950"/>
  <c r="C438" i="7950"/>
  <c r="G438" i="7950"/>
  <c r="F438" i="7950"/>
  <c r="K438" i="7950"/>
  <c r="C416" i="7950"/>
  <c r="O700" i="7941"/>
  <c r="P1202" i="18"/>
  <c r="M188" i="7942"/>
  <c r="I16" i="7944"/>
  <c r="C114" i="7950"/>
  <c r="C92" i="7950"/>
  <c r="G636" i="7941"/>
  <c r="G1241" i="18"/>
  <c r="H1190" i="18"/>
  <c r="U284" i="7950"/>
  <c r="U308" i="7950"/>
  <c r="K448" i="7942"/>
  <c r="L189" i="7942"/>
  <c r="H587" i="7941"/>
  <c r="G901" i="7941"/>
  <c r="I229" i="7944"/>
  <c r="J229" i="7944" s="1"/>
  <c r="K229" i="7944" s="1"/>
  <c r="L176" i="7942" l="1"/>
  <c r="N172" i="7942"/>
  <c r="N173" i="7942" s="1"/>
  <c r="L445" i="7942"/>
  <c r="P434" i="7942"/>
  <c r="O447" i="7942"/>
  <c r="P447" i="7942" s="1"/>
  <c r="P448" i="7942" s="1"/>
  <c r="M448" i="7942"/>
  <c r="N448" i="7942"/>
  <c r="L175" i="7942"/>
  <c r="L448" i="7942"/>
  <c r="P654" i="7950"/>
  <c r="J216" i="7944"/>
  <c r="L190" i="7944"/>
  <c r="M190" i="7944" s="1"/>
  <c r="N190" i="7944" s="1"/>
  <c r="M189" i="7942"/>
  <c r="N437" i="7942"/>
  <c r="O437" i="7942" s="1"/>
  <c r="O438" i="7942" s="1"/>
  <c r="M187" i="7942"/>
  <c r="U330" i="7950"/>
  <c r="G635" i="7941"/>
  <c r="H584" i="7941"/>
  <c r="G898" i="7941"/>
  <c r="G897" i="7941" s="1"/>
  <c r="N188" i="7942"/>
  <c r="N189" i="7942" s="1"/>
  <c r="P1568" i="18"/>
  <c r="Q632" i="7950"/>
  <c r="Q608" i="7950"/>
  <c r="P1148" i="18"/>
  <c r="K436" i="7942"/>
  <c r="L435" i="7942"/>
  <c r="I137" i="7944"/>
  <c r="J125" i="7944"/>
  <c r="K125" i="7944" s="1"/>
  <c r="L125" i="7944" s="1"/>
  <c r="M125" i="7944" s="1"/>
  <c r="N125" i="7944" s="1"/>
  <c r="O125" i="7944" s="1"/>
  <c r="P125" i="7944" s="1"/>
  <c r="M175" i="7942"/>
  <c r="O175" i="7942"/>
  <c r="P174" i="7942"/>
  <c r="Q174" i="7942" s="1"/>
  <c r="Q175" i="7942" s="1"/>
  <c r="Q428" i="7941" s="1"/>
  <c r="I138" i="7944"/>
  <c r="I150" i="7944" s="1"/>
  <c r="D524" i="7950"/>
  <c r="D500" i="7950"/>
  <c r="D546" i="7950" s="1"/>
  <c r="H1135" i="18"/>
  <c r="J170" i="7942"/>
  <c r="J169" i="7942" s="1"/>
  <c r="I171" i="7942"/>
  <c r="H169" i="7942"/>
  <c r="V686" i="7950"/>
  <c r="V662" i="7950"/>
  <c r="V708" i="7950" s="1"/>
  <c r="Q578" i="7950"/>
  <c r="Q554" i="7950"/>
  <c r="Q600" i="7950" s="1"/>
  <c r="Q447" i="7942"/>
  <c r="Q448" i="7942" s="1"/>
  <c r="Q1010" i="7941" s="1"/>
  <c r="C38" i="7950"/>
  <c r="J163" i="7944"/>
  <c r="K163" i="7944" s="1"/>
  <c r="L163" i="7944" s="1"/>
  <c r="M163" i="7944" s="1"/>
  <c r="N163" i="7944" s="1"/>
  <c r="O163" i="7944" s="1"/>
  <c r="P163" i="7944" s="1"/>
  <c r="Q163" i="7944" s="1"/>
  <c r="I11" i="7944"/>
  <c r="L187" i="7942"/>
  <c r="N186" i="7942"/>
  <c r="N187" i="7942" s="1"/>
  <c r="H7" i="7941"/>
  <c r="P20" i="7941"/>
  <c r="O334" i="7941"/>
  <c r="M445" i="7942"/>
  <c r="N445" i="7942" s="1"/>
  <c r="L446" i="7942"/>
  <c r="C146" i="7950"/>
  <c r="C168" i="7950"/>
  <c r="W230" i="7950"/>
  <c r="W254" i="7950"/>
  <c r="I202" i="7944"/>
  <c r="I8" i="7944"/>
  <c r="H111" i="7944"/>
  <c r="J124" i="7944"/>
  <c r="K124" i="7944" s="1"/>
  <c r="D68" i="7950"/>
  <c r="D114" i="7950" s="1"/>
  <c r="D92" i="7950"/>
  <c r="I241" i="7944"/>
  <c r="L229" i="7944"/>
  <c r="M229" i="7944" s="1"/>
  <c r="N229" i="7944" s="1"/>
  <c r="H1556" i="18"/>
  <c r="C14" i="7949"/>
  <c r="C19" i="7949" s="1"/>
  <c r="H1189" i="18"/>
  <c r="L183" i="7942"/>
  <c r="M182" i="7942"/>
  <c r="O1560" i="18"/>
  <c r="V713" i="7949"/>
  <c r="W667" i="7949"/>
  <c r="W713" i="7949" s="1"/>
  <c r="D446" i="7950"/>
  <c r="D492" i="7950" s="1"/>
  <c r="D470" i="7950"/>
  <c r="M176" i="7942"/>
  <c r="M177" i="7942" s="1"/>
  <c r="L177" i="7942"/>
  <c r="O448" i="7942"/>
  <c r="I10" i="7944"/>
  <c r="H430" i="7942"/>
  <c r="I432" i="7942"/>
  <c r="J431" i="7942"/>
  <c r="J430" i="7942" s="1"/>
  <c r="V276" i="7950"/>
  <c r="M444" i="7942"/>
  <c r="O1140" i="18"/>
  <c r="C200" i="7950"/>
  <c r="C222" i="7950" s="1"/>
  <c r="N175" i="7942"/>
  <c r="P596" i="7941"/>
  <c r="O910" i="7941"/>
  <c r="V308" i="7950"/>
  <c r="V284" i="7950"/>
  <c r="J16" i="7944"/>
  <c r="D416" i="7950"/>
  <c r="D392" i="7950"/>
  <c r="O588" i="7941"/>
  <c r="N902" i="7941"/>
  <c r="L184" i="7942"/>
  <c r="L185" i="7942" s="1"/>
  <c r="D338" i="7950"/>
  <c r="D384" i="7950" s="1"/>
  <c r="D362" i="7950"/>
  <c r="M438" i="7942"/>
  <c r="J15" i="7944"/>
  <c r="J14" i="7944"/>
  <c r="O449" i="7942"/>
  <c r="M450" i="7942"/>
  <c r="N326" i="7941"/>
  <c r="O12" i="7941"/>
  <c r="O172" i="7942"/>
  <c r="O173" i="7942" s="1"/>
  <c r="J185" i="7942"/>
  <c r="N443" i="7942"/>
  <c r="O190" i="7944" l="1"/>
  <c r="P190" i="7944" s="1"/>
  <c r="Q190" i="7944" s="1"/>
  <c r="P175" i="7942"/>
  <c r="N176" i="7942"/>
  <c r="O176" i="7942" s="1"/>
  <c r="P176" i="7942" s="1"/>
  <c r="P177" i="7942" s="1"/>
  <c r="O445" i="7942"/>
  <c r="O446" i="7942" s="1"/>
  <c r="N438" i="7942"/>
  <c r="K170" i="7942"/>
  <c r="K169" i="7942" s="1"/>
  <c r="Q654" i="7950"/>
  <c r="J171" i="7942"/>
  <c r="K216" i="7944"/>
  <c r="L216" i="7944" s="1"/>
  <c r="M216" i="7944" s="1"/>
  <c r="N216" i="7944" s="1"/>
  <c r="O216" i="7944" s="1"/>
  <c r="P216" i="7944" s="1"/>
  <c r="Q216" i="7944" s="1"/>
  <c r="J228" i="7944"/>
  <c r="M435" i="7942"/>
  <c r="N435" i="7942" s="1"/>
  <c r="W276" i="7950"/>
  <c r="J138" i="7944"/>
  <c r="K138" i="7944" s="1"/>
  <c r="L138" i="7944" s="1"/>
  <c r="M138" i="7944" s="1"/>
  <c r="N138" i="7944" s="1"/>
  <c r="O138" i="7944" s="1"/>
  <c r="P138" i="7944" s="1"/>
  <c r="Q138" i="7944" s="1"/>
  <c r="V330" i="7950"/>
  <c r="O229" i="7944"/>
  <c r="P229" i="7944" s="1"/>
  <c r="Q229" i="7944" s="1"/>
  <c r="O878" i="18"/>
  <c r="J241" i="7944"/>
  <c r="K241" i="7944" s="1"/>
  <c r="L241" i="7944" s="1"/>
  <c r="M241" i="7944" s="1"/>
  <c r="N241" i="7944" s="1"/>
  <c r="L124" i="7944"/>
  <c r="M124" i="7944" s="1"/>
  <c r="R554" i="7950"/>
  <c r="R600" i="7950" s="1"/>
  <c r="R578" i="7950"/>
  <c r="J9" i="7944"/>
  <c r="J137" i="7944"/>
  <c r="O188" i="7942"/>
  <c r="O443" i="7942"/>
  <c r="P443" i="7942" s="1"/>
  <c r="P444" i="7942" s="1"/>
  <c r="N444" i="7942"/>
  <c r="E392" i="7950"/>
  <c r="E416" i="7950"/>
  <c r="W308" i="7950"/>
  <c r="W284" i="7950"/>
  <c r="W330" i="7950" s="1"/>
  <c r="J10" i="7944"/>
  <c r="M183" i="7942"/>
  <c r="N182" i="7942"/>
  <c r="E68" i="7950"/>
  <c r="E114" i="7950" s="1"/>
  <c r="E92" i="7950"/>
  <c r="J202" i="7944"/>
  <c r="K202" i="7944" s="1"/>
  <c r="N446" i="7942"/>
  <c r="J11" i="7944"/>
  <c r="P886" i="18"/>
  <c r="R608" i="7950"/>
  <c r="R632" i="7950"/>
  <c r="E362" i="7950"/>
  <c r="E338" i="7950"/>
  <c r="E384" i="7950" s="1"/>
  <c r="D176" i="7950"/>
  <c r="D200" i="7950"/>
  <c r="P449" i="7942"/>
  <c r="Q449" i="7942" s="1"/>
  <c r="Q450" i="7942" s="1"/>
  <c r="Q1011" i="7941" s="1"/>
  <c r="J432" i="7942"/>
  <c r="I394" i="7942"/>
  <c r="I415" i="7942"/>
  <c r="I401" i="7942"/>
  <c r="H407" i="7942"/>
  <c r="H418" i="7942"/>
  <c r="H379" i="7942"/>
  <c r="I380" i="7942"/>
  <c r="H396" i="7942"/>
  <c r="H425" i="7942"/>
  <c r="H385" i="7942"/>
  <c r="I382" i="7942"/>
  <c r="I416" i="7942"/>
  <c r="H400" i="7942"/>
  <c r="H410" i="7942"/>
  <c r="H393" i="7942"/>
  <c r="H398" i="7942"/>
  <c r="I417" i="7942"/>
  <c r="I403" i="7942"/>
  <c r="I385" i="7942"/>
  <c r="H422" i="7942"/>
  <c r="H392" i="7942"/>
  <c r="H428" i="7942"/>
  <c r="I406" i="7942"/>
  <c r="I379" i="7942"/>
  <c r="H427" i="7942"/>
  <c r="I393" i="7942"/>
  <c r="H401" i="7942"/>
  <c r="I413" i="7942"/>
  <c r="H388" i="7942"/>
  <c r="I414" i="7942"/>
  <c r="H397" i="7942"/>
  <c r="I412" i="7942"/>
  <c r="I402" i="7942"/>
  <c r="I408" i="7942"/>
  <c r="H399" i="7942"/>
  <c r="H419" i="7942"/>
  <c r="I418" i="7942"/>
  <c r="I395" i="7942"/>
  <c r="I383" i="7942"/>
  <c r="I400" i="7942"/>
  <c r="H404" i="7942"/>
  <c r="H403" i="7942"/>
  <c r="I407" i="7942"/>
  <c r="I384" i="7942"/>
  <c r="H420" i="7942"/>
  <c r="H380" i="7942"/>
  <c r="I411" i="7942"/>
  <c r="I421" i="7942"/>
  <c r="I389" i="7942"/>
  <c r="I398" i="7942"/>
  <c r="H426" i="7942"/>
  <c r="H417" i="7942"/>
  <c r="I396" i="7942"/>
  <c r="I397" i="7942"/>
  <c r="H414" i="7942"/>
  <c r="H381" i="7942"/>
  <c r="I424" i="7942"/>
  <c r="H416" i="7942"/>
  <c r="H412" i="7942"/>
  <c r="H413" i="7942"/>
  <c r="I392" i="7942"/>
  <c r="H382" i="7942"/>
  <c r="I425" i="7942"/>
  <c r="H383" i="7942"/>
  <c r="H405" i="7942"/>
  <c r="H408" i="7942"/>
  <c r="H387" i="7942"/>
  <c r="I426" i="7942"/>
  <c r="H390" i="7942"/>
  <c r="I409" i="7942"/>
  <c r="H421" i="7942"/>
  <c r="I423" i="7942"/>
  <c r="H423" i="7942"/>
  <c r="I391" i="7942"/>
  <c r="H406" i="7942"/>
  <c r="I410" i="7942"/>
  <c r="I381" i="7942"/>
  <c r="I420" i="7942"/>
  <c r="H386" i="7942"/>
  <c r="I531" i="7942"/>
  <c r="I386" i="7942"/>
  <c r="I399" i="7942"/>
  <c r="I427" i="7942"/>
  <c r="H402" i="7942"/>
  <c r="I390" i="7942"/>
  <c r="H411" i="7942"/>
  <c r="H384" i="7942"/>
  <c r="H409" i="7942"/>
  <c r="I388" i="7942"/>
  <c r="H424" i="7942"/>
  <c r="I404" i="7942"/>
  <c r="H389" i="7942"/>
  <c r="I422" i="7942"/>
  <c r="I419" i="7942"/>
  <c r="I387" i="7942"/>
  <c r="H391" i="7942"/>
  <c r="H394" i="7942"/>
  <c r="H395" i="7942"/>
  <c r="I428" i="7942"/>
  <c r="H415" i="7942"/>
  <c r="I405" i="7942"/>
  <c r="J386" i="7942"/>
  <c r="J382" i="7942"/>
  <c r="J403" i="7942"/>
  <c r="J411" i="7942"/>
  <c r="J417" i="7942"/>
  <c r="J531" i="7942"/>
  <c r="J424" i="7942"/>
  <c r="J423" i="7942"/>
  <c r="J389" i="7942"/>
  <c r="J402" i="7942"/>
  <c r="J427" i="7942"/>
  <c r="J413" i="7942"/>
  <c r="J407" i="7942"/>
  <c r="J408" i="7942"/>
  <c r="J416" i="7942"/>
  <c r="J406" i="7942"/>
  <c r="J401" i="7942"/>
  <c r="J387" i="7942"/>
  <c r="J392" i="7942"/>
  <c r="J388" i="7942"/>
  <c r="J421" i="7942"/>
  <c r="J412" i="7942"/>
  <c r="J393" i="7942"/>
  <c r="J410" i="7942"/>
  <c r="J390" i="7942"/>
  <c r="J425" i="7942"/>
  <c r="J426" i="7942"/>
  <c r="J383" i="7942"/>
  <c r="J422" i="7942"/>
  <c r="J381" i="7942"/>
  <c r="J415" i="7942"/>
  <c r="J395" i="7942"/>
  <c r="J420" i="7942"/>
  <c r="J400" i="7942"/>
  <c r="J418" i="7942"/>
  <c r="J404" i="7942"/>
  <c r="J380" i="7942"/>
  <c r="J384" i="7942"/>
  <c r="J396" i="7942"/>
  <c r="J399" i="7942"/>
  <c r="J397" i="7942"/>
  <c r="J419" i="7942"/>
  <c r="J405" i="7942"/>
  <c r="J394" i="7942"/>
  <c r="J379" i="7942"/>
  <c r="J391" i="7942"/>
  <c r="J409" i="7942"/>
  <c r="J385" i="7942"/>
  <c r="J428" i="7942"/>
  <c r="J398" i="7942"/>
  <c r="J414" i="7942"/>
  <c r="E470" i="7950"/>
  <c r="E446" i="7950"/>
  <c r="E492" i="7950" s="1"/>
  <c r="O1298" i="18"/>
  <c r="P172" i="7942"/>
  <c r="Q172" i="7942" s="1"/>
  <c r="Q173" i="7942" s="1"/>
  <c r="Q427" i="7941" s="1"/>
  <c r="D146" i="7950"/>
  <c r="D122" i="7950"/>
  <c r="D168" i="7950" s="1"/>
  <c r="O186" i="7942"/>
  <c r="P186" i="7942" s="1"/>
  <c r="W686" i="7950"/>
  <c r="W662" i="7950"/>
  <c r="W708" i="7950" s="1"/>
  <c r="I270" i="7942"/>
  <c r="J270" i="7942"/>
  <c r="K270" i="7942"/>
  <c r="Q125" i="7944"/>
  <c r="P1306" i="18"/>
  <c r="H583" i="7941"/>
  <c r="P437" i="7942"/>
  <c r="O450" i="7942"/>
  <c r="I111" i="7944"/>
  <c r="K431" i="7942"/>
  <c r="L431" i="7942" s="1"/>
  <c r="L430" i="7942" s="1"/>
  <c r="N177" i="7942"/>
  <c r="H1555" i="18"/>
  <c r="J8" i="7944"/>
  <c r="I7" i="7944"/>
  <c r="M446" i="7942"/>
  <c r="C60" i="7950"/>
  <c r="D38" i="7950"/>
  <c r="D14" i="7950"/>
  <c r="J17" i="7944"/>
  <c r="K171" i="7942"/>
  <c r="E524" i="7950"/>
  <c r="E500" i="7950"/>
  <c r="E546" i="7950" s="1"/>
  <c r="L436" i="7942"/>
  <c r="M184" i="7942"/>
  <c r="Q443" i="7942" l="1"/>
  <c r="Q444" i="7942" s="1"/>
  <c r="Q1008" i="7941" s="1"/>
  <c r="Q176" i="7942"/>
  <c r="Q177" i="7942" s="1"/>
  <c r="Q429" i="7941" s="1"/>
  <c r="O177" i="7942"/>
  <c r="L170" i="7942"/>
  <c r="L169" i="7942" s="1"/>
  <c r="L270" i="7942" s="1"/>
  <c r="P445" i="7942"/>
  <c r="Q445" i="7942" s="1"/>
  <c r="Q446" i="7942" s="1"/>
  <c r="Q1009" i="7941" s="1"/>
  <c r="O435" i="7942"/>
  <c r="O436" i="7942" s="1"/>
  <c r="N436" i="7942"/>
  <c r="L432" i="7942"/>
  <c r="D60" i="7950"/>
  <c r="J150" i="7944"/>
  <c r="K150" i="7944" s="1"/>
  <c r="L150" i="7944" s="1"/>
  <c r="M150" i="7944" s="1"/>
  <c r="K228" i="7944"/>
  <c r="M436" i="7942"/>
  <c r="N124" i="7944"/>
  <c r="O124" i="7944" s="1"/>
  <c r="P124" i="7944" s="1"/>
  <c r="L202" i="7944"/>
  <c r="H378" i="7942"/>
  <c r="D222" i="7950"/>
  <c r="F362" i="7950"/>
  <c r="F338" i="7950"/>
  <c r="F384" i="7950" s="1"/>
  <c r="R654" i="7950"/>
  <c r="N184" i="7942"/>
  <c r="N183" i="7942"/>
  <c r="O182" i="7942"/>
  <c r="O189" i="7942"/>
  <c r="P188" i="7942"/>
  <c r="S554" i="7950"/>
  <c r="S600" i="7950" s="1"/>
  <c r="S578" i="7950"/>
  <c r="E14" i="7950"/>
  <c r="E38" i="7950"/>
  <c r="J7" i="7944"/>
  <c r="F446" i="7950"/>
  <c r="F492" i="7950" s="1"/>
  <c r="F470" i="7950"/>
  <c r="P124" i="7941"/>
  <c r="Q782" i="18"/>
  <c r="P187" i="7942"/>
  <c r="F68" i="7950"/>
  <c r="F114" i="7950" s="1"/>
  <c r="F92" i="7950"/>
  <c r="K137" i="7944"/>
  <c r="O241" i="7944"/>
  <c r="P241" i="7944" s="1"/>
  <c r="Q241" i="7944" s="1"/>
  <c r="O187" i="7942"/>
  <c r="K430" i="7942"/>
  <c r="K432" i="7942"/>
  <c r="Q437" i="7942"/>
  <c r="Q438" i="7942" s="1"/>
  <c r="Q1005" i="7941" s="1"/>
  <c r="P438" i="7942"/>
  <c r="P700" i="7941"/>
  <c r="Q1202" i="18"/>
  <c r="E146" i="7950"/>
  <c r="E122" i="7950"/>
  <c r="E168" i="7950" s="1"/>
  <c r="I378" i="7942"/>
  <c r="M431" i="7942"/>
  <c r="O444" i="7942"/>
  <c r="Q186" i="7942"/>
  <c r="Q187" i="7942" s="1"/>
  <c r="Q434" i="7941" s="1"/>
  <c r="O116" i="7941"/>
  <c r="P774" i="18"/>
  <c r="F500" i="7950"/>
  <c r="F546" i="7950" s="1"/>
  <c r="F524" i="7950"/>
  <c r="O692" i="7941"/>
  <c r="P1194" i="18"/>
  <c r="J378" i="7942"/>
  <c r="E176" i="7950"/>
  <c r="E200" i="7950"/>
  <c r="S608" i="7950"/>
  <c r="S654" i="7950" s="1"/>
  <c r="S632" i="7950"/>
  <c r="P173" i="7942"/>
  <c r="F416" i="7950"/>
  <c r="F392" i="7950"/>
  <c r="M185" i="7942"/>
  <c r="P450" i="7942"/>
  <c r="M170" i="7942" l="1"/>
  <c r="M169" i="7942" s="1"/>
  <c r="P446" i="7942"/>
  <c r="L171" i="7942"/>
  <c r="N150" i="7944"/>
  <c r="M171" i="7942"/>
  <c r="P435" i="7942"/>
  <c r="K111" i="7944"/>
  <c r="K11" i="7944" s="1"/>
  <c r="L228" i="7944"/>
  <c r="M228" i="7944" s="1"/>
  <c r="N228" i="7944" s="1"/>
  <c r="O228" i="7944" s="1"/>
  <c r="P228" i="7944" s="1"/>
  <c r="Q228" i="7944" s="1"/>
  <c r="L137" i="7944"/>
  <c r="M137" i="7944" s="1"/>
  <c r="J111" i="7944"/>
  <c r="E222" i="7950"/>
  <c r="J285" i="18"/>
  <c r="K285" i="18" s="1"/>
  <c r="L285" i="18" s="1"/>
  <c r="M285" i="18"/>
  <c r="N285" i="18" s="1"/>
  <c r="O285" i="18" s="1"/>
  <c r="P285" i="18" s="1"/>
  <c r="Q285" i="18" s="1"/>
  <c r="I285" i="18"/>
  <c r="I297" i="18" s="1"/>
  <c r="C717" i="7949"/>
  <c r="H285" i="18"/>
  <c r="H297" i="18" s="1"/>
  <c r="I181" i="18"/>
  <c r="I193" i="18" s="1"/>
  <c r="C285" i="7949"/>
  <c r="L181" i="18"/>
  <c r="J181" i="18"/>
  <c r="H181" i="18"/>
  <c r="H193" i="18" s="1"/>
  <c r="M181" i="18"/>
  <c r="O181" i="18"/>
  <c r="N181" i="18"/>
  <c r="K181" i="18"/>
  <c r="H233" i="18"/>
  <c r="H245" i="18" s="1"/>
  <c r="C501" i="7949"/>
  <c r="I207" i="18"/>
  <c r="I219" i="18" s="1"/>
  <c r="H207" i="18"/>
  <c r="H219" i="18" s="1"/>
  <c r="C393" i="7949"/>
  <c r="Q207" i="18"/>
  <c r="N207" i="18"/>
  <c r="M207" i="18"/>
  <c r="O207" i="18"/>
  <c r="L207" i="18"/>
  <c r="P207" i="18"/>
  <c r="J207" i="18"/>
  <c r="K207" i="18" s="1"/>
  <c r="C69" i="7949"/>
  <c r="H129" i="18"/>
  <c r="H141" i="18" s="1"/>
  <c r="M432" i="7942"/>
  <c r="T632" i="7950"/>
  <c r="T608" i="7950"/>
  <c r="T654" i="7950" s="1"/>
  <c r="F146" i="7950"/>
  <c r="F122" i="7950"/>
  <c r="F168" i="7950" s="1"/>
  <c r="G446" i="7950"/>
  <c r="G492" i="7950" s="1"/>
  <c r="G470" i="7950"/>
  <c r="F14" i="7950"/>
  <c r="F38" i="7950"/>
  <c r="Q188" i="7942"/>
  <c r="Q189" i="7942" s="1"/>
  <c r="Q435" i="7941" s="1"/>
  <c r="P189" i="7942"/>
  <c r="P182" i="7942"/>
  <c r="P183" i="7942" s="1"/>
  <c r="M202" i="7944"/>
  <c r="L155" i="18"/>
  <c r="I155" i="18"/>
  <c r="I167" i="18" s="1"/>
  <c r="C177" i="7949"/>
  <c r="P155" i="18"/>
  <c r="K155" i="18"/>
  <c r="M155" i="18"/>
  <c r="Q155" i="18"/>
  <c r="H155" i="18"/>
  <c r="H167" i="18" s="1"/>
  <c r="J155" i="18"/>
  <c r="N155" i="18"/>
  <c r="O155" i="18"/>
  <c r="P1560" i="18"/>
  <c r="P1140" i="18"/>
  <c r="K412" i="7942"/>
  <c r="K420" i="7942"/>
  <c r="L384" i="7942"/>
  <c r="K406" i="7942"/>
  <c r="K413" i="7942"/>
  <c r="L413" i="7942"/>
  <c r="K388" i="7942"/>
  <c r="L409" i="7942"/>
  <c r="L420" i="7942"/>
  <c r="L531" i="7942"/>
  <c r="K425" i="7942"/>
  <c r="K411" i="7942"/>
  <c r="K424" i="7942"/>
  <c r="K408" i="7942"/>
  <c r="L393" i="7942"/>
  <c r="K399" i="7942"/>
  <c r="K393" i="7942"/>
  <c r="L381" i="7942"/>
  <c r="K395" i="7942"/>
  <c r="L380" i="7942"/>
  <c r="K394" i="7942"/>
  <c r="L401" i="7942"/>
  <c r="L392" i="7942"/>
  <c r="K392" i="7942"/>
  <c r="K400" i="7942"/>
  <c r="K419" i="7942"/>
  <c r="L416" i="7942"/>
  <c r="K405" i="7942"/>
  <c r="L427" i="7942"/>
  <c r="K421" i="7942"/>
  <c r="K384" i="7942"/>
  <c r="K397" i="7942"/>
  <c r="K426" i="7942"/>
  <c r="L403" i="7942"/>
  <c r="K410" i="7942"/>
  <c r="L405" i="7942"/>
  <c r="L379" i="7942"/>
  <c r="L387" i="7942"/>
  <c r="K391" i="7942"/>
  <c r="L391" i="7942"/>
  <c r="K415" i="7942"/>
  <c r="K422" i="7942"/>
  <c r="K396" i="7942"/>
  <c r="K385" i="7942"/>
  <c r="L408" i="7942"/>
  <c r="K387" i="7942"/>
  <c r="L411" i="7942"/>
  <c r="K389" i="7942"/>
  <c r="L383" i="7942"/>
  <c r="K398" i="7942"/>
  <c r="L400" i="7942"/>
  <c r="L425" i="7942"/>
  <c r="K427" i="7942"/>
  <c r="K383" i="7942"/>
  <c r="K402" i="7942"/>
  <c r="L388" i="7942"/>
  <c r="L402" i="7942"/>
  <c r="L382" i="7942"/>
  <c r="L415" i="7942"/>
  <c r="K390" i="7942"/>
  <c r="K403" i="7942"/>
  <c r="K531" i="7942"/>
  <c r="L407" i="7942"/>
  <c r="K414" i="7942"/>
  <c r="L414" i="7942"/>
  <c r="L426" i="7942"/>
  <c r="L418" i="7942"/>
  <c r="L428" i="7942"/>
  <c r="K407" i="7942"/>
  <c r="K386" i="7942"/>
  <c r="K380" i="7942"/>
  <c r="K416" i="7942"/>
  <c r="L398" i="7942"/>
  <c r="K409" i="7942"/>
  <c r="L424" i="7942"/>
  <c r="L404" i="7942"/>
  <c r="L396" i="7942"/>
  <c r="L385" i="7942"/>
  <c r="K401" i="7942"/>
  <c r="L422" i="7942"/>
  <c r="K428" i="7942"/>
  <c r="L419" i="7942"/>
  <c r="L406" i="7942"/>
  <c r="L394" i="7942"/>
  <c r="K382" i="7942"/>
  <c r="L399" i="7942"/>
  <c r="K418" i="7942"/>
  <c r="L421" i="7942"/>
  <c r="K417" i="7942"/>
  <c r="L395" i="7942"/>
  <c r="L412" i="7942"/>
  <c r="L410" i="7942"/>
  <c r="L390" i="7942"/>
  <c r="L389" i="7942"/>
  <c r="K404" i="7942"/>
  <c r="K423" i="7942"/>
  <c r="K379" i="7942"/>
  <c r="L423" i="7942"/>
  <c r="K381" i="7942"/>
  <c r="L386" i="7942"/>
  <c r="L417" i="7942"/>
  <c r="L397" i="7942"/>
  <c r="G68" i="7950"/>
  <c r="G114" i="7950" s="1"/>
  <c r="G92" i="7950"/>
  <c r="E60" i="7950"/>
  <c r="M270" i="7942"/>
  <c r="T554" i="7950"/>
  <c r="T600" i="7950" s="1"/>
  <c r="T578" i="7950"/>
  <c r="G362" i="7950"/>
  <c r="G338" i="7950"/>
  <c r="G384" i="7950" s="1"/>
  <c r="C447" i="7949"/>
  <c r="H220" i="18"/>
  <c r="H232" i="18" s="1"/>
  <c r="C609" i="7949"/>
  <c r="I259" i="18"/>
  <c r="I271" i="18" s="1"/>
  <c r="H259" i="18"/>
  <c r="H271" i="18" s="1"/>
  <c r="J259" i="18"/>
  <c r="H194" i="18"/>
  <c r="H206" i="18" s="1"/>
  <c r="C339" i="7949"/>
  <c r="H142" i="18"/>
  <c r="H154" i="18" s="1"/>
  <c r="C123" i="7949"/>
  <c r="H246" i="18"/>
  <c r="H258" i="18" s="1"/>
  <c r="C555" i="7949"/>
  <c r="F176" i="7950"/>
  <c r="F200" i="7950"/>
  <c r="O902" i="7941"/>
  <c r="P588" i="7941"/>
  <c r="P12" i="7941"/>
  <c r="O326" i="7941"/>
  <c r="Q1568" i="18"/>
  <c r="Q1306" i="18" s="1"/>
  <c r="Q1148" i="18"/>
  <c r="Q886" i="18" s="1"/>
  <c r="O150" i="7944"/>
  <c r="P150" i="7944" s="1"/>
  <c r="Q150" i="7944" s="1"/>
  <c r="N185" i="7942"/>
  <c r="O184" i="7942"/>
  <c r="G392" i="7950"/>
  <c r="G416" i="7950"/>
  <c r="G524" i="7950"/>
  <c r="G500" i="7950"/>
  <c r="G546" i="7950" s="1"/>
  <c r="M430" i="7942"/>
  <c r="M409" i="7942" s="1"/>
  <c r="P910" i="7941"/>
  <c r="Q596" i="7941"/>
  <c r="N431" i="7942"/>
  <c r="N430" i="7942" s="1"/>
  <c r="K55" i="7944"/>
  <c r="K33" i="7944"/>
  <c r="K42" i="7944"/>
  <c r="K57" i="7944"/>
  <c r="K25" i="7944"/>
  <c r="K40" i="7944"/>
  <c r="K44" i="7944"/>
  <c r="K56" i="7944"/>
  <c r="K32" i="7944"/>
  <c r="K46" i="7944"/>
  <c r="K51" i="7944"/>
  <c r="K22" i="7944"/>
  <c r="K52" i="7944"/>
  <c r="K27" i="7944"/>
  <c r="K48" i="7944"/>
  <c r="K31" i="7944"/>
  <c r="K29" i="7944"/>
  <c r="K49" i="7944"/>
  <c r="K36" i="7944"/>
  <c r="K24" i="7944"/>
  <c r="K34" i="7944"/>
  <c r="K39" i="7944"/>
  <c r="K30" i="7944"/>
  <c r="K28" i="7944"/>
  <c r="K47" i="7944"/>
  <c r="K26" i="7944"/>
  <c r="K37" i="7944"/>
  <c r="K23" i="7944"/>
  <c r="K54" i="7944"/>
  <c r="K53" i="7944"/>
  <c r="K38" i="7944"/>
  <c r="K43" i="7944"/>
  <c r="K41" i="7944"/>
  <c r="K50" i="7944"/>
  <c r="K35" i="7944"/>
  <c r="K45" i="7944"/>
  <c r="K21" i="7944"/>
  <c r="K12" i="7944"/>
  <c r="K13" i="7944"/>
  <c r="K20" i="7944"/>
  <c r="K19" i="7944"/>
  <c r="K18" i="7944"/>
  <c r="K16" i="7944"/>
  <c r="K15" i="7944"/>
  <c r="K10" i="7944"/>
  <c r="K8" i="7944"/>
  <c r="P334" i="7941"/>
  <c r="Q20" i="7941"/>
  <c r="O183" i="7942"/>
  <c r="Q124" i="7944"/>
  <c r="N170" i="7942" l="1"/>
  <c r="Q124" i="7941"/>
  <c r="Q700" i="7941"/>
  <c r="N137" i="7944"/>
  <c r="O137" i="7944" s="1"/>
  <c r="L111" i="7944"/>
  <c r="L48" i="7944" s="1"/>
  <c r="K14" i="7944"/>
  <c r="O170" i="7942"/>
  <c r="P170" i="7942" s="1"/>
  <c r="K17" i="7944"/>
  <c r="Q182" i="7942"/>
  <c r="Q183" i="7942" s="1"/>
  <c r="Q432" i="7941" s="1"/>
  <c r="K9" i="7944"/>
  <c r="F222" i="7950"/>
  <c r="Q435" i="7942"/>
  <c r="Q436" i="7942" s="1"/>
  <c r="Q1004" i="7941" s="1"/>
  <c r="P436" i="7942"/>
  <c r="I220" i="18"/>
  <c r="I232" i="18" s="1"/>
  <c r="I233" i="18"/>
  <c r="I245" i="18" s="1"/>
  <c r="I1093" i="18" s="1"/>
  <c r="I142" i="18"/>
  <c r="I154" i="18" s="1"/>
  <c r="I1506" i="18" s="1"/>
  <c r="I1095" i="18"/>
  <c r="I1515" i="18"/>
  <c r="H362" i="7950"/>
  <c r="H338" i="7950"/>
  <c r="H384" i="7950" s="1"/>
  <c r="N397" i="7942"/>
  <c r="M419" i="7942"/>
  <c r="M428" i="7942"/>
  <c r="N379" i="7942"/>
  <c r="N400" i="7942"/>
  <c r="M390" i="7942"/>
  <c r="M404" i="7942"/>
  <c r="M413" i="7942"/>
  <c r="M425" i="7942"/>
  <c r="M405" i="7942"/>
  <c r="N420" i="7942"/>
  <c r="N415" i="7942"/>
  <c r="N418" i="7942"/>
  <c r="M426" i="7942"/>
  <c r="N404" i="7942"/>
  <c r="N382" i="7942"/>
  <c r="M531" i="7942"/>
  <c r="H1087" i="18"/>
  <c r="H877" i="18" s="1"/>
  <c r="J167" i="18"/>
  <c r="H1507" i="18"/>
  <c r="H1297" i="18" s="1"/>
  <c r="N202" i="7944"/>
  <c r="O202" i="7944" s="1"/>
  <c r="P202" i="7944" s="1"/>
  <c r="Q202" i="7944" s="1"/>
  <c r="M111" i="7944"/>
  <c r="C529" i="7949"/>
  <c r="C551" i="7949"/>
  <c r="H1517" i="18"/>
  <c r="H1307" i="18" s="1"/>
  <c r="H1097" i="18"/>
  <c r="H887" i="18" s="1"/>
  <c r="J297" i="18"/>
  <c r="L26" i="7944"/>
  <c r="H500" i="7950"/>
  <c r="H546" i="7950" s="1"/>
  <c r="H524" i="7950"/>
  <c r="C151" i="7949"/>
  <c r="C173" i="7949"/>
  <c r="K259" i="18"/>
  <c r="L259" i="18" s="1"/>
  <c r="M259" i="18" s="1"/>
  <c r="N259" i="18" s="1"/>
  <c r="O259" i="18" s="1"/>
  <c r="P259" i="18" s="1"/>
  <c r="Q259" i="18" s="1"/>
  <c r="C637" i="7949"/>
  <c r="C659" i="7949" s="1"/>
  <c r="H1092" i="18"/>
  <c r="H882" i="18" s="1"/>
  <c r="H1512" i="18"/>
  <c r="H1302" i="18" s="1"/>
  <c r="U554" i="7950"/>
  <c r="U600" i="7950" s="1"/>
  <c r="U578" i="7950"/>
  <c r="N392" i="7942"/>
  <c r="N408" i="7942"/>
  <c r="N393" i="7942"/>
  <c r="N380" i="7942"/>
  <c r="M393" i="7942"/>
  <c r="M401" i="7942"/>
  <c r="N387" i="7942"/>
  <c r="N428" i="7942"/>
  <c r="N426" i="7942"/>
  <c r="N407" i="7942"/>
  <c r="M415" i="7942"/>
  <c r="N390" i="7942"/>
  <c r="N396" i="7942"/>
  <c r="M381" i="7942"/>
  <c r="M407" i="7942"/>
  <c r="C205" i="7949"/>
  <c r="F60" i="7950"/>
  <c r="G146" i="7950"/>
  <c r="G122" i="7950"/>
  <c r="G168" i="7950" s="1"/>
  <c r="C119" i="7949"/>
  <c r="C97" i="7949"/>
  <c r="L443" i="7949"/>
  <c r="F443" i="7949"/>
  <c r="K443" i="7949"/>
  <c r="I443" i="7949"/>
  <c r="C443" i="7949"/>
  <c r="E443" i="7949"/>
  <c r="J443" i="7949"/>
  <c r="G443" i="7949"/>
  <c r="H443" i="7949"/>
  <c r="C421" i="7949"/>
  <c r="M443" i="7949"/>
  <c r="H1093" i="18"/>
  <c r="H883" i="18" s="1"/>
  <c r="H1513" i="18"/>
  <c r="H1303" i="18" s="1"/>
  <c r="C745" i="7949"/>
  <c r="Q334" i="7941"/>
  <c r="L51" i="7944"/>
  <c r="H1094" i="18"/>
  <c r="H884" i="18" s="1"/>
  <c r="H1514" i="18"/>
  <c r="H1304" i="18" s="1"/>
  <c r="H1090" i="18"/>
  <c r="H880" i="18" s="1"/>
  <c r="H1510" i="18"/>
  <c r="H1300" i="18" s="1"/>
  <c r="J220" i="18"/>
  <c r="K220" i="18" s="1"/>
  <c r="L220" i="18" s="1"/>
  <c r="M220" i="18" s="1"/>
  <c r="H68" i="7950"/>
  <c r="H114" i="7950" s="1"/>
  <c r="H92" i="7950"/>
  <c r="N395" i="7942"/>
  <c r="N398" i="7942"/>
  <c r="N401" i="7942"/>
  <c r="M411" i="7942"/>
  <c r="M385" i="7942"/>
  <c r="M384" i="7942"/>
  <c r="N389" i="7942"/>
  <c r="N412" i="7942"/>
  <c r="N417" i="7942"/>
  <c r="M380" i="7942"/>
  <c r="M403" i="7942"/>
  <c r="L378" i="7942"/>
  <c r="M414" i="7942"/>
  <c r="M400" i="7942"/>
  <c r="N424" i="7942"/>
  <c r="N416" i="7942"/>
  <c r="M423" i="7942"/>
  <c r="M391" i="7942"/>
  <c r="P878" i="18"/>
  <c r="G38" i="7950"/>
  <c r="G14" i="7950"/>
  <c r="H1505" i="18"/>
  <c r="H1295" i="18" s="1"/>
  <c r="H1085" i="18"/>
  <c r="H875" i="18" s="1"/>
  <c r="L53" i="7944"/>
  <c r="Q910" i="7941"/>
  <c r="R1202" i="18"/>
  <c r="O431" i="7942"/>
  <c r="P431" i="7942" s="1"/>
  <c r="L21" i="7944"/>
  <c r="L52" i="7944"/>
  <c r="N432" i="7942"/>
  <c r="O185" i="7942"/>
  <c r="P184" i="7942"/>
  <c r="Q184" i="7942" s="1"/>
  <c r="Q185" i="7942" s="1"/>
  <c r="Q433" i="7941" s="1"/>
  <c r="R782" i="18"/>
  <c r="I246" i="18"/>
  <c r="I258" i="18" s="1"/>
  <c r="H1086" i="18"/>
  <c r="H876" i="18" s="1"/>
  <c r="H1506" i="18"/>
  <c r="H1296" i="18" s="1"/>
  <c r="I194" i="18"/>
  <c r="C497" i="7949"/>
  <c r="C475" i="7949"/>
  <c r="P169" i="7942"/>
  <c r="P171" i="7942"/>
  <c r="N406" i="7942"/>
  <c r="N388" i="7942"/>
  <c r="M395" i="7942"/>
  <c r="M382" i="7942"/>
  <c r="K378" i="7942"/>
  <c r="M383" i="7942"/>
  <c r="M417" i="7942"/>
  <c r="M379" i="7942"/>
  <c r="N411" i="7942"/>
  <c r="N391" i="7942"/>
  <c r="N419" i="7942"/>
  <c r="N403" i="7942"/>
  <c r="M392" i="7942"/>
  <c r="M386" i="7942"/>
  <c r="M422" i="7942"/>
  <c r="M420" i="7942"/>
  <c r="M402" i="7942"/>
  <c r="M387" i="7942"/>
  <c r="M394" i="7942"/>
  <c r="N386" i="7942"/>
  <c r="N399" i="7942"/>
  <c r="N405" i="7942"/>
  <c r="M399" i="7942"/>
  <c r="M427" i="7942"/>
  <c r="M410" i="7942"/>
  <c r="M396" i="7942"/>
  <c r="N421" i="7942"/>
  <c r="N423" i="7942"/>
  <c r="N402" i="7942"/>
  <c r="M389" i="7942"/>
  <c r="M406" i="7942"/>
  <c r="M424" i="7942"/>
  <c r="M416" i="7942"/>
  <c r="I1507" i="18"/>
  <c r="I1087" i="18"/>
  <c r="Q170" i="7942"/>
  <c r="H446" i="7950"/>
  <c r="H492" i="7950" s="1"/>
  <c r="H470" i="7950"/>
  <c r="H1511" i="18"/>
  <c r="H1301" i="18" s="1"/>
  <c r="J219" i="18"/>
  <c r="K219" i="18" s="1"/>
  <c r="L219" i="18" s="1"/>
  <c r="H1091" i="18"/>
  <c r="H881" i="18" s="1"/>
  <c r="P181" i="18"/>
  <c r="Q181" i="18" s="1"/>
  <c r="C313" i="7949"/>
  <c r="I1097" i="18"/>
  <c r="I1517" i="18"/>
  <c r="L15" i="7944"/>
  <c r="L20" i="7944"/>
  <c r="L23" i="7944"/>
  <c r="L28" i="7944"/>
  <c r="L22" i="7944"/>
  <c r="L56" i="7944"/>
  <c r="H416" i="7950"/>
  <c r="H392" i="7950"/>
  <c r="G200" i="7950"/>
  <c r="G176" i="7950"/>
  <c r="C583" i="7949"/>
  <c r="C605" i="7949"/>
  <c r="C367" i="7949"/>
  <c r="C389" i="7949"/>
  <c r="H1515" i="18"/>
  <c r="H1305" i="18" s="1"/>
  <c r="J271" i="18"/>
  <c r="H1095" i="18"/>
  <c r="H885" i="18" s="1"/>
  <c r="N409" i="7942"/>
  <c r="N413" i="7942"/>
  <c r="M418" i="7942"/>
  <c r="N410" i="7942"/>
  <c r="N385" i="7942"/>
  <c r="N422" i="7942"/>
  <c r="M388" i="7942"/>
  <c r="N425" i="7942"/>
  <c r="N384" i="7942"/>
  <c r="N414" i="7942"/>
  <c r="M421" i="7942"/>
  <c r="M398" i="7942"/>
  <c r="M412" i="7942"/>
  <c r="M408" i="7942"/>
  <c r="N381" i="7942"/>
  <c r="N427" i="7942"/>
  <c r="N531" i="7942"/>
  <c r="N383" i="7942"/>
  <c r="N394" i="7942"/>
  <c r="M397" i="7942"/>
  <c r="P1298" i="18"/>
  <c r="U608" i="7950"/>
  <c r="U654" i="7950" s="1"/>
  <c r="U632" i="7950"/>
  <c r="I129" i="18"/>
  <c r="I141" i="18" s="1"/>
  <c r="I1511" i="18"/>
  <c r="I1091" i="18"/>
  <c r="H1089" i="18"/>
  <c r="H879" i="18" s="1"/>
  <c r="J193" i="18"/>
  <c r="H1509" i="18"/>
  <c r="H1299" i="18" s="1"/>
  <c r="I1089" i="18"/>
  <c r="I1509" i="18"/>
  <c r="N171" i="7942" l="1"/>
  <c r="N169" i="7942"/>
  <c r="N270" i="7942" s="1"/>
  <c r="L31" i="7944"/>
  <c r="L34" i="7944"/>
  <c r="M34" i="7944" s="1"/>
  <c r="L19" i="7944"/>
  <c r="L50" i="7944"/>
  <c r="L13" i="7944"/>
  <c r="L43" i="7944"/>
  <c r="L57" i="7944"/>
  <c r="L24" i="7944"/>
  <c r="M24" i="7944" s="1"/>
  <c r="L45" i="7944"/>
  <c r="M45" i="7944" s="1"/>
  <c r="L25" i="7944"/>
  <c r="L47" i="7944"/>
  <c r="L10" i="7944"/>
  <c r="M10" i="7944" s="1"/>
  <c r="L40" i="7944"/>
  <c r="M40" i="7944" s="1"/>
  <c r="L32" i="7944"/>
  <c r="M32" i="7944" s="1"/>
  <c r="L54" i="7944"/>
  <c r="L39" i="7944"/>
  <c r="J233" i="18"/>
  <c r="J245" i="18" s="1"/>
  <c r="L17" i="7944"/>
  <c r="O169" i="7942"/>
  <c r="L30" i="7944"/>
  <c r="L36" i="7944"/>
  <c r="L33" i="7944"/>
  <c r="M33" i="7944" s="1"/>
  <c r="L12" i="7944"/>
  <c r="M12" i="7944" s="1"/>
  <c r="L38" i="7944"/>
  <c r="M38" i="7944" s="1"/>
  <c r="L37" i="7944"/>
  <c r="L11" i="7944"/>
  <c r="L46" i="7944"/>
  <c r="M46" i="7944" s="1"/>
  <c r="L8" i="7944"/>
  <c r="M8" i="7944" s="1"/>
  <c r="L42" i="7944"/>
  <c r="L16" i="7944"/>
  <c r="L9" i="7944"/>
  <c r="M9" i="7944" s="1"/>
  <c r="L55" i="7944"/>
  <c r="M55" i="7944" s="1"/>
  <c r="L29" i="7944"/>
  <c r="L41" i="7944"/>
  <c r="L27" i="7944"/>
  <c r="M27" i="7944" s="1"/>
  <c r="L18" i="7944"/>
  <c r="M18" i="7944" s="1"/>
  <c r="L44" i="7944"/>
  <c r="M44" i="7944" s="1"/>
  <c r="L35" i="7944"/>
  <c r="M35" i="7944" s="1"/>
  <c r="L14" i="7944"/>
  <c r="M14" i="7944" s="1"/>
  <c r="L49" i="7944"/>
  <c r="I1513" i="18"/>
  <c r="M19" i="7944"/>
  <c r="O171" i="7942"/>
  <c r="K7" i="7944"/>
  <c r="I1086" i="18"/>
  <c r="J142" i="18"/>
  <c r="J154" i="18" s="1"/>
  <c r="J1506" i="18" s="1"/>
  <c r="P185" i="7942"/>
  <c r="P430" i="7942"/>
  <c r="Q431" i="7942"/>
  <c r="Q432" i="7942" s="1"/>
  <c r="Q1002" i="7941" s="1"/>
  <c r="Q1001" i="7941" s="1"/>
  <c r="J232" i="18"/>
  <c r="J1092" i="18" s="1"/>
  <c r="M51" i="7944"/>
  <c r="M15" i="7944"/>
  <c r="M36" i="7944"/>
  <c r="M37" i="7944"/>
  <c r="H123" i="7941"/>
  <c r="I781" i="18"/>
  <c r="D343" i="7949"/>
  <c r="D389" i="7949" s="1"/>
  <c r="D367" i="7949"/>
  <c r="H693" i="7941"/>
  <c r="I1195" i="18"/>
  <c r="V608" i="7950"/>
  <c r="V654" i="7950" s="1"/>
  <c r="V632" i="7950"/>
  <c r="Q169" i="7942"/>
  <c r="Q171" i="7942"/>
  <c r="Q426" i="7941" s="1"/>
  <c r="Q425" i="7941" s="1"/>
  <c r="I116" i="18"/>
  <c r="I128" i="18" s="1"/>
  <c r="N116" i="18"/>
  <c r="O116" i="18" s="1"/>
  <c r="L116" i="18"/>
  <c r="M116" i="18" s="1"/>
  <c r="C15" i="7949"/>
  <c r="P116" i="18"/>
  <c r="Q116" i="18" s="1"/>
  <c r="J116" i="18"/>
  <c r="K116" i="18" s="1"/>
  <c r="H116" i="18"/>
  <c r="H128" i="18" s="1"/>
  <c r="Q430" i="7942"/>
  <c r="L1091" i="18"/>
  <c r="L1511" i="18"/>
  <c r="H695" i="7941"/>
  <c r="I1197" i="18"/>
  <c r="D559" i="7949"/>
  <c r="D605" i="7949" s="1"/>
  <c r="D583" i="7949"/>
  <c r="I206" i="18"/>
  <c r="H689" i="7941"/>
  <c r="I1191" i="18"/>
  <c r="M42" i="7944"/>
  <c r="M48" i="7944"/>
  <c r="M30" i="7944"/>
  <c r="J1509" i="18"/>
  <c r="J1089" i="18"/>
  <c r="J1515" i="18"/>
  <c r="J1095" i="18"/>
  <c r="G222" i="7950"/>
  <c r="M57" i="7944"/>
  <c r="M56" i="7944"/>
  <c r="M22" i="7944"/>
  <c r="M31" i="7944"/>
  <c r="M28" i="7944"/>
  <c r="M23" i="7944"/>
  <c r="M43" i="7944"/>
  <c r="M20" i="7944"/>
  <c r="C335" i="7949"/>
  <c r="D289" i="7949"/>
  <c r="D313" i="7949"/>
  <c r="K1091" i="18"/>
  <c r="K1511" i="18"/>
  <c r="J129" i="18"/>
  <c r="K129" i="18" s="1"/>
  <c r="L129" i="18" s="1"/>
  <c r="M129" i="18" s="1"/>
  <c r="M378" i="7942"/>
  <c r="D451" i="7949"/>
  <c r="D497" i="7949" s="1"/>
  <c r="D475" i="7949"/>
  <c r="M25" i="7944"/>
  <c r="M52" i="7944"/>
  <c r="M29" i="7944"/>
  <c r="M47" i="7944"/>
  <c r="M54" i="7944"/>
  <c r="M41" i="7944"/>
  <c r="M21" i="7944"/>
  <c r="M39" i="7944"/>
  <c r="M53" i="7944"/>
  <c r="M50" i="7944"/>
  <c r="G60" i="7950"/>
  <c r="H698" i="7941"/>
  <c r="I1200" i="18"/>
  <c r="M13" i="7944"/>
  <c r="C767" i="7949"/>
  <c r="D721" i="7949"/>
  <c r="D745" i="7949"/>
  <c r="H697" i="7941"/>
  <c r="I1199" i="18"/>
  <c r="D397" i="7949"/>
  <c r="D443" i="7949" s="1"/>
  <c r="D421" i="7949"/>
  <c r="D637" i="7949"/>
  <c r="D613" i="7949"/>
  <c r="D151" i="7949"/>
  <c r="D127" i="7949"/>
  <c r="D173" i="7949" s="1"/>
  <c r="I524" i="7950"/>
  <c r="I500" i="7950"/>
  <c r="I546" i="7950" s="1"/>
  <c r="M49" i="7944"/>
  <c r="M26" i="7944"/>
  <c r="H701" i="7941"/>
  <c r="I1203" i="18"/>
  <c r="J1087" i="18"/>
  <c r="J1507" i="18"/>
  <c r="I338" i="7950"/>
  <c r="I384" i="7950" s="1"/>
  <c r="I362" i="7950"/>
  <c r="H122" i="7950"/>
  <c r="H168" i="7950" s="1"/>
  <c r="H146" i="7950"/>
  <c r="H125" i="7941"/>
  <c r="I783" i="18"/>
  <c r="I392" i="7950"/>
  <c r="I438" i="7950" s="1"/>
  <c r="I416" i="7950"/>
  <c r="H119" i="7941"/>
  <c r="I777" i="18"/>
  <c r="I470" i="7950"/>
  <c r="I446" i="7950"/>
  <c r="I492" i="7950" s="1"/>
  <c r="I1514" i="18"/>
  <c r="I1094" i="18"/>
  <c r="H38" i="7950"/>
  <c r="H14" i="7950"/>
  <c r="I68" i="7950"/>
  <c r="I114" i="7950" s="1"/>
  <c r="I92" i="7950"/>
  <c r="H122" i="7941"/>
  <c r="I780" i="18"/>
  <c r="M11" i="7944"/>
  <c r="H121" i="7941"/>
  <c r="I779" i="18"/>
  <c r="C227" i="7949"/>
  <c r="D205" i="7949"/>
  <c r="D181" i="7949"/>
  <c r="H115" i="7941"/>
  <c r="I773" i="18"/>
  <c r="M16" i="7944"/>
  <c r="N111" i="7944"/>
  <c r="H114" i="7941"/>
  <c r="I772" i="18"/>
  <c r="P116" i="7941"/>
  <c r="Q774" i="18"/>
  <c r="I1092" i="18"/>
  <c r="I1512" i="18"/>
  <c r="H118" i="7941"/>
  <c r="I776" i="18"/>
  <c r="J1513" i="18"/>
  <c r="J1093" i="18"/>
  <c r="H120" i="7941"/>
  <c r="I778" i="18"/>
  <c r="H691" i="7941"/>
  <c r="I1193" i="18"/>
  <c r="H117" i="7941"/>
  <c r="I775" i="18"/>
  <c r="H699" i="7941"/>
  <c r="I1201" i="18"/>
  <c r="H176" i="7950"/>
  <c r="H200" i="7950"/>
  <c r="K193" i="18"/>
  <c r="I1505" i="18"/>
  <c r="I1085" i="18"/>
  <c r="P692" i="7941"/>
  <c r="Q1194" i="18"/>
  <c r="K271" i="18"/>
  <c r="K233" i="18"/>
  <c r="K245" i="18" s="1"/>
  <c r="M219" i="18"/>
  <c r="J1091" i="18"/>
  <c r="J1511" i="18"/>
  <c r="M17" i="7944"/>
  <c r="N220" i="18"/>
  <c r="O220" i="18" s="1"/>
  <c r="P220" i="18" s="1"/>
  <c r="Q220" i="18" s="1"/>
  <c r="H690" i="7941"/>
  <c r="I1192" i="18"/>
  <c r="O432" i="7942"/>
  <c r="O430" i="7942"/>
  <c r="H113" i="7941"/>
  <c r="I771" i="18"/>
  <c r="H694" i="7941"/>
  <c r="I1196" i="18"/>
  <c r="P432" i="7942"/>
  <c r="D73" i="7949"/>
  <c r="D119" i="7949" s="1"/>
  <c r="D97" i="7949"/>
  <c r="V578" i="7950"/>
  <c r="V554" i="7950"/>
  <c r="V600" i="7950" s="1"/>
  <c r="H696" i="7941"/>
  <c r="I1198" i="18"/>
  <c r="J194" i="18"/>
  <c r="K194" i="18" s="1"/>
  <c r="J246" i="18"/>
  <c r="K297" i="18"/>
  <c r="J1517" i="18"/>
  <c r="J1097" i="18"/>
  <c r="D529" i="7949"/>
  <c r="D505" i="7949"/>
  <c r="D551" i="7949" s="1"/>
  <c r="K167" i="18"/>
  <c r="N378" i="7942"/>
  <c r="O111" i="7944"/>
  <c r="P137" i="7944"/>
  <c r="O270" i="7942" l="1"/>
  <c r="Q270" i="7942"/>
  <c r="N129" i="18"/>
  <c r="O129" i="18" s="1"/>
  <c r="P129" i="18" s="1"/>
  <c r="Q129" i="18" s="1"/>
  <c r="P270" i="7942"/>
  <c r="J1086" i="18"/>
  <c r="K142" i="18"/>
  <c r="L142" i="18" s="1"/>
  <c r="M142" i="18" s="1"/>
  <c r="N142" i="18" s="1"/>
  <c r="O142" i="18" s="1"/>
  <c r="L7" i="7944"/>
  <c r="L233" i="18"/>
  <c r="M233" i="18" s="1"/>
  <c r="N233" i="18" s="1"/>
  <c r="O233" i="18" s="1"/>
  <c r="P233" i="18" s="1"/>
  <c r="N15" i="7944"/>
  <c r="J1512" i="18"/>
  <c r="K232" i="18"/>
  <c r="L232" i="18" s="1"/>
  <c r="L1512" i="18" s="1"/>
  <c r="N17" i="7944"/>
  <c r="O17" i="7944" s="1"/>
  <c r="H222" i="7950"/>
  <c r="N19" i="7944"/>
  <c r="O19" i="7944" s="1"/>
  <c r="N11" i="7944"/>
  <c r="O11" i="7944" s="1"/>
  <c r="N8" i="7944"/>
  <c r="O8" i="7944" s="1"/>
  <c r="O15" i="7944"/>
  <c r="N30" i="7944"/>
  <c r="O30" i="7944" s="1"/>
  <c r="N44" i="7944"/>
  <c r="O44" i="7944" s="1"/>
  <c r="N10" i="7944"/>
  <c r="O10" i="7944" s="1"/>
  <c r="D227" i="7949"/>
  <c r="H60" i="7950"/>
  <c r="K1513" i="18"/>
  <c r="K1093" i="18"/>
  <c r="L194" i="18"/>
  <c r="M194" i="18" s="1"/>
  <c r="N194" i="18" s="1"/>
  <c r="O194" i="18" s="1"/>
  <c r="P194" i="18" s="1"/>
  <c r="Q194" i="18" s="1"/>
  <c r="K1507" i="18"/>
  <c r="K1087" i="18"/>
  <c r="L167" i="18"/>
  <c r="M167" i="18" s="1"/>
  <c r="J68" i="7950"/>
  <c r="J114" i="7950" s="1"/>
  <c r="J92" i="7950"/>
  <c r="I1143" i="18"/>
  <c r="I21" i="7941"/>
  <c r="H335" i="7941"/>
  <c r="N46" i="7944"/>
  <c r="O46" i="7944" s="1"/>
  <c r="E397" i="7949"/>
  <c r="E421" i="7949"/>
  <c r="N18" i="7944"/>
  <c r="O18" i="7944" s="1"/>
  <c r="N27" i="7944"/>
  <c r="O27" i="7944" s="1"/>
  <c r="N41" i="7944"/>
  <c r="O41" i="7944" s="1"/>
  <c r="N29" i="7944"/>
  <c r="O29" i="7944" s="1"/>
  <c r="N55" i="7944"/>
  <c r="O55" i="7944" s="1"/>
  <c r="N23" i="7944"/>
  <c r="O23" i="7944" s="1"/>
  <c r="I19" i="7941"/>
  <c r="H333" i="7941"/>
  <c r="K246" i="18"/>
  <c r="L246" i="18" s="1"/>
  <c r="M246" i="18" s="1"/>
  <c r="N246" i="18" s="1"/>
  <c r="O246" i="18" s="1"/>
  <c r="P246" i="18" s="1"/>
  <c r="Q246" i="18" s="1"/>
  <c r="J258" i="18"/>
  <c r="I1137" i="18"/>
  <c r="I875" i="18" s="1"/>
  <c r="Q390" i="7942"/>
  <c r="O415" i="7942"/>
  <c r="Q386" i="7942"/>
  <c r="Q403" i="7942"/>
  <c r="P386" i="7942"/>
  <c r="O401" i="7942"/>
  <c r="Q423" i="7942"/>
  <c r="P393" i="7942"/>
  <c r="O419" i="7942"/>
  <c r="P402" i="7942"/>
  <c r="O389" i="7942"/>
  <c r="O402" i="7942"/>
  <c r="P391" i="7942"/>
  <c r="P395" i="7942"/>
  <c r="O388" i="7942"/>
  <c r="Q379" i="7942"/>
  <c r="Q416" i="7942"/>
  <c r="P428" i="7942"/>
  <c r="Q422" i="7942"/>
  <c r="O383" i="7942"/>
  <c r="P400" i="7942"/>
  <c r="O414" i="7942"/>
  <c r="P426" i="7942"/>
  <c r="Q409" i="7942"/>
  <c r="P419" i="7942"/>
  <c r="Q426" i="7942"/>
  <c r="Q381" i="7942"/>
  <c r="P385" i="7942"/>
  <c r="O379" i="7942"/>
  <c r="Q427" i="7942"/>
  <c r="P425" i="7942"/>
  <c r="P412" i="7942"/>
  <c r="P390" i="7942"/>
  <c r="O407" i="7942"/>
  <c r="Q399" i="7942"/>
  <c r="O384" i="7942"/>
  <c r="P379" i="7942"/>
  <c r="P406" i="7942"/>
  <c r="Q391" i="7942"/>
  <c r="O428" i="7942"/>
  <c r="Q417" i="7942"/>
  <c r="O380" i="7942"/>
  <c r="O395" i="7942"/>
  <c r="Q415" i="7942"/>
  <c r="O417" i="7942"/>
  <c r="O398" i="7942"/>
  <c r="Q406" i="7942"/>
  <c r="O392" i="7942"/>
  <c r="P410" i="7942"/>
  <c r="P401" i="7942"/>
  <c r="Q383" i="7942"/>
  <c r="O390" i="7942"/>
  <c r="P423" i="7942"/>
  <c r="O396" i="7942"/>
  <c r="Q425" i="7942"/>
  <c r="Q402" i="7942"/>
  <c r="O422" i="7942"/>
  <c r="Q396" i="7942"/>
  <c r="Q420" i="7942"/>
  <c r="P396" i="7942"/>
  <c r="Q388" i="7942"/>
  <c r="O397" i="7942"/>
  <c r="P427" i="7942"/>
  <c r="Q419" i="7942"/>
  <c r="O394" i="7942"/>
  <c r="P380" i="7942"/>
  <c r="O405" i="7942"/>
  <c r="P421" i="7942"/>
  <c r="Q398" i="7942"/>
  <c r="Q408" i="7942"/>
  <c r="Q421" i="7942"/>
  <c r="P408" i="7942"/>
  <c r="O411" i="7942"/>
  <c r="P414" i="7942"/>
  <c r="O427" i="7942"/>
  <c r="O386" i="7942"/>
  <c r="Q389" i="7942"/>
  <c r="O416" i="7942"/>
  <c r="Q387" i="7942"/>
  <c r="P392" i="7942"/>
  <c r="O391" i="7942"/>
  <c r="O408" i="7942"/>
  <c r="P420" i="7942"/>
  <c r="Q428" i="7942"/>
  <c r="Q392" i="7942"/>
  <c r="O409" i="7942"/>
  <c r="Q380" i="7942"/>
  <c r="Q412" i="7942"/>
  <c r="O531" i="7942"/>
  <c r="Q404" i="7942"/>
  <c r="P387" i="7942"/>
  <c r="P531" i="7942"/>
  <c r="O410" i="7942"/>
  <c r="Q395" i="7942"/>
  <c r="P403" i="7942"/>
  <c r="P424" i="7942"/>
  <c r="P389" i="7942"/>
  <c r="P381" i="7942"/>
  <c r="Q414" i="7942"/>
  <c r="O400" i="7942"/>
  <c r="Q385" i="7942"/>
  <c r="Q382" i="7942"/>
  <c r="O404" i="7942"/>
  <c r="O393" i="7942"/>
  <c r="P409" i="7942"/>
  <c r="O421" i="7942"/>
  <c r="P411" i="7942"/>
  <c r="Q400" i="7942"/>
  <c r="P422" i="7942"/>
  <c r="O403" i="7942"/>
  <c r="P413" i="7942"/>
  <c r="Q531" i="7942"/>
  <c r="P394" i="7942"/>
  <c r="O387" i="7942"/>
  <c r="P417" i="7942"/>
  <c r="O424" i="7942"/>
  <c r="Q405" i="7942"/>
  <c r="P416" i="7942"/>
  <c r="O406" i="7942"/>
  <c r="P388" i="7942"/>
  <c r="P384" i="7942"/>
  <c r="O418" i="7942"/>
  <c r="P397" i="7942"/>
  <c r="Q413" i="7942"/>
  <c r="O426" i="7942"/>
  <c r="Q394" i="7942"/>
  <c r="O420" i="7942"/>
  <c r="Q393" i="7942"/>
  <c r="O423" i="7942"/>
  <c r="Q407" i="7942"/>
  <c r="Q418" i="7942"/>
  <c r="P405" i="7942"/>
  <c r="O385" i="7942"/>
  <c r="Q424" i="7942"/>
  <c r="Q411" i="7942"/>
  <c r="Q384" i="7942"/>
  <c r="P415" i="7942"/>
  <c r="O399" i="7942"/>
  <c r="P398" i="7942"/>
  <c r="Q401" i="7942"/>
  <c r="P418" i="7942"/>
  <c r="P407" i="7942"/>
  <c r="O382" i="7942"/>
  <c r="P399" i="7942"/>
  <c r="O381" i="7942"/>
  <c r="Q410" i="7942"/>
  <c r="P404" i="7942"/>
  <c r="O412" i="7942"/>
  <c r="O413" i="7942"/>
  <c r="P383" i="7942"/>
  <c r="O425" i="7942"/>
  <c r="P382" i="7942"/>
  <c r="I176" i="7950"/>
  <c r="I200" i="7950"/>
  <c r="I1141" i="18"/>
  <c r="I1144" i="18"/>
  <c r="I882" i="18" s="1"/>
  <c r="I1142" i="18"/>
  <c r="Q1140" i="18"/>
  <c r="Q878" i="18" s="1"/>
  <c r="I11" i="7941"/>
  <c r="H325" i="7941"/>
  <c r="E181" i="7949"/>
  <c r="E205" i="7949"/>
  <c r="I1146" i="18"/>
  <c r="I884" i="18" s="1"/>
  <c r="I15" i="7941"/>
  <c r="H329" i="7941"/>
  <c r="I146" i="7950"/>
  <c r="I122" i="7950"/>
  <c r="I168" i="7950" s="1"/>
  <c r="N33" i="7944"/>
  <c r="O33" i="7944" s="1"/>
  <c r="E127" i="7949"/>
  <c r="E173" i="7949" s="1"/>
  <c r="E151" i="7949"/>
  <c r="E721" i="7949"/>
  <c r="E745" i="7949"/>
  <c r="N13" i="7944"/>
  <c r="O13" i="7944" s="1"/>
  <c r="N50" i="7944"/>
  <c r="O50" i="7944" s="1"/>
  <c r="N40" i="7944"/>
  <c r="O40" i="7944" s="1"/>
  <c r="N54" i="7944"/>
  <c r="O54" i="7944" s="1"/>
  <c r="N52" i="7944"/>
  <c r="O52" i="7944" s="1"/>
  <c r="N20" i="7944"/>
  <c r="O20" i="7944" s="1"/>
  <c r="N28" i="7944"/>
  <c r="O28" i="7944" s="1"/>
  <c r="N56" i="7944"/>
  <c r="O56" i="7944" s="1"/>
  <c r="N48" i="7944"/>
  <c r="I1557" i="18"/>
  <c r="N51" i="7944"/>
  <c r="E583" i="7949"/>
  <c r="E559" i="7949"/>
  <c r="E605" i="7949" s="1"/>
  <c r="N12" i="7944"/>
  <c r="O12" i="7944" s="1"/>
  <c r="I1563" i="18"/>
  <c r="N37" i="7944"/>
  <c r="I1561" i="18"/>
  <c r="N36" i="7944"/>
  <c r="E367" i="7949"/>
  <c r="E343" i="7949"/>
  <c r="E389" i="7949" s="1"/>
  <c r="J141" i="18"/>
  <c r="E97" i="7949"/>
  <c r="E73" i="7949"/>
  <c r="E119" i="7949" s="1"/>
  <c r="I586" i="7941"/>
  <c r="H900" i="7941"/>
  <c r="M1091" i="18"/>
  <c r="M1511" i="18"/>
  <c r="H909" i="7941"/>
  <c r="I595" i="7941"/>
  <c r="I10" i="7941"/>
  <c r="H324" i="7941"/>
  <c r="I1139" i="18"/>
  <c r="N219" i="18"/>
  <c r="O219" i="18" s="1"/>
  <c r="P219" i="18" s="1"/>
  <c r="H1084" i="18"/>
  <c r="H1504" i="18"/>
  <c r="H115" i="18"/>
  <c r="J128" i="18"/>
  <c r="K1097" i="18"/>
  <c r="K1517" i="18"/>
  <c r="L297" i="18"/>
  <c r="Q1560" i="18"/>
  <c r="Q1298" i="18" s="1"/>
  <c r="I13" i="7941"/>
  <c r="H327" i="7941"/>
  <c r="I16" i="7941"/>
  <c r="H330" i="7941"/>
  <c r="I14" i="7941"/>
  <c r="H328" i="7941"/>
  <c r="Q12" i="7941"/>
  <c r="P326" i="7941"/>
  <c r="N16" i="7944"/>
  <c r="O16" i="7944" s="1"/>
  <c r="I1145" i="18"/>
  <c r="I18" i="7941"/>
  <c r="H332" i="7941"/>
  <c r="J392" i="7950"/>
  <c r="J438" i="7950" s="1"/>
  <c r="J416" i="7950"/>
  <c r="J338" i="7950"/>
  <c r="J384" i="7950" s="1"/>
  <c r="J362" i="7950"/>
  <c r="I1569" i="18"/>
  <c r="N26" i="7944"/>
  <c r="O26" i="7944" s="1"/>
  <c r="D659" i="7949"/>
  <c r="N9" i="7944"/>
  <c r="O9" i="7944" s="1"/>
  <c r="I1565" i="18"/>
  <c r="D767" i="7949"/>
  <c r="N53" i="7944"/>
  <c r="O53" i="7944" s="1"/>
  <c r="N47" i="7944"/>
  <c r="O47" i="7944" s="1"/>
  <c r="N32" i="7944"/>
  <c r="O32" i="7944" s="1"/>
  <c r="E289" i="7949"/>
  <c r="E313" i="7949"/>
  <c r="N45" i="7944"/>
  <c r="N24" i="7944"/>
  <c r="N57" i="7944"/>
  <c r="N42" i="7944"/>
  <c r="H899" i="7941"/>
  <c r="I585" i="7941"/>
  <c r="H905" i="7941"/>
  <c r="I591" i="7941"/>
  <c r="Q397" i="7942"/>
  <c r="I115" i="18"/>
  <c r="I1504" i="18"/>
  <c r="I1084" i="18"/>
  <c r="W632" i="7950"/>
  <c r="W608" i="7950"/>
  <c r="W654" i="7950" s="1"/>
  <c r="H903" i="7941"/>
  <c r="I589" i="7941"/>
  <c r="Q137" i="7944"/>
  <c r="Q111" i="7944" s="1"/>
  <c r="P111" i="7944"/>
  <c r="P19" i="7944" s="1"/>
  <c r="I592" i="7941"/>
  <c r="H906" i="7941"/>
  <c r="H904" i="7941"/>
  <c r="I590" i="7941"/>
  <c r="K1095" i="18"/>
  <c r="K1515" i="18"/>
  <c r="L271" i="18"/>
  <c r="M271" i="18" s="1"/>
  <c r="N271" i="18" s="1"/>
  <c r="I587" i="7941"/>
  <c r="H901" i="7941"/>
  <c r="I594" i="7941"/>
  <c r="H908" i="7941"/>
  <c r="N22" i="7944"/>
  <c r="O22" i="7944" s="1"/>
  <c r="I1510" i="18"/>
  <c r="I1090" i="18"/>
  <c r="J206" i="18"/>
  <c r="K206" i="18" s="1"/>
  <c r="I9" i="7941"/>
  <c r="H323" i="7941"/>
  <c r="E529" i="7949"/>
  <c r="E505" i="7949"/>
  <c r="E551" i="7949" s="1"/>
  <c r="I1564" i="18"/>
  <c r="W578" i="7950"/>
  <c r="W554" i="7950"/>
  <c r="W600" i="7950" s="1"/>
  <c r="I1562" i="18"/>
  <c r="I1558" i="18"/>
  <c r="P902" i="7941"/>
  <c r="Q588" i="7941"/>
  <c r="L193" i="18"/>
  <c r="K1509" i="18"/>
  <c r="K1089" i="18"/>
  <c r="I1567" i="18"/>
  <c r="I1559" i="18"/>
  <c r="I1302" i="18"/>
  <c r="I696" i="7941" s="1"/>
  <c r="I1138" i="18"/>
  <c r="N14" i="7944"/>
  <c r="O14" i="7944" s="1"/>
  <c r="H331" i="7941"/>
  <c r="I17" i="7941"/>
  <c r="I14" i="7950"/>
  <c r="I38" i="7950"/>
  <c r="J470" i="7950"/>
  <c r="J446" i="7950"/>
  <c r="J492" i="7950" s="1"/>
  <c r="I1149" i="18"/>
  <c r="H911" i="7941"/>
  <c r="I597" i="7941"/>
  <c r="N49" i="7944"/>
  <c r="O49" i="7944" s="1"/>
  <c r="J500" i="7950"/>
  <c r="J546" i="7950" s="1"/>
  <c r="J524" i="7950"/>
  <c r="E613" i="7949"/>
  <c r="E637" i="7949"/>
  <c r="I593" i="7941"/>
  <c r="H907" i="7941"/>
  <c r="I1566" i="18"/>
  <c r="N39" i="7944"/>
  <c r="O39" i="7944" s="1"/>
  <c r="N21" i="7944"/>
  <c r="O21" i="7944" s="1"/>
  <c r="N34" i="7944"/>
  <c r="O34" i="7944" s="1"/>
  <c r="N25" i="7944"/>
  <c r="O25" i="7944" s="1"/>
  <c r="E451" i="7949"/>
  <c r="E497" i="7949" s="1"/>
  <c r="E475" i="7949"/>
  <c r="D335" i="7949"/>
  <c r="N43" i="7944"/>
  <c r="O43" i="7944" s="1"/>
  <c r="N31" i="7944"/>
  <c r="O31" i="7944" s="1"/>
  <c r="N38" i="7944"/>
  <c r="O38" i="7944" s="1"/>
  <c r="M7" i="7944"/>
  <c r="N35" i="7944"/>
  <c r="C43" i="7949"/>
  <c r="I1147" i="18"/>
  <c r="P142" i="18" l="1"/>
  <c r="Q142" i="18" s="1"/>
  <c r="I113" i="7941"/>
  <c r="I122" i="7941"/>
  <c r="Q116" i="7941"/>
  <c r="Q692" i="7941"/>
  <c r="K154" i="18"/>
  <c r="K1506" i="18" s="1"/>
  <c r="Q233" i="18"/>
  <c r="L245" i="18"/>
  <c r="M245" i="18" s="1"/>
  <c r="N245" i="18" s="1"/>
  <c r="N1513" i="18" s="1"/>
  <c r="K1512" i="18"/>
  <c r="M232" i="18"/>
  <c r="M1092" i="18" s="1"/>
  <c r="L1092" i="18"/>
  <c r="K1092" i="18"/>
  <c r="I880" i="18"/>
  <c r="P30" i="7944"/>
  <c r="Q30" i="7944" s="1"/>
  <c r="R30" i="7944" s="1"/>
  <c r="N29" i="7946" s="1"/>
  <c r="O29" i="7946" s="1"/>
  <c r="P25" i="7944"/>
  <c r="Q25" i="7944" s="1"/>
  <c r="R25" i="7944" s="1"/>
  <c r="N24" i="7946" s="1"/>
  <c r="O24" i="7946" s="1"/>
  <c r="P39" i="7944"/>
  <c r="Q39" i="7944" s="1"/>
  <c r="R39" i="7944" s="1"/>
  <c r="N38" i="7946" s="1"/>
  <c r="O38" i="7946" s="1"/>
  <c r="P54" i="7944"/>
  <c r="Q54" i="7944" s="1"/>
  <c r="R54" i="7944" s="1"/>
  <c r="N53" i="7946" s="1"/>
  <c r="O53" i="7946" s="1"/>
  <c r="P31" i="7944"/>
  <c r="Q31" i="7944" s="1"/>
  <c r="R31" i="7944" s="1"/>
  <c r="N30" i="7946" s="1"/>
  <c r="O30" i="7946" s="1"/>
  <c r="I906" i="7941"/>
  <c r="Q902" i="7941"/>
  <c r="Q19" i="7944"/>
  <c r="R19" i="7944" s="1"/>
  <c r="N18" i="7946" s="1"/>
  <c r="I1300" i="18"/>
  <c r="I60" i="7950"/>
  <c r="P9" i="7944"/>
  <c r="Q9" i="7944" s="1"/>
  <c r="R9" i="7944" s="1"/>
  <c r="N8" i="7946" s="1"/>
  <c r="P27" i="7944"/>
  <c r="Q27" i="7944" s="1"/>
  <c r="R27" i="7944" s="1"/>
  <c r="N26" i="7946" s="1"/>
  <c r="O26" i="7946" s="1"/>
  <c r="E335" i="7949"/>
  <c r="P29" i="7944"/>
  <c r="Q29" i="7944" s="1"/>
  <c r="R29" i="7944" s="1"/>
  <c r="N28" i="7946" s="1"/>
  <c r="O28" i="7946" s="1"/>
  <c r="I120" i="7941"/>
  <c r="I330" i="7941" s="1"/>
  <c r="J778" i="18"/>
  <c r="J1144" i="18" s="1"/>
  <c r="J882" i="18" s="1"/>
  <c r="P23" i="7944"/>
  <c r="Q23" i="7944" s="1"/>
  <c r="R23" i="7944" s="1"/>
  <c r="N22" i="7946" s="1"/>
  <c r="O22" i="7946" s="1"/>
  <c r="P43" i="7944"/>
  <c r="Q43" i="7944" s="1"/>
  <c r="R43" i="7944" s="1"/>
  <c r="N42" i="7946" s="1"/>
  <c r="O42" i="7946" s="1"/>
  <c r="P21" i="7944"/>
  <c r="Q21" i="7944" s="1"/>
  <c r="R21" i="7944" s="1"/>
  <c r="N20" i="7946" s="1"/>
  <c r="J1198" i="18"/>
  <c r="J1564" i="18" s="1"/>
  <c r="J1302" i="18" s="1"/>
  <c r="J696" i="7941" s="1"/>
  <c r="P32" i="7944"/>
  <c r="Q32" i="7944" s="1"/>
  <c r="R32" i="7944" s="1"/>
  <c r="N31" i="7946" s="1"/>
  <c r="O31" i="7946" s="1"/>
  <c r="P40" i="7944"/>
  <c r="Q40" i="7944" s="1"/>
  <c r="R40" i="7944" s="1"/>
  <c r="N39" i="7946" s="1"/>
  <c r="O39" i="7946" s="1"/>
  <c r="J771" i="18"/>
  <c r="J1137" i="18" s="1"/>
  <c r="P41" i="7944"/>
  <c r="Q41" i="7944" s="1"/>
  <c r="R41" i="7944" s="1"/>
  <c r="N40" i="7946" s="1"/>
  <c r="O40" i="7946" s="1"/>
  <c r="N167" i="18"/>
  <c r="O167" i="18" s="1"/>
  <c r="P18" i="7944"/>
  <c r="Q18" i="7944" s="1"/>
  <c r="R18" i="7944" s="1"/>
  <c r="N17" i="7946" s="1"/>
  <c r="P14" i="7944"/>
  <c r="Q14" i="7944" s="1"/>
  <c r="R14" i="7944" s="1"/>
  <c r="N13" i="7946" s="1"/>
  <c r="P50" i="7944"/>
  <c r="Q50" i="7944" s="1"/>
  <c r="R50" i="7944" s="1"/>
  <c r="N49" i="7946" s="1"/>
  <c r="O49" i="7946" s="1"/>
  <c r="P55" i="7944"/>
  <c r="Q55" i="7944" s="1"/>
  <c r="R55" i="7944" s="1"/>
  <c r="N54" i="7946" s="1"/>
  <c r="O54" i="7946" s="1"/>
  <c r="P34" i="7944"/>
  <c r="Q34" i="7944" s="1"/>
  <c r="R34" i="7944" s="1"/>
  <c r="N33" i="7946" s="1"/>
  <c r="O33" i="7946" s="1"/>
  <c r="P33" i="7944"/>
  <c r="Q33" i="7944" s="1"/>
  <c r="R33" i="7944" s="1"/>
  <c r="N32" i="7946" s="1"/>
  <c r="O32" i="7946" s="1"/>
  <c r="P8" i="7944"/>
  <c r="Q8" i="7944" s="1"/>
  <c r="P53" i="7944"/>
  <c r="Q53" i="7944" s="1"/>
  <c r="R53" i="7944" s="1"/>
  <c r="N52" i="7946" s="1"/>
  <c r="O52" i="7946" s="1"/>
  <c r="N7" i="7944"/>
  <c r="P16" i="7944"/>
  <c r="Q16" i="7944" s="1"/>
  <c r="R16" i="7944" s="1"/>
  <c r="N15" i="7946" s="1"/>
  <c r="P46" i="7944"/>
  <c r="Q46" i="7944" s="1"/>
  <c r="R46" i="7944" s="1"/>
  <c r="N45" i="7946" s="1"/>
  <c r="O45" i="7946" s="1"/>
  <c r="N1515" i="18"/>
  <c r="N1095" i="18"/>
  <c r="O271" i="18"/>
  <c r="P38" i="7944"/>
  <c r="Q38" i="7944" s="1"/>
  <c r="R38" i="7944" s="1"/>
  <c r="N37" i="7946" s="1"/>
  <c r="O37" i="7946" s="1"/>
  <c r="F505" i="7949"/>
  <c r="F551" i="7949" s="1"/>
  <c r="F529" i="7949"/>
  <c r="Q219" i="18"/>
  <c r="P1511" i="18"/>
  <c r="P1091" i="18"/>
  <c r="K338" i="7950"/>
  <c r="K384" i="7950" s="1"/>
  <c r="K362" i="7950"/>
  <c r="F97" i="7949"/>
  <c r="F73" i="7949"/>
  <c r="F119" i="7949" s="1"/>
  <c r="M1093" i="18"/>
  <c r="C65" i="7949"/>
  <c r="D43" i="7949"/>
  <c r="D19" i="7949"/>
  <c r="O35" i="7944"/>
  <c r="P35" i="7944" s="1"/>
  <c r="Q35" i="7944" s="1"/>
  <c r="R35" i="7944" s="1"/>
  <c r="N34" i="7946" s="1"/>
  <c r="O34" i="7946" s="1"/>
  <c r="I1304" i="18"/>
  <c r="E659" i="7949"/>
  <c r="P49" i="7944"/>
  <c r="Q49" i="7944" s="1"/>
  <c r="R49" i="7944" s="1"/>
  <c r="N48" i="7946" s="1"/>
  <c r="O48" i="7946" s="1"/>
  <c r="I887" i="18"/>
  <c r="I1297" i="18"/>
  <c r="L206" i="18"/>
  <c r="K1510" i="18"/>
  <c r="K1090" i="18"/>
  <c r="J592" i="7941"/>
  <c r="P28" i="7944"/>
  <c r="Q28" i="7944" s="1"/>
  <c r="R28" i="7944" s="1"/>
  <c r="N27" i="7946" s="1"/>
  <c r="O27" i="7946" s="1"/>
  <c r="O42" i="7944"/>
  <c r="P42" i="7944" s="1"/>
  <c r="Q42" i="7944" s="1"/>
  <c r="R42" i="7944" s="1"/>
  <c r="N41" i="7946" s="1"/>
  <c r="O41" i="7946" s="1"/>
  <c r="O24" i="7944"/>
  <c r="P24" i="7944" s="1"/>
  <c r="Q24" i="7944" s="1"/>
  <c r="R24" i="7944" s="1"/>
  <c r="N23" i="7946" s="1"/>
  <c r="O23" i="7946" s="1"/>
  <c r="F289" i="7949"/>
  <c r="F313" i="7949"/>
  <c r="P26" i="7944"/>
  <c r="Q26" i="7944" s="1"/>
  <c r="R26" i="7944" s="1"/>
  <c r="N25" i="7946" s="1"/>
  <c r="O25" i="7946" s="1"/>
  <c r="I332" i="7941"/>
  <c r="J18" i="7941"/>
  <c r="H1294" i="18"/>
  <c r="H1503" i="18"/>
  <c r="I877" i="18"/>
  <c r="O36" i="7944"/>
  <c r="O37" i="7944"/>
  <c r="P37" i="7944" s="1"/>
  <c r="Q37" i="7944" s="1"/>
  <c r="R37" i="7944" s="1"/>
  <c r="N36" i="7946" s="1"/>
  <c r="O36" i="7946" s="1"/>
  <c r="I1301" i="18"/>
  <c r="F559" i="7949"/>
  <c r="F605" i="7949" s="1"/>
  <c r="F583" i="7949"/>
  <c r="P20" i="7944"/>
  <c r="Q20" i="7944" s="1"/>
  <c r="R20" i="7944" s="1"/>
  <c r="N19" i="7946" s="1"/>
  <c r="P52" i="7944"/>
  <c r="Q52" i="7944" s="1"/>
  <c r="R52" i="7944" s="1"/>
  <c r="N51" i="7946" s="1"/>
  <c r="O51" i="7946" s="1"/>
  <c r="E767" i="7949"/>
  <c r="J780" i="18"/>
  <c r="E227" i="7949"/>
  <c r="R774" i="18"/>
  <c r="I222" i="7950"/>
  <c r="P10" i="7944"/>
  <c r="Q10" i="7944" s="1"/>
  <c r="R10" i="7944" s="1"/>
  <c r="N9" i="7946" s="1"/>
  <c r="I881" i="18"/>
  <c r="M1087" i="18"/>
  <c r="M1507" i="18"/>
  <c r="F745" i="7949"/>
  <c r="F721" i="7949"/>
  <c r="J122" i="7950"/>
  <c r="J168" i="7950" s="1"/>
  <c r="J146" i="7950"/>
  <c r="F181" i="7949"/>
  <c r="F205" i="7949"/>
  <c r="J200" i="7950"/>
  <c r="J176" i="7950"/>
  <c r="P22" i="7944"/>
  <c r="Q22" i="7944" s="1"/>
  <c r="R22" i="7944" s="1"/>
  <c r="N21" i="7946" s="1"/>
  <c r="O21" i="7946" s="1"/>
  <c r="F451" i="7949"/>
  <c r="F497" i="7949" s="1"/>
  <c r="F475" i="7949"/>
  <c r="K524" i="7950"/>
  <c r="K500" i="7950"/>
  <c r="K546" i="7950" s="1"/>
  <c r="I876" i="18"/>
  <c r="L1509" i="18"/>
  <c r="L1089" i="18"/>
  <c r="M1515" i="18"/>
  <c r="M1095" i="18"/>
  <c r="P47" i="7944"/>
  <c r="Q47" i="7944" s="1"/>
  <c r="R47" i="7944" s="1"/>
  <c r="N46" i="7946" s="1"/>
  <c r="O46" i="7946" s="1"/>
  <c r="K392" i="7950"/>
  <c r="K416" i="7950"/>
  <c r="Q326" i="7941"/>
  <c r="M297" i="18"/>
  <c r="L1097" i="18"/>
  <c r="L1517" i="18"/>
  <c r="H1083" i="18"/>
  <c r="H874" i="18"/>
  <c r="J1085" i="18"/>
  <c r="J1505" i="18"/>
  <c r="K141" i="18"/>
  <c r="P12" i="7944"/>
  <c r="Q12" i="7944" s="1"/>
  <c r="R12" i="7944" s="1"/>
  <c r="N11" i="7946" s="1"/>
  <c r="O51" i="7944"/>
  <c r="P51" i="7944" s="1"/>
  <c r="Q51" i="7944" s="1"/>
  <c r="R51" i="7944" s="1"/>
  <c r="N50" i="7946" s="1"/>
  <c r="O50" i="7946" s="1"/>
  <c r="P56" i="7944"/>
  <c r="Q56" i="7944" s="1"/>
  <c r="R56" i="7944" s="1"/>
  <c r="N55" i="7946" s="1"/>
  <c r="O55" i="7946" s="1"/>
  <c r="F127" i="7949"/>
  <c r="F173" i="7949" s="1"/>
  <c r="F151" i="7949"/>
  <c r="J776" i="18"/>
  <c r="I1295" i="18"/>
  <c r="K92" i="7950"/>
  <c r="K68" i="7950"/>
  <c r="K114" i="7950" s="1"/>
  <c r="P44" i="7944"/>
  <c r="Q44" i="7944" s="1"/>
  <c r="R44" i="7944" s="1"/>
  <c r="N43" i="7946" s="1"/>
  <c r="O43" i="7946" s="1"/>
  <c r="P15" i="7944"/>
  <c r="Q15" i="7944" s="1"/>
  <c r="R15" i="7944" s="1"/>
  <c r="N14" i="7946" s="1"/>
  <c r="F637" i="7949"/>
  <c r="F613" i="7949"/>
  <c r="I1503" i="18"/>
  <c r="F343" i="7949"/>
  <c r="F389" i="7949" s="1"/>
  <c r="F367" i="7949"/>
  <c r="F397" i="7949"/>
  <c r="F421" i="7949"/>
  <c r="I885" i="18"/>
  <c r="O1511" i="18"/>
  <c r="O1091" i="18"/>
  <c r="K446" i="7950"/>
  <c r="K492" i="7950" s="1"/>
  <c r="K470" i="7950"/>
  <c r="J38" i="7950"/>
  <c r="J14" i="7950"/>
  <c r="I1305" i="18"/>
  <c r="M193" i="18"/>
  <c r="I1296" i="18"/>
  <c r="K1198" i="18"/>
  <c r="I323" i="7941"/>
  <c r="J9" i="7941"/>
  <c r="J1510" i="18"/>
  <c r="J1090" i="18"/>
  <c r="L1095" i="18"/>
  <c r="L1515" i="18"/>
  <c r="I1083" i="18"/>
  <c r="O57" i="7944"/>
  <c r="P57" i="7944" s="1"/>
  <c r="Q57" i="7944" s="1"/>
  <c r="R57" i="7944" s="1"/>
  <c r="N56" i="7946" s="1"/>
  <c r="O56" i="7946" s="1"/>
  <c r="O45" i="7944"/>
  <c r="P45" i="7944" s="1"/>
  <c r="Q45" i="7944" s="1"/>
  <c r="R45" i="7944" s="1"/>
  <c r="N44" i="7946" s="1"/>
  <c r="O44" i="7946" s="1"/>
  <c r="I1303" i="18"/>
  <c r="I1307" i="18"/>
  <c r="I883" i="18"/>
  <c r="R1194" i="18"/>
  <c r="K128" i="18"/>
  <c r="J1084" i="18"/>
  <c r="J1504" i="18"/>
  <c r="J115" i="18"/>
  <c r="N1091" i="18"/>
  <c r="N1511" i="18"/>
  <c r="I1299" i="18"/>
  <c r="O48" i="7944"/>
  <c r="P48" i="7944" s="1"/>
  <c r="Q48" i="7944" s="1"/>
  <c r="R48" i="7944" s="1"/>
  <c r="N47" i="7946" s="1"/>
  <c r="O47" i="7946" s="1"/>
  <c r="P13" i="7944"/>
  <c r="Q13" i="7944" s="1"/>
  <c r="R13" i="7944" s="1"/>
  <c r="N12" i="7946" s="1"/>
  <c r="P11" i="7944"/>
  <c r="Q11" i="7944" s="1"/>
  <c r="R11" i="7944" s="1"/>
  <c r="N10" i="7946" s="1"/>
  <c r="I879" i="18"/>
  <c r="Q378" i="7942"/>
  <c r="P378" i="7942"/>
  <c r="O378" i="7942"/>
  <c r="J1094" i="18"/>
  <c r="J1514" i="18"/>
  <c r="K258" i="18"/>
  <c r="N232" i="18"/>
  <c r="M1512" i="18"/>
  <c r="L1507" i="18"/>
  <c r="L1087" i="18"/>
  <c r="P17" i="7944"/>
  <c r="Q17" i="7944" s="1"/>
  <c r="L1093" i="18"/>
  <c r="L1513" i="18"/>
  <c r="M1513" i="18" l="1"/>
  <c r="N1093" i="18"/>
  <c r="J120" i="7941"/>
  <c r="I118" i="7941"/>
  <c r="O245" i="18"/>
  <c r="L154" i="18"/>
  <c r="L1506" i="18" s="1"/>
  <c r="O18" i="7946"/>
  <c r="O11" i="7946"/>
  <c r="O20" i="7946"/>
  <c r="O19" i="7946"/>
  <c r="O17" i="7946"/>
  <c r="K1086" i="18"/>
  <c r="O12" i="7946"/>
  <c r="N1507" i="18"/>
  <c r="J875" i="18"/>
  <c r="J16" i="7941"/>
  <c r="J330" i="7941" s="1"/>
  <c r="N1087" i="18"/>
  <c r="K778" i="18"/>
  <c r="K1144" i="18" s="1"/>
  <c r="J906" i="7941"/>
  <c r="J60" i="7950"/>
  <c r="I694" i="7941"/>
  <c r="J1196" i="18"/>
  <c r="J1562" i="18" s="1"/>
  <c r="J1300" i="18" s="1"/>
  <c r="F767" i="7949"/>
  <c r="I119" i="7941"/>
  <c r="J777" i="18"/>
  <c r="O1093" i="18"/>
  <c r="O1513" i="18"/>
  <c r="P245" i="18"/>
  <c r="I693" i="7941"/>
  <c r="J1195" i="18"/>
  <c r="M1089" i="18"/>
  <c r="M1509" i="18"/>
  <c r="N193" i="18"/>
  <c r="K38" i="7950"/>
  <c r="K14" i="7950"/>
  <c r="I123" i="7941"/>
  <c r="J781" i="18"/>
  <c r="I695" i="7941"/>
  <c r="J1197" i="18"/>
  <c r="K592" i="7941"/>
  <c r="J1083" i="18"/>
  <c r="G505" i="7949"/>
  <c r="G551" i="7949" s="1"/>
  <c r="G529" i="7949"/>
  <c r="N1092" i="18"/>
  <c r="N1512" i="18"/>
  <c r="O232" i="18"/>
  <c r="L258" i="18"/>
  <c r="M258" i="18" s="1"/>
  <c r="K1514" i="18"/>
  <c r="K1094" i="18"/>
  <c r="K1084" i="18"/>
  <c r="K1504" i="18"/>
  <c r="K115" i="18"/>
  <c r="L128" i="18"/>
  <c r="I690" i="7941"/>
  <c r="J1192" i="18"/>
  <c r="G421" i="7949"/>
  <c r="G397" i="7949"/>
  <c r="F659" i="7949"/>
  <c r="J1142" i="18"/>
  <c r="J880" i="18" s="1"/>
  <c r="I114" i="7941"/>
  <c r="J772" i="18"/>
  <c r="G451" i="7949"/>
  <c r="G497" i="7949" s="1"/>
  <c r="G475" i="7949"/>
  <c r="K200" i="7950"/>
  <c r="K176" i="7950"/>
  <c r="J1146" i="18"/>
  <c r="I115" i="7941"/>
  <c r="J773" i="18"/>
  <c r="F335" i="7949"/>
  <c r="I698" i="7941"/>
  <c r="J1200" i="18"/>
  <c r="E43" i="7949"/>
  <c r="E19" i="7949"/>
  <c r="I699" i="7941"/>
  <c r="J1201" i="18"/>
  <c r="O1087" i="18"/>
  <c r="O1507" i="18"/>
  <c r="P36" i="7944"/>
  <c r="Q36" i="7944" s="1"/>
  <c r="R36" i="7944" s="1"/>
  <c r="N35" i="7946" s="1"/>
  <c r="O35" i="7946" s="1"/>
  <c r="O7" i="7944"/>
  <c r="G289" i="7949"/>
  <c r="G313" i="7949"/>
  <c r="R8" i="7944"/>
  <c r="I121" i="7941"/>
  <c r="J779" i="18"/>
  <c r="K1564" i="18"/>
  <c r="G613" i="7949"/>
  <c r="G637" i="7949"/>
  <c r="H112" i="7941"/>
  <c r="H873" i="18"/>
  <c r="I770" i="18"/>
  <c r="M1517" i="18"/>
  <c r="M1097" i="18"/>
  <c r="N297" i="18"/>
  <c r="O297" i="18" s="1"/>
  <c r="G205" i="7949"/>
  <c r="G181" i="7949"/>
  <c r="I125" i="7941"/>
  <c r="J783" i="18"/>
  <c r="P167" i="18"/>
  <c r="D65" i="7949"/>
  <c r="G73" i="7949"/>
  <c r="G119" i="7949" s="1"/>
  <c r="G97" i="7949"/>
  <c r="K1505" i="18"/>
  <c r="K1085" i="18"/>
  <c r="L392" i="7950"/>
  <c r="L416" i="7950"/>
  <c r="F227" i="7949"/>
  <c r="H1293" i="18"/>
  <c r="H688" i="7941"/>
  <c r="I1190" i="18"/>
  <c r="L338" i="7950"/>
  <c r="L384" i="7950" s="1"/>
  <c r="L362" i="7950"/>
  <c r="G151" i="7949"/>
  <c r="G127" i="7949"/>
  <c r="G173" i="7949" s="1"/>
  <c r="G721" i="7949"/>
  <c r="G745" i="7949"/>
  <c r="I117" i="7941"/>
  <c r="J775" i="18"/>
  <c r="J1503" i="18"/>
  <c r="I701" i="7941"/>
  <c r="J1203" i="18"/>
  <c r="I697" i="7941"/>
  <c r="J1199" i="18"/>
  <c r="L446" i="7950"/>
  <c r="L492" i="7950" s="1"/>
  <c r="L470" i="7950"/>
  <c r="G343" i="7949"/>
  <c r="G389" i="7949" s="1"/>
  <c r="G367" i="7949"/>
  <c r="L68" i="7950"/>
  <c r="L114" i="7950" s="1"/>
  <c r="L92" i="7950"/>
  <c r="I689" i="7941"/>
  <c r="J1191" i="18"/>
  <c r="L141" i="18"/>
  <c r="L500" i="7950"/>
  <c r="L546" i="7950" s="1"/>
  <c r="L524" i="7950"/>
  <c r="J222" i="7950"/>
  <c r="K122" i="7950"/>
  <c r="K168" i="7950" s="1"/>
  <c r="K146" i="7950"/>
  <c r="G583" i="7949"/>
  <c r="G559" i="7949"/>
  <c r="G605" i="7949" s="1"/>
  <c r="L1090" i="18"/>
  <c r="L1510" i="18"/>
  <c r="M206" i="18"/>
  <c r="I691" i="7941"/>
  <c r="J1193" i="18"/>
  <c r="Q1091" i="18"/>
  <c r="Q1511" i="18"/>
  <c r="P271" i="18"/>
  <c r="O1515" i="18"/>
  <c r="O1095" i="18"/>
  <c r="J113" i="7941" l="1"/>
  <c r="K9" i="7941" s="1"/>
  <c r="M154" i="18"/>
  <c r="N154" i="18" s="1"/>
  <c r="L1086" i="18"/>
  <c r="I328" i="7941"/>
  <c r="J14" i="7941"/>
  <c r="Q7" i="7944"/>
  <c r="K771" i="18"/>
  <c r="K1137" i="18" s="1"/>
  <c r="K16" i="7941"/>
  <c r="E65" i="7949"/>
  <c r="K1196" i="18"/>
  <c r="J694" i="7941"/>
  <c r="K222" i="7950"/>
  <c r="J118" i="7941"/>
  <c r="K776" i="18"/>
  <c r="K1142" i="18" s="1"/>
  <c r="K880" i="18" s="1"/>
  <c r="I904" i="7941"/>
  <c r="J590" i="7941"/>
  <c r="G767" i="7949"/>
  <c r="K60" i="7950"/>
  <c r="Q271" i="18"/>
  <c r="P1095" i="18"/>
  <c r="P1515" i="18"/>
  <c r="J1559" i="18"/>
  <c r="N206" i="18"/>
  <c r="O206" i="18" s="1"/>
  <c r="M1090" i="18"/>
  <c r="M1510" i="18"/>
  <c r="H583" i="7949"/>
  <c r="H559" i="7949"/>
  <c r="H605" i="7949" s="1"/>
  <c r="L115" i="18"/>
  <c r="L1085" i="18"/>
  <c r="L1505" i="18"/>
  <c r="M141" i="18"/>
  <c r="M92" i="7950"/>
  <c r="M68" i="7950"/>
  <c r="M114" i="7950" s="1"/>
  <c r="O8" i="7946" s="1"/>
  <c r="I911" i="7941"/>
  <c r="J597" i="7941"/>
  <c r="J13" i="7941"/>
  <c r="I327" i="7941"/>
  <c r="M338" i="7950"/>
  <c r="M384" i="7950" s="1"/>
  <c r="O13" i="7946" s="1"/>
  <c r="M362" i="7950"/>
  <c r="H687" i="7941"/>
  <c r="I584" i="7941"/>
  <c r="H898" i="7941"/>
  <c r="J1149" i="18"/>
  <c r="H205" i="7949"/>
  <c r="H181" i="7949"/>
  <c r="P297" i="18"/>
  <c r="Q297" i="18" s="1"/>
  <c r="O1097" i="18"/>
  <c r="O1517" i="18"/>
  <c r="I769" i="18"/>
  <c r="I1136" i="18"/>
  <c r="H613" i="7949"/>
  <c r="H637" i="7949"/>
  <c r="K1562" i="18"/>
  <c r="J1145" i="18"/>
  <c r="H313" i="7949"/>
  <c r="H289" i="7949"/>
  <c r="J11" i="7941"/>
  <c r="I325" i="7941"/>
  <c r="H421" i="7949"/>
  <c r="H397" i="7949"/>
  <c r="N258" i="18"/>
  <c r="M1094" i="18"/>
  <c r="M1514" i="18"/>
  <c r="O1092" i="18"/>
  <c r="O1512" i="18"/>
  <c r="J1147" i="18"/>
  <c r="N1509" i="18"/>
  <c r="N1089" i="18"/>
  <c r="J1143" i="18"/>
  <c r="M524" i="7950"/>
  <c r="M500" i="7950"/>
  <c r="J1565" i="18"/>
  <c r="G659" i="7949"/>
  <c r="F43" i="7949"/>
  <c r="F19" i="7949"/>
  <c r="P232" i="18"/>
  <c r="J1563" i="18"/>
  <c r="P1513" i="18"/>
  <c r="P1093" i="18"/>
  <c r="Q245" i="18"/>
  <c r="J15" i="7941"/>
  <c r="I329" i="7941"/>
  <c r="L122" i="7950"/>
  <c r="L168" i="7950" s="1"/>
  <c r="L146" i="7950"/>
  <c r="J1557" i="18"/>
  <c r="M446" i="7950"/>
  <c r="M492" i="7950" s="1"/>
  <c r="O15" i="7946" s="1"/>
  <c r="M470" i="7950"/>
  <c r="I907" i="7941"/>
  <c r="J593" i="7941"/>
  <c r="H151" i="7949"/>
  <c r="H127" i="7949"/>
  <c r="H173" i="7949" s="1"/>
  <c r="M392" i="7950"/>
  <c r="M438" i="7950" s="1"/>
  <c r="O14" i="7946" s="1"/>
  <c r="M416" i="7950"/>
  <c r="K875" i="18"/>
  <c r="H111" i="7941"/>
  <c r="I8" i="7941"/>
  <c r="H322" i="7941"/>
  <c r="K1302" i="18"/>
  <c r="J1567" i="18"/>
  <c r="J1566" i="18"/>
  <c r="L200" i="7950"/>
  <c r="L176" i="7950"/>
  <c r="I324" i="7941"/>
  <c r="J10" i="7941"/>
  <c r="J1558" i="18"/>
  <c r="M128" i="18"/>
  <c r="L1504" i="18"/>
  <c r="L1084" i="18"/>
  <c r="K1083" i="18"/>
  <c r="J591" i="7941"/>
  <c r="I905" i="7941"/>
  <c r="I903" i="7941"/>
  <c r="J589" i="7941"/>
  <c r="J587" i="7941"/>
  <c r="I901" i="7941"/>
  <c r="J21" i="7941"/>
  <c r="I335" i="7941"/>
  <c r="N1517" i="18"/>
  <c r="N1097" i="18"/>
  <c r="J17" i="7941"/>
  <c r="I331" i="7941"/>
  <c r="G335" i="7949"/>
  <c r="J1138" i="18"/>
  <c r="K1503" i="18"/>
  <c r="H529" i="7949"/>
  <c r="H505" i="7949"/>
  <c r="H551" i="7949" s="1"/>
  <c r="J19" i="7941"/>
  <c r="I333" i="7941"/>
  <c r="O193" i="18"/>
  <c r="P193" i="18" s="1"/>
  <c r="J1561" i="18"/>
  <c r="I899" i="7941"/>
  <c r="J585" i="7941"/>
  <c r="H367" i="7949"/>
  <c r="H343" i="7949"/>
  <c r="H389" i="7949" s="1"/>
  <c r="J1569" i="18"/>
  <c r="J1141" i="18"/>
  <c r="H745" i="7949"/>
  <c r="H721" i="7949"/>
  <c r="I1556" i="18"/>
  <c r="I1189" i="18"/>
  <c r="H97" i="7949"/>
  <c r="H73" i="7949"/>
  <c r="H119" i="7949" s="1"/>
  <c r="P1087" i="18"/>
  <c r="P1507" i="18"/>
  <c r="G227" i="7949"/>
  <c r="Q167" i="18"/>
  <c r="N7" i="7946"/>
  <c r="I909" i="7941"/>
  <c r="J595" i="7941"/>
  <c r="J594" i="7941"/>
  <c r="I908" i="7941"/>
  <c r="J1139" i="18"/>
  <c r="K882" i="18"/>
  <c r="H451" i="7949"/>
  <c r="H497" i="7949" s="1"/>
  <c r="H475" i="7949"/>
  <c r="J586" i="7941"/>
  <c r="I900" i="7941"/>
  <c r="L1094" i="18"/>
  <c r="L1514" i="18"/>
  <c r="P7" i="7944"/>
  <c r="L14" i="7950"/>
  <c r="L38" i="7950"/>
  <c r="J884" i="18"/>
  <c r="J323" i="7941" l="1"/>
  <c r="K14" i="7941"/>
  <c r="N1086" i="18"/>
  <c r="O154" i="18"/>
  <c r="P154" i="18" s="1"/>
  <c r="N1506" i="18"/>
  <c r="J328" i="7941"/>
  <c r="M1086" i="18"/>
  <c r="M1506" i="18"/>
  <c r="K590" i="7941"/>
  <c r="J904" i="7941"/>
  <c r="H659" i="7949"/>
  <c r="P206" i="18"/>
  <c r="Q206" i="18" s="1"/>
  <c r="L222" i="7950"/>
  <c r="N141" i="18"/>
  <c r="O141" i="18" s="1"/>
  <c r="H335" i="7949"/>
  <c r="P1089" i="18"/>
  <c r="P1509" i="18"/>
  <c r="I343" i="7949"/>
  <c r="I389" i="7949" s="1"/>
  <c r="I367" i="7949"/>
  <c r="Q1097" i="18"/>
  <c r="Q1517" i="18"/>
  <c r="M1504" i="18"/>
  <c r="M1084" i="18"/>
  <c r="M115" i="18"/>
  <c r="N416" i="7950"/>
  <c r="N392" i="7950"/>
  <c r="N438" i="7950" s="1"/>
  <c r="Q1513" i="18"/>
  <c r="Q1093" i="18"/>
  <c r="I181" i="7949"/>
  <c r="I205" i="7949"/>
  <c r="J1297" i="18"/>
  <c r="L60" i="7950"/>
  <c r="N128" i="18"/>
  <c r="Q1087" i="18"/>
  <c r="Q1507" i="18"/>
  <c r="J879" i="18"/>
  <c r="Q193" i="18"/>
  <c r="M200" i="7950"/>
  <c r="M176" i="7950"/>
  <c r="K696" i="7941"/>
  <c r="L1198" i="18"/>
  <c r="O1090" i="18"/>
  <c r="O1510" i="18"/>
  <c r="F65" i="7949"/>
  <c r="N524" i="7950"/>
  <c r="N500" i="7950"/>
  <c r="I313" i="7949"/>
  <c r="I289" i="7949"/>
  <c r="J887" i="18"/>
  <c r="N362" i="7950"/>
  <c r="N338" i="7950"/>
  <c r="N384" i="7950" s="1"/>
  <c r="L1083" i="18"/>
  <c r="I451" i="7949"/>
  <c r="I497" i="7949" s="1"/>
  <c r="I475" i="7949"/>
  <c r="J877" i="18"/>
  <c r="N68" i="7950"/>
  <c r="N114" i="7950" s="1"/>
  <c r="N92" i="7950"/>
  <c r="I583" i="7949"/>
  <c r="I559" i="7949"/>
  <c r="I605" i="7949" s="1"/>
  <c r="Q1515" i="18"/>
  <c r="Q1095" i="18"/>
  <c r="J122" i="7941"/>
  <c r="K780" i="18"/>
  <c r="K118" i="7941"/>
  <c r="L776" i="18"/>
  <c r="I97" i="7949"/>
  <c r="I73" i="7949"/>
  <c r="I119" i="7949" s="1"/>
  <c r="I1555" i="18"/>
  <c r="I1294" i="18"/>
  <c r="J1307" i="18"/>
  <c r="J1299" i="18"/>
  <c r="N446" i="7950"/>
  <c r="N492" i="7950" s="1"/>
  <c r="N470" i="7950"/>
  <c r="M146" i="7950"/>
  <c r="M122" i="7950"/>
  <c r="M168" i="7950" s="1"/>
  <c r="O9" i="7946" s="1"/>
  <c r="G19" i="7949"/>
  <c r="G43" i="7949"/>
  <c r="J1303" i="18"/>
  <c r="O258" i="18"/>
  <c r="N1094" i="18"/>
  <c r="N1514" i="18"/>
  <c r="I421" i="7949"/>
  <c r="I397" i="7949"/>
  <c r="J883" i="18"/>
  <c r="I1135" i="18"/>
  <c r="I874" i="18"/>
  <c r="P1097" i="18"/>
  <c r="P1517" i="18"/>
  <c r="H897" i="7941"/>
  <c r="M38" i="7950"/>
  <c r="M14" i="7950"/>
  <c r="I745" i="7949"/>
  <c r="I721" i="7949"/>
  <c r="J1305" i="18"/>
  <c r="I7" i="7941"/>
  <c r="J1295" i="18"/>
  <c r="P1092" i="18"/>
  <c r="P1512" i="18"/>
  <c r="Q232" i="18"/>
  <c r="K120" i="7941"/>
  <c r="L778" i="18"/>
  <c r="H767" i="7949"/>
  <c r="O1509" i="18"/>
  <c r="O1089" i="18"/>
  <c r="I505" i="7949"/>
  <c r="I551" i="7949" s="1"/>
  <c r="I529" i="7949"/>
  <c r="J876" i="18"/>
  <c r="L1503" i="18"/>
  <c r="J1296" i="18"/>
  <c r="J1304" i="18"/>
  <c r="H321" i="7941"/>
  <c r="K113" i="7941"/>
  <c r="L771" i="18"/>
  <c r="I127" i="7949"/>
  <c r="I173" i="7949" s="1"/>
  <c r="I151" i="7949"/>
  <c r="J1301" i="18"/>
  <c r="J881" i="18"/>
  <c r="J885" i="18"/>
  <c r="K1300" i="18"/>
  <c r="I613" i="7949"/>
  <c r="I637" i="7949"/>
  <c r="H227" i="7949"/>
  <c r="I583" i="7941"/>
  <c r="M1085" i="18"/>
  <c r="M1505" i="18"/>
  <c r="N1510" i="18"/>
  <c r="N1090" i="18"/>
  <c r="Q154" i="18" l="1"/>
  <c r="P1086" i="18"/>
  <c r="P1506" i="18"/>
  <c r="O1086" i="18"/>
  <c r="O1506" i="18"/>
  <c r="I335" i="7949"/>
  <c r="P1510" i="18"/>
  <c r="P1090" i="18"/>
  <c r="I659" i="7949"/>
  <c r="N1085" i="18"/>
  <c r="N1505" i="18"/>
  <c r="O1505" i="18"/>
  <c r="O1085" i="18"/>
  <c r="G65" i="7949"/>
  <c r="I227" i="7949"/>
  <c r="P141" i="18"/>
  <c r="Q141" i="18" s="1"/>
  <c r="Q1085" i="18" s="1"/>
  <c r="J123" i="7941"/>
  <c r="K781" i="18"/>
  <c r="J119" i="7941"/>
  <c r="K777" i="18"/>
  <c r="J745" i="7949"/>
  <c r="J721" i="7949"/>
  <c r="O1514" i="18"/>
  <c r="O1094" i="18"/>
  <c r="P258" i="18"/>
  <c r="N122" i="7950"/>
  <c r="N168" i="7950" s="1"/>
  <c r="N146" i="7950"/>
  <c r="O338" i="7950"/>
  <c r="O384" i="7950" s="1"/>
  <c r="O362" i="7950"/>
  <c r="J125" i="7941"/>
  <c r="K783" i="18"/>
  <c r="Q1509" i="18"/>
  <c r="Q1089" i="18"/>
  <c r="J343" i="7949"/>
  <c r="J389" i="7949" s="1"/>
  <c r="J367" i="7949"/>
  <c r="K694" i="7941"/>
  <c r="L1196" i="18"/>
  <c r="L1137" i="18"/>
  <c r="J529" i="7949"/>
  <c r="J505" i="7949"/>
  <c r="J551" i="7949" s="1"/>
  <c r="L1144" i="18"/>
  <c r="M60" i="7950"/>
  <c r="O7" i="7946" s="1"/>
  <c r="J397" i="7949"/>
  <c r="J421" i="7949"/>
  <c r="H19" i="7949"/>
  <c r="H43" i="7949"/>
  <c r="O470" i="7950"/>
  <c r="O446" i="7950"/>
  <c r="O492" i="7950" s="1"/>
  <c r="O92" i="7950"/>
  <c r="O68" i="7950"/>
  <c r="O114" i="7950" s="1"/>
  <c r="L592" i="7941"/>
  <c r="K906" i="7941"/>
  <c r="O392" i="7950"/>
  <c r="O438" i="7950" s="1"/>
  <c r="O416" i="7950"/>
  <c r="M1083" i="18"/>
  <c r="J114" i="7941"/>
  <c r="K772" i="18"/>
  <c r="Q1086" i="18"/>
  <c r="Q1506" i="18"/>
  <c r="K328" i="7941"/>
  <c r="L14" i="7941"/>
  <c r="J695" i="7941"/>
  <c r="K1197" i="18"/>
  <c r="L9" i="7941"/>
  <c r="K323" i="7941"/>
  <c r="J690" i="7941"/>
  <c r="K1192" i="18"/>
  <c r="L16" i="7941"/>
  <c r="K330" i="7941"/>
  <c r="J699" i="7941"/>
  <c r="K1201" i="18"/>
  <c r="N14" i="7950"/>
  <c r="N38" i="7950"/>
  <c r="J97" i="7949"/>
  <c r="J73" i="7949"/>
  <c r="J119" i="7949" s="1"/>
  <c r="K1146" i="18"/>
  <c r="J115" i="7941"/>
  <c r="K773" i="18"/>
  <c r="M222" i="7950"/>
  <c r="O10" i="7946" s="1"/>
  <c r="N1084" i="18"/>
  <c r="N1504" i="18"/>
  <c r="N115" i="18"/>
  <c r="O128" i="18"/>
  <c r="P128" i="18" s="1"/>
  <c r="Q128" i="18" s="1"/>
  <c r="M1503" i="18"/>
  <c r="I873" i="18"/>
  <c r="I112" i="7941"/>
  <c r="J770" i="18"/>
  <c r="J697" i="7941"/>
  <c r="K1199" i="18"/>
  <c r="I1293" i="18"/>
  <c r="I688" i="7941"/>
  <c r="J1190" i="18"/>
  <c r="L1564" i="18"/>
  <c r="J613" i="7949"/>
  <c r="J637" i="7949"/>
  <c r="J151" i="7949"/>
  <c r="J127" i="7949"/>
  <c r="J173" i="7949" s="1"/>
  <c r="J698" i="7941"/>
  <c r="K1200" i="18"/>
  <c r="Q1090" i="18"/>
  <c r="Q1510" i="18"/>
  <c r="Q1092" i="18"/>
  <c r="Q1512" i="18"/>
  <c r="J689" i="7941"/>
  <c r="K1191" i="18"/>
  <c r="I767" i="7949"/>
  <c r="J121" i="7941"/>
  <c r="K779" i="18"/>
  <c r="J693" i="7941"/>
  <c r="K1195" i="18"/>
  <c r="J701" i="7941"/>
  <c r="K1203" i="18"/>
  <c r="L1142" i="18"/>
  <c r="J332" i="7941"/>
  <c r="K18" i="7941"/>
  <c r="J583" i="7949"/>
  <c r="J559" i="7949"/>
  <c r="J605" i="7949" s="1"/>
  <c r="J475" i="7949"/>
  <c r="J451" i="7949"/>
  <c r="J497" i="7949" s="1"/>
  <c r="J313" i="7949"/>
  <c r="J289" i="7949"/>
  <c r="O524" i="7950"/>
  <c r="O500" i="7950"/>
  <c r="N176" i="7950"/>
  <c r="N200" i="7950"/>
  <c r="J117" i="7941"/>
  <c r="K775" i="18"/>
  <c r="J691" i="7941"/>
  <c r="K1193" i="18"/>
  <c r="J181" i="7949"/>
  <c r="J205" i="7949"/>
  <c r="P1085" i="18" l="1"/>
  <c r="P1505" i="18"/>
  <c r="J227" i="7949"/>
  <c r="Q1505" i="18"/>
  <c r="J767" i="7949"/>
  <c r="K13" i="7941"/>
  <c r="J327" i="7941"/>
  <c r="L875" i="18"/>
  <c r="K343" i="7949"/>
  <c r="K389" i="7949" s="1"/>
  <c r="K367" i="7949"/>
  <c r="O122" i="7950"/>
  <c r="O168" i="7950" s="1"/>
  <c r="O146" i="7950"/>
  <c r="P500" i="7950"/>
  <c r="P524" i="7950"/>
  <c r="K597" i="7941"/>
  <c r="J911" i="7941"/>
  <c r="K1557" i="18"/>
  <c r="J908" i="7941"/>
  <c r="K594" i="7941"/>
  <c r="J659" i="7949"/>
  <c r="J1556" i="18"/>
  <c r="J1189" i="18"/>
  <c r="J907" i="7941"/>
  <c r="K593" i="7941"/>
  <c r="N1503" i="18"/>
  <c r="K1139" i="18"/>
  <c r="N60" i="7950"/>
  <c r="H65" i="7949"/>
  <c r="L590" i="7941"/>
  <c r="K904" i="7941"/>
  <c r="K21" i="7941"/>
  <c r="J335" i="7941"/>
  <c r="K1143" i="18"/>
  <c r="K1569" i="18"/>
  <c r="K97" i="7949"/>
  <c r="K73" i="7949"/>
  <c r="K119" i="7949" s="1"/>
  <c r="J900" i="7941"/>
  <c r="K586" i="7941"/>
  <c r="J905" i="7941"/>
  <c r="K591" i="7941"/>
  <c r="K10" i="7941"/>
  <c r="J324" i="7941"/>
  <c r="P68" i="7950"/>
  <c r="P114" i="7950" s="1"/>
  <c r="P92" i="7950"/>
  <c r="I43" i="7949"/>
  <c r="I19" i="7949"/>
  <c r="L882" i="18"/>
  <c r="K1149" i="18"/>
  <c r="K19" i="7941"/>
  <c r="J333" i="7941"/>
  <c r="K1559" i="18"/>
  <c r="O176" i="7950"/>
  <c r="O200" i="7950"/>
  <c r="K451" i="7949"/>
  <c r="K497" i="7949" s="1"/>
  <c r="K475" i="7949"/>
  <c r="K1145" i="18"/>
  <c r="Q1084" i="18"/>
  <c r="Q1504" i="18"/>
  <c r="J901" i="7941"/>
  <c r="K587" i="7941"/>
  <c r="N222" i="7950"/>
  <c r="J335" i="7949"/>
  <c r="L880" i="18"/>
  <c r="K1561" i="18"/>
  <c r="J331" i="7941"/>
  <c r="K17" i="7941"/>
  <c r="K585" i="7941"/>
  <c r="J899" i="7941"/>
  <c r="I687" i="7941"/>
  <c r="J584" i="7941"/>
  <c r="I898" i="7941"/>
  <c r="J1136" i="18"/>
  <c r="J769" i="18"/>
  <c r="O1084" i="18"/>
  <c r="O1504" i="18"/>
  <c r="O115" i="18"/>
  <c r="N1083" i="18"/>
  <c r="K11" i="7941"/>
  <c r="J325" i="7941"/>
  <c r="K1567" i="18"/>
  <c r="P446" i="7950"/>
  <c r="P492" i="7950" s="1"/>
  <c r="P470" i="7950"/>
  <c r="K397" i="7949"/>
  <c r="K421" i="7949"/>
  <c r="P338" i="7950"/>
  <c r="P384" i="7950" s="1"/>
  <c r="P362" i="7950"/>
  <c r="Q258" i="18"/>
  <c r="Q115" i="18" s="1"/>
  <c r="P1094" i="18"/>
  <c r="P1514" i="18"/>
  <c r="K721" i="7949"/>
  <c r="K745" i="7949"/>
  <c r="J329" i="7941"/>
  <c r="K15" i="7941"/>
  <c r="K1566" i="18"/>
  <c r="K613" i="7949"/>
  <c r="K637" i="7949"/>
  <c r="K1565" i="18"/>
  <c r="O38" i="7950"/>
  <c r="O14" i="7950"/>
  <c r="L1562" i="18"/>
  <c r="K181" i="7949"/>
  <c r="K205" i="7949"/>
  <c r="K1141" i="18"/>
  <c r="K289" i="7949"/>
  <c r="K313" i="7949"/>
  <c r="K559" i="7949"/>
  <c r="K605" i="7949" s="1"/>
  <c r="K583" i="7949"/>
  <c r="J903" i="7941"/>
  <c r="K589" i="7941"/>
  <c r="K127" i="7949"/>
  <c r="K173" i="7949" s="1"/>
  <c r="K151" i="7949"/>
  <c r="L1302" i="18"/>
  <c r="I111" i="7941"/>
  <c r="J8" i="7941"/>
  <c r="I322" i="7941"/>
  <c r="P1084" i="18"/>
  <c r="P1504" i="18"/>
  <c r="P115" i="18"/>
  <c r="K884" i="18"/>
  <c r="K595" i="7941"/>
  <c r="J909" i="7941"/>
  <c r="K1558" i="18"/>
  <c r="K1563" i="18"/>
  <c r="K1138" i="18"/>
  <c r="P416" i="7950"/>
  <c r="P392" i="7950"/>
  <c r="P438" i="7950" s="1"/>
  <c r="K529" i="7949"/>
  <c r="K505" i="7949"/>
  <c r="K551" i="7949" s="1"/>
  <c r="K1147" i="18"/>
  <c r="O60" i="7950" l="1"/>
  <c r="K659" i="7949"/>
  <c r="K885" i="18"/>
  <c r="K122" i="7941"/>
  <c r="L780" i="18"/>
  <c r="J7" i="7941"/>
  <c r="L559" i="7949"/>
  <c r="L605" i="7949" s="1"/>
  <c r="L583" i="7949"/>
  <c r="L181" i="7949"/>
  <c r="L205" i="7949"/>
  <c r="L721" i="7949"/>
  <c r="L745" i="7949"/>
  <c r="J1555" i="18"/>
  <c r="J1294" i="18"/>
  <c r="L113" i="7941"/>
  <c r="M771" i="18"/>
  <c r="K1304" i="18"/>
  <c r="Q338" i="7950"/>
  <c r="Q384" i="7950" s="1"/>
  <c r="Q362" i="7950"/>
  <c r="K1305" i="18"/>
  <c r="P200" i="7950"/>
  <c r="P176" i="7950"/>
  <c r="K887" i="18"/>
  <c r="Q92" i="7950"/>
  <c r="Q68" i="7950"/>
  <c r="Q114" i="7950" s="1"/>
  <c r="K881" i="18"/>
  <c r="Q500" i="7950"/>
  <c r="Q524" i="7950"/>
  <c r="J43" i="7949"/>
  <c r="J19" i="7949"/>
  <c r="K1295" i="18"/>
  <c r="K876" i="18"/>
  <c r="K767" i="7949"/>
  <c r="Q470" i="7950"/>
  <c r="Q446" i="7950"/>
  <c r="Q492" i="7950" s="1"/>
  <c r="L529" i="7949"/>
  <c r="L505" i="7949"/>
  <c r="L551" i="7949" s="1"/>
  <c r="K1301" i="18"/>
  <c r="K1296" i="18"/>
  <c r="L313" i="7949"/>
  <c r="L289" i="7949"/>
  <c r="L1300" i="18"/>
  <c r="P14" i="7950"/>
  <c r="P38" i="7950"/>
  <c r="K1303" i="18"/>
  <c r="O1503" i="18"/>
  <c r="J1135" i="18"/>
  <c r="J874" i="18"/>
  <c r="K1299" i="18"/>
  <c r="L118" i="7941"/>
  <c r="M776" i="18"/>
  <c r="K883" i="18"/>
  <c r="O222" i="7950"/>
  <c r="L120" i="7941"/>
  <c r="M778" i="18"/>
  <c r="L73" i="7949"/>
  <c r="L119" i="7949" s="1"/>
  <c r="L97" i="7949"/>
  <c r="L367" i="7949"/>
  <c r="L343" i="7949"/>
  <c r="L389" i="7949" s="1"/>
  <c r="Q392" i="7950"/>
  <c r="Q438" i="7950" s="1"/>
  <c r="Q416" i="7950"/>
  <c r="P1503" i="18"/>
  <c r="L127" i="7949"/>
  <c r="L173" i="7949" s="1"/>
  <c r="L151" i="7949"/>
  <c r="K879" i="18"/>
  <c r="Q1514" i="18"/>
  <c r="Q1503" i="18" s="1"/>
  <c r="Q1094" i="18"/>
  <c r="Q1083" i="18" s="1"/>
  <c r="J583" i="7941"/>
  <c r="P122" i="7950"/>
  <c r="P168" i="7950" s="1"/>
  <c r="P146" i="7950"/>
  <c r="P1083" i="18"/>
  <c r="K227" i="7949"/>
  <c r="I321" i="7941"/>
  <c r="L696" i="7941"/>
  <c r="M1198" i="18"/>
  <c r="K335" i="7949"/>
  <c r="L637" i="7949"/>
  <c r="L613" i="7949"/>
  <c r="L421" i="7949"/>
  <c r="L397" i="7949"/>
  <c r="O1083" i="18"/>
  <c r="I897" i="7941"/>
  <c r="L475" i="7949"/>
  <c r="L451" i="7949"/>
  <c r="L497" i="7949" s="1"/>
  <c r="K1297" i="18"/>
  <c r="I65" i="7949"/>
  <c r="K1307" i="18"/>
  <c r="K877" i="18"/>
  <c r="L767" i="7949" l="1"/>
  <c r="P60" i="7950"/>
  <c r="L227" i="7949"/>
  <c r="L659" i="7949"/>
  <c r="J65" i="7949"/>
  <c r="P222" i="7950"/>
  <c r="K115" i="7941"/>
  <c r="L773" i="18"/>
  <c r="M289" i="7949"/>
  <c r="M313" i="7949"/>
  <c r="K690" i="7941"/>
  <c r="L1192" i="18"/>
  <c r="R362" i="7950"/>
  <c r="R338" i="7950"/>
  <c r="R384" i="7950" s="1"/>
  <c r="K698" i="7941"/>
  <c r="L1200" i="18"/>
  <c r="L18" i="7941"/>
  <c r="K332" i="7941"/>
  <c r="K701" i="7941"/>
  <c r="L1203" i="18"/>
  <c r="K691" i="7941"/>
  <c r="L1193" i="18"/>
  <c r="M397" i="7949"/>
  <c r="M421" i="7949"/>
  <c r="M592" i="7941"/>
  <c r="L906" i="7941"/>
  <c r="M151" i="7949"/>
  <c r="M127" i="7949"/>
  <c r="M173" i="7949" s="1"/>
  <c r="R392" i="7950"/>
  <c r="R438" i="7950" s="1"/>
  <c r="R416" i="7950"/>
  <c r="L330" i="7941"/>
  <c r="M16" i="7941"/>
  <c r="K121" i="7941"/>
  <c r="L779" i="18"/>
  <c r="M1142" i="18"/>
  <c r="K693" i="7941"/>
  <c r="L1195" i="18"/>
  <c r="M529" i="7949"/>
  <c r="M505" i="7949"/>
  <c r="Q176" i="7950"/>
  <c r="Q200" i="7950"/>
  <c r="M1137" i="18"/>
  <c r="J1293" i="18"/>
  <c r="J688" i="7941"/>
  <c r="K1190" i="18"/>
  <c r="M721" i="7949"/>
  <c r="M745" i="7949"/>
  <c r="M559" i="7949"/>
  <c r="M605" i="7949" s="1"/>
  <c r="M583" i="7949"/>
  <c r="M1564" i="18"/>
  <c r="K117" i="7941"/>
  <c r="L775" i="18"/>
  <c r="M1144" i="18"/>
  <c r="J873" i="18"/>
  <c r="J112" i="7941"/>
  <c r="K770" i="18"/>
  <c r="R92" i="7950"/>
  <c r="R68" i="7950"/>
  <c r="R114" i="7950" s="1"/>
  <c r="L328" i="7941"/>
  <c r="M14" i="7941"/>
  <c r="K697" i="7941"/>
  <c r="L1199" i="18"/>
  <c r="L694" i="7941"/>
  <c r="M1196" i="18"/>
  <c r="K689" i="7941"/>
  <c r="L1191" i="18"/>
  <c r="R524" i="7950"/>
  <c r="R500" i="7950"/>
  <c r="M9" i="7941"/>
  <c r="L323" i="7941"/>
  <c r="Q146" i="7950"/>
  <c r="Q122" i="7950"/>
  <c r="Q168" i="7950" s="1"/>
  <c r="K119" i="7941"/>
  <c r="L777" i="18"/>
  <c r="M475" i="7949"/>
  <c r="M451" i="7949"/>
  <c r="M497" i="7949" s="1"/>
  <c r="M637" i="7949"/>
  <c r="M613" i="7949"/>
  <c r="M367" i="7949"/>
  <c r="M343" i="7949"/>
  <c r="M389" i="7949" s="1"/>
  <c r="M97" i="7949"/>
  <c r="M73" i="7949"/>
  <c r="M119" i="7949" s="1"/>
  <c r="Q38" i="7950"/>
  <c r="Q14" i="7950"/>
  <c r="L335" i="7949"/>
  <c r="K695" i="7941"/>
  <c r="L1197" i="18"/>
  <c r="R446" i="7950"/>
  <c r="R492" i="7950" s="1"/>
  <c r="R470" i="7950"/>
  <c r="K114" i="7941"/>
  <c r="L772" i="18"/>
  <c r="K43" i="7949"/>
  <c r="K19" i="7949"/>
  <c r="K125" i="7941"/>
  <c r="L783" i="18"/>
  <c r="K699" i="7941"/>
  <c r="L1201" i="18"/>
  <c r="M205" i="7949"/>
  <c r="M181" i="7949"/>
  <c r="L1146" i="18"/>
  <c r="K123" i="7941"/>
  <c r="L781" i="18"/>
  <c r="M659" i="7949" l="1"/>
  <c r="Q222" i="7950"/>
  <c r="M335" i="7949"/>
  <c r="Q60" i="7950"/>
  <c r="M1562" i="18"/>
  <c r="K769" i="18"/>
  <c r="K1136" i="18"/>
  <c r="J687" i="7941"/>
  <c r="K584" i="7941"/>
  <c r="J898" i="7941"/>
  <c r="M880" i="18"/>
  <c r="L1145" i="18"/>
  <c r="S392" i="7950"/>
  <c r="S438" i="7950" s="1"/>
  <c r="S416" i="7950"/>
  <c r="L1559" i="18"/>
  <c r="N313" i="7949"/>
  <c r="N289" i="7949"/>
  <c r="L19" i="7941"/>
  <c r="K333" i="7941"/>
  <c r="M227" i="7949"/>
  <c r="L1149" i="18"/>
  <c r="L1138" i="18"/>
  <c r="L1563" i="18"/>
  <c r="R14" i="7950"/>
  <c r="R38" i="7950"/>
  <c r="N367" i="7949"/>
  <c r="N343" i="7949"/>
  <c r="N389" i="7949" s="1"/>
  <c r="N451" i="7949"/>
  <c r="N497" i="7949" s="1"/>
  <c r="N475" i="7949"/>
  <c r="R146" i="7950"/>
  <c r="R122" i="7950"/>
  <c r="R168" i="7950" s="1"/>
  <c r="S524" i="7950"/>
  <c r="S500" i="7950"/>
  <c r="M590" i="7941"/>
  <c r="L904" i="7941"/>
  <c r="J111" i="7941"/>
  <c r="K8" i="7941"/>
  <c r="J322" i="7941"/>
  <c r="L1141" i="18"/>
  <c r="N721" i="7949"/>
  <c r="N767" i="7949" s="1"/>
  <c r="N745" i="7949"/>
  <c r="N529" i="7949"/>
  <c r="N505" i="7949"/>
  <c r="L17" i="7941"/>
  <c r="K331" i="7941"/>
  <c r="K901" i="7941"/>
  <c r="L587" i="7941"/>
  <c r="S338" i="7950"/>
  <c r="S384" i="7950" s="1"/>
  <c r="S362" i="7950"/>
  <c r="L595" i="7941"/>
  <c r="K909" i="7941"/>
  <c r="L19" i="7949"/>
  <c r="L43" i="7949"/>
  <c r="L884" i="18"/>
  <c r="N205" i="7949"/>
  <c r="N181" i="7949"/>
  <c r="L21" i="7941"/>
  <c r="K335" i="7941"/>
  <c r="L10" i="7941"/>
  <c r="K324" i="7941"/>
  <c r="L591" i="7941"/>
  <c r="K905" i="7941"/>
  <c r="L1143" i="18"/>
  <c r="L1557" i="18"/>
  <c r="L1565" i="18"/>
  <c r="K327" i="7941"/>
  <c r="L13" i="7941"/>
  <c r="M767" i="7949"/>
  <c r="M875" i="18"/>
  <c r="R200" i="7950"/>
  <c r="R176" i="7950"/>
  <c r="L1561" i="18"/>
  <c r="N421" i="7949"/>
  <c r="N397" i="7949"/>
  <c r="N443" i="7949" s="1"/>
  <c r="L1569" i="18"/>
  <c r="L1566" i="18"/>
  <c r="L1558" i="18"/>
  <c r="L1139" i="18"/>
  <c r="L1147" i="18"/>
  <c r="L1567" i="18"/>
  <c r="K65" i="7949"/>
  <c r="S470" i="7950"/>
  <c r="S446" i="7950"/>
  <c r="S492" i="7950" s="1"/>
  <c r="N97" i="7949"/>
  <c r="N73" i="7949"/>
  <c r="N119" i="7949" s="1"/>
  <c r="N613" i="7949"/>
  <c r="N637" i="7949"/>
  <c r="L15" i="7941"/>
  <c r="K329" i="7941"/>
  <c r="K899" i="7941"/>
  <c r="L585" i="7941"/>
  <c r="L593" i="7941"/>
  <c r="K907" i="7941"/>
  <c r="S68" i="7950"/>
  <c r="S114" i="7950" s="1"/>
  <c r="S92" i="7950"/>
  <c r="M882" i="18"/>
  <c r="M1302" i="18"/>
  <c r="N559" i="7949"/>
  <c r="N605" i="7949" s="1"/>
  <c r="N583" i="7949"/>
  <c r="K1189" i="18"/>
  <c r="K1556" i="18"/>
  <c r="L589" i="7941"/>
  <c r="K903" i="7941"/>
  <c r="N151" i="7949"/>
  <c r="N127" i="7949"/>
  <c r="N173" i="7949" s="1"/>
  <c r="K911" i="7941"/>
  <c r="L597" i="7941"/>
  <c r="L594" i="7941"/>
  <c r="K908" i="7941"/>
  <c r="K900" i="7941"/>
  <c r="L586" i="7941"/>
  <c r="K325" i="7941"/>
  <c r="L11" i="7941"/>
  <c r="L65" i="7949" l="1"/>
  <c r="N659" i="7949"/>
  <c r="N335" i="7949"/>
  <c r="R60" i="7950"/>
  <c r="R222" i="7950"/>
  <c r="T446" i="7950"/>
  <c r="T492" i="7950" s="1"/>
  <c r="T470" i="7950"/>
  <c r="L1303" i="18"/>
  <c r="J321" i="7941"/>
  <c r="L1301" i="18"/>
  <c r="L1297" i="18"/>
  <c r="T392" i="7950"/>
  <c r="T438" i="7950" s="1"/>
  <c r="T416" i="7950"/>
  <c r="L877" i="18"/>
  <c r="M696" i="7941"/>
  <c r="N1198" i="18"/>
  <c r="L1307" i="18"/>
  <c r="O421" i="7949"/>
  <c r="O397" i="7949"/>
  <c r="O443" i="7949" s="1"/>
  <c r="L1299" i="18"/>
  <c r="S176" i="7950"/>
  <c r="S200" i="7950"/>
  <c r="L1295" i="18"/>
  <c r="L881" i="18"/>
  <c r="L122" i="7941"/>
  <c r="M780" i="18"/>
  <c r="L879" i="18"/>
  <c r="K7" i="7941"/>
  <c r="S146" i="7950"/>
  <c r="S122" i="7950"/>
  <c r="S168" i="7950" s="1"/>
  <c r="O343" i="7949"/>
  <c r="O389" i="7949" s="1"/>
  <c r="O367" i="7949"/>
  <c r="O289" i="7949"/>
  <c r="O313" i="7949"/>
  <c r="M118" i="7941"/>
  <c r="N776" i="18"/>
  <c r="K1135" i="18"/>
  <c r="K874" i="18"/>
  <c r="M1300" i="18"/>
  <c r="L885" i="18"/>
  <c r="O151" i="7949"/>
  <c r="O127" i="7949"/>
  <c r="O173" i="7949" s="1"/>
  <c r="K1555" i="18"/>
  <c r="K1294" i="18"/>
  <c r="M120" i="7941"/>
  <c r="N778" i="18"/>
  <c r="O97" i="7949"/>
  <c r="O73" i="7949"/>
  <c r="O119" i="7949" s="1"/>
  <c r="L1305" i="18"/>
  <c r="L1304" i="18"/>
  <c r="M113" i="7941"/>
  <c r="N771" i="18"/>
  <c r="N227" i="7949"/>
  <c r="M19" i="7949"/>
  <c r="M43" i="7949"/>
  <c r="T362" i="7950"/>
  <c r="T338" i="7950"/>
  <c r="T384" i="7950" s="1"/>
  <c r="O505" i="7949"/>
  <c r="O529" i="7949"/>
  <c r="O475" i="7949"/>
  <c r="O451" i="7949"/>
  <c r="O497" i="7949" s="1"/>
  <c r="S38" i="7950"/>
  <c r="S14" i="7950"/>
  <c r="L887" i="18"/>
  <c r="L883" i="18"/>
  <c r="J897" i="7941"/>
  <c r="O583" i="7949"/>
  <c r="O559" i="7949"/>
  <c r="O605" i="7949" s="1"/>
  <c r="T92" i="7950"/>
  <c r="T68" i="7950"/>
  <c r="T114" i="7950" s="1"/>
  <c r="O637" i="7949"/>
  <c r="O613" i="7949"/>
  <c r="L1296" i="18"/>
  <c r="O181" i="7949"/>
  <c r="O205" i="7949"/>
  <c r="O745" i="7949"/>
  <c r="O721" i="7949"/>
  <c r="O767" i="7949" s="1"/>
  <c r="T500" i="7950"/>
  <c r="T524" i="7950"/>
  <c r="L876" i="18"/>
  <c r="K583" i="7941"/>
  <c r="S222" i="7950" l="1"/>
  <c r="S60" i="7950"/>
  <c r="O227" i="7949"/>
  <c r="M65" i="7949"/>
  <c r="P127" i="7949"/>
  <c r="P173" i="7949" s="1"/>
  <c r="P151" i="7949"/>
  <c r="L114" i="7941"/>
  <c r="M772" i="18"/>
  <c r="P745" i="7949"/>
  <c r="P721" i="7949"/>
  <c r="P767" i="7949" s="1"/>
  <c r="O659" i="7949"/>
  <c r="U92" i="7950"/>
  <c r="U68" i="7950"/>
  <c r="U114" i="7950" s="1"/>
  <c r="N19" i="7949"/>
  <c r="N43" i="7949"/>
  <c r="L698" i="7941"/>
  <c r="M1200" i="18"/>
  <c r="P73" i="7949"/>
  <c r="P119" i="7949" s="1"/>
  <c r="P97" i="7949"/>
  <c r="N16" i="7941"/>
  <c r="M330" i="7941"/>
  <c r="K112" i="7941"/>
  <c r="K873" i="18"/>
  <c r="L770" i="18"/>
  <c r="P289" i="7949"/>
  <c r="P313" i="7949"/>
  <c r="L117" i="7941"/>
  <c r="M775" i="18"/>
  <c r="M18" i="7941"/>
  <c r="L332" i="7941"/>
  <c r="L119" i="7941"/>
  <c r="M777" i="18"/>
  <c r="L693" i="7941"/>
  <c r="M1195" i="18"/>
  <c r="L701" i="7941"/>
  <c r="M1203" i="18"/>
  <c r="L115" i="7941"/>
  <c r="M773" i="18"/>
  <c r="L691" i="7941"/>
  <c r="M1193" i="18"/>
  <c r="L697" i="7941"/>
  <c r="M1199" i="18"/>
  <c r="P583" i="7949"/>
  <c r="P559" i="7949"/>
  <c r="P605" i="7949" s="1"/>
  <c r="P529" i="7949"/>
  <c r="P505" i="7949"/>
  <c r="M323" i="7941"/>
  <c r="N9" i="7941"/>
  <c r="U500" i="7950"/>
  <c r="U524" i="7950"/>
  <c r="P637" i="7949"/>
  <c r="P613" i="7949"/>
  <c r="L121" i="7941"/>
  <c r="M779" i="18"/>
  <c r="L125" i="7941"/>
  <c r="M783" i="18"/>
  <c r="P475" i="7949"/>
  <c r="P451" i="7949"/>
  <c r="P497" i="7949" s="1"/>
  <c r="N1137" i="18"/>
  <c r="M694" i="7941"/>
  <c r="N1196" i="18"/>
  <c r="O335" i="7949"/>
  <c r="T122" i="7950"/>
  <c r="T168" i="7950" s="1"/>
  <c r="T146" i="7950"/>
  <c r="T200" i="7950"/>
  <c r="T176" i="7950"/>
  <c r="T222" i="7950" s="1"/>
  <c r="N1564" i="18"/>
  <c r="U416" i="7950"/>
  <c r="U392" i="7950"/>
  <c r="U438" i="7950" s="1"/>
  <c r="P343" i="7949"/>
  <c r="P389" i="7949" s="1"/>
  <c r="P367" i="7949"/>
  <c r="L689" i="7941"/>
  <c r="M1191" i="18"/>
  <c r="P421" i="7949"/>
  <c r="P397" i="7949"/>
  <c r="P443" i="7949" s="1"/>
  <c r="M906" i="7941"/>
  <c r="N592" i="7941"/>
  <c r="L695" i="7941"/>
  <c r="M1197" i="18"/>
  <c r="U470" i="7950"/>
  <c r="U446" i="7950"/>
  <c r="U492" i="7950" s="1"/>
  <c r="L699" i="7941"/>
  <c r="M1201" i="18"/>
  <c r="N1142" i="18"/>
  <c r="P205" i="7949"/>
  <c r="P181" i="7949"/>
  <c r="L690" i="7941"/>
  <c r="M1192" i="18"/>
  <c r="I1111" i="7941"/>
  <c r="I1045" i="7941"/>
  <c r="I1109" i="7941"/>
  <c r="I1026" i="7941"/>
  <c r="I1042" i="7941"/>
  <c r="I1025" i="7941"/>
  <c r="I1020" i="7941"/>
  <c r="I1004" i="7941"/>
  <c r="I1136" i="7941"/>
  <c r="I1003" i="7941"/>
  <c r="I1027" i="7941"/>
  <c r="I1152" i="7941"/>
  <c r="I1050" i="7941"/>
  <c r="I1013" i="7941"/>
  <c r="I1115" i="7941"/>
  <c r="I1133" i="7941"/>
  <c r="I1040" i="7941"/>
  <c r="I1033" i="7941"/>
  <c r="I1015" i="7941"/>
  <c r="I1006" i="7941"/>
  <c r="I1112" i="7941"/>
  <c r="I1129" i="7941"/>
  <c r="I1123" i="7941"/>
  <c r="I1113" i="7941"/>
  <c r="I1137" i="7941"/>
  <c r="I1141" i="7941"/>
  <c r="I1147" i="7941"/>
  <c r="I1049" i="7941"/>
  <c r="I1017" i="7941"/>
  <c r="I1143" i="7941"/>
  <c r="I1039" i="7941"/>
  <c r="I1154" i="7941"/>
  <c r="I1002" i="7941"/>
  <c r="I1046" i="7941"/>
  <c r="I1140" i="7941"/>
  <c r="I1118" i="7941"/>
  <c r="I1135" i="7941"/>
  <c r="I1030" i="7941"/>
  <c r="I1155" i="7941"/>
  <c r="I1131" i="7941"/>
  <c r="I1125" i="7941"/>
  <c r="I1134" i="7941"/>
  <c r="I1009" i="7941"/>
  <c r="I1132" i="7941"/>
  <c r="I1151" i="7941"/>
  <c r="I1114" i="7941"/>
  <c r="I1130" i="7941"/>
  <c r="I1051" i="7941"/>
  <c r="I1036" i="7941"/>
  <c r="I1149" i="7941"/>
  <c r="I1150" i="7941"/>
  <c r="I1024" i="7941"/>
  <c r="I1144" i="7941"/>
  <c r="I1153" i="7941"/>
  <c r="I1031" i="7941"/>
  <c r="I1117" i="7941"/>
  <c r="I1019" i="7941"/>
  <c r="I1016" i="7941"/>
  <c r="I1047" i="7941"/>
  <c r="I1043" i="7941"/>
  <c r="I1146" i="7941"/>
  <c r="I1148" i="7941"/>
  <c r="I1007" i="7941"/>
  <c r="I1106" i="7941"/>
  <c r="I1119" i="7941"/>
  <c r="I1122" i="7941"/>
  <c r="I1037" i="7941"/>
  <c r="I1116" i="7941"/>
  <c r="I1041" i="7941"/>
  <c r="I1012" i="7941"/>
  <c r="I1022" i="7941"/>
  <c r="I1023" i="7941"/>
  <c r="I1038" i="7941"/>
  <c r="I1121" i="7941"/>
  <c r="I1110" i="7941"/>
  <c r="I1138" i="7941"/>
  <c r="I1108" i="7941"/>
  <c r="I1120" i="7941"/>
  <c r="I1048" i="7941"/>
  <c r="I1010" i="7941"/>
  <c r="I1035" i="7941"/>
  <c r="I1145" i="7941"/>
  <c r="I1044" i="7941"/>
  <c r="I1034" i="7941"/>
  <c r="I1128" i="7941"/>
  <c r="I1029" i="7941"/>
  <c r="I1028" i="7941"/>
  <c r="I1127" i="7941"/>
  <c r="I1011" i="7941"/>
  <c r="I1008" i="7941"/>
  <c r="I1124" i="7941"/>
  <c r="I1107" i="7941"/>
  <c r="I1126" i="7941"/>
  <c r="I1005" i="7941"/>
  <c r="I1139" i="7941"/>
  <c r="I1021" i="7941"/>
  <c r="I1032" i="7941"/>
  <c r="I1014" i="7941"/>
  <c r="I1142" i="7941"/>
  <c r="I1018" i="7941"/>
  <c r="I1095" i="7941"/>
  <c r="I986" i="7941"/>
  <c r="I1078" i="7941"/>
  <c r="I1094" i="7941"/>
  <c r="I988" i="7941"/>
  <c r="I1080" i="7941"/>
  <c r="I972" i="7941"/>
  <c r="I1083" i="7941"/>
  <c r="I1064" i="7941"/>
  <c r="I1060" i="7941"/>
  <c r="I993" i="7941"/>
  <c r="I1100" i="7941"/>
  <c r="I989" i="7941"/>
  <c r="I974" i="7941"/>
  <c r="I1077" i="7941"/>
  <c r="I954" i="7941"/>
  <c r="I1071" i="7941"/>
  <c r="I956" i="7941"/>
  <c r="I1058" i="7941"/>
  <c r="I1063" i="7941"/>
  <c r="I979" i="7941"/>
  <c r="I998" i="7941"/>
  <c r="I1103" i="7941"/>
  <c r="I968" i="7941"/>
  <c r="I1101" i="7941"/>
  <c r="I1091" i="7941"/>
  <c r="I960" i="7941"/>
  <c r="I1088" i="7941"/>
  <c r="I959" i="7941"/>
  <c r="I1070" i="7941"/>
  <c r="I1055" i="7941"/>
  <c r="I983" i="7941"/>
  <c r="I973" i="7941"/>
  <c r="I961" i="7941"/>
  <c r="I1079" i="7941"/>
  <c r="I1075" i="7941"/>
  <c r="I970" i="7941"/>
  <c r="I1069" i="7941"/>
  <c r="I1086" i="7941"/>
  <c r="I1089" i="7941"/>
  <c r="I999" i="7941"/>
  <c r="I994" i="7941"/>
  <c r="I955" i="7941"/>
  <c r="I985" i="7941"/>
  <c r="I996" i="7941"/>
  <c r="I1096" i="7941"/>
  <c r="I971" i="7941"/>
  <c r="I981" i="7941"/>
  <c r="I1061" i="7941"/>
  <c r="I965" i="7941"/>
  <c r="I1092" i="7941"/>
  <c r="I964" i="7941"/>
  <c r="I962" i="7941"/>
  <c r="I1067" i="7941"/>
  <c r="I1057" i="7941"/>
  <c r="I967" i="7941"/>
  <c r="I1093" i="7941"/>
  <c r="I1087" i="7941"/>
  <c r="I1074" i="7941"/>
  <c r="I978" i="7941"/>
  <c r="I1097" i="7941"/>
  <c r="I1059" i="7941"/>
  <c r="I1082" i="7941"/>
  <c r="I1098" i="7941"/>
  <c r="I950" i="7941"/>
  <c r="I1085" i="7941"/>
  <c r="I1084" i="7941"/>
  <c r="I1076" i="7941"/>
  <c r="I1068" i="7941"/>
  <c r="I976" i="7941"/>
  <c r="I982" i="7941"/>
  <c r="I1062" i="7941"/>
  <c r="I990" i="7941"/>
  <c r="I953" i="7941"/>
  <c r="I952" i="7941"/>
  <c r="I984" i="7941"/>
  <c r="I980" i="7941"/>
  <c r="I997" i="7941"/>
  <c r="I958" i="7941"/>
  <c r="I957" i="7941"/>
  <c r="I977" i="7941"/>
  <c r="I1081" i="7941"/>
  <c r="I1099" i="7941"/>
  <c r="I1056" i="7941"/>
  <c r="I1072" i="7941"/>
  <c r="I963" i="7941"/>
  <c r="I1090" i="7941"/>
  <c r="I1102" i="7941"/>
  <c r="I1066" i="7941"/>
  <c r="I992" i="7941"/>
  <c r="I1065" i="7941"/>
  <c r="I951" i="7941"/>
  <c r="I995" i="7941"/>
  <c r="I987" i="7941"/>
  <c r="I1073" i="7941"/>
  <c r="I969" i="7941"/>
  <c r="I975" i="7941"/>
  <c r="I1054" i="7941"/>
  <c r="I966" i="7941"/>
  <c r="I991" i="7941"/>
  <c r="T14" i="7950"/>
  <c r="T38" i="7950"/>
  <c r="U338" i="7950"/>
  <c r="U384" i="7950" s="1"/>
  <c r="U362" i="7950"/>
  <c r="N1144" i="18"/>
  <c r="K688" i="7941"/>
  <c r="K1293" i="18"/>
  <c r="L1190" i="18"/>
  <c r="L123" i="7941"/>
  <c r="M781" i="18"/>
  <c r="N14" i="7941"/>
  <c r="M328" i="7941"/>
  <c r="M1146" i="18"/>
  <c r="I442" i="7941"/>
  <c r="I534" i="7941"/>
  <c r="I472" i="7941"/>
  <c r="I554" i="7941"/>
  <c r="I535" i="7941"/>
  <c r="I549" i="7941"/>
  <c r="I474" i="7941"/>
  <c r="I452" i="7941"/>
  <c r="I546" i="7941"/>
  <c r="I449" i="7941"/>
  <c r="I555" i="7941"/>
  <c r="I454" i="7941"/>
  <c r="I531" i="7941"/>
  <c r="I438" i="7941"/>
  <c r="I578" i="7941"/>
  <c r="I444" i="7941"/>
  <c r="I540" i="7941"/>
  <c r="I427" i="7941"/>
  <c r="I571" i="7941"/>
  <c r="I440" i="7941"/>
  <c r="I548" i="7941"/>
  <c r="I467" i="7941"/>
  <c r="I573" i="7941"/>
  <c r="I434" i="7941"/>
  <c r="I533" i="7941"/>
  <c r="I530" i="7941"/>
  <c r="I435" i="7941"/>
  <c r="I551" i="7941"/>
  <c r="I565" i="7941"/>
  <c r="I568" i="7941"/>
  <c r="I441" i="7941"/>
  <c r="I570" i="7941"/>
  <c r="I431" i="7941"/>
  <c r="I447" i="7941"/>
  <c r="I553" i="7941"/>
  <c r="I445" i="7941"/>
  <c r="I473" i="7941"/>
  <c r="I532" i="7941"/>
  <c r="I461" i="7941"/>
  <c r="I453" i="7941"/>
  <c r="I538" i="7941"/>
  <c r="I572" i="7941"/>
  <c r="I470" i="7941"/>
  <c r="I564" i="7941"/>
  <c r="I469" i="7941"/>
  <c r="I429" i="7941"/>
  <c r="I560" i="7941"/>
  <c r="I537" i="7941"/>
  <c r="I448" i="7941"/>
  <c r="I446" i="7941"/>
  <c r="I550" i="7941"/>
  <c r="I544" i="7941"/>
  <c r="I458" i="7941"/>
  <c r="I433" i="7941"/>
  <c r="I539" i="7941"/>
  <c r="I576" i="7941"/>
  <c r="I547" i="7941"/>
  <c r="I436" i="7941"/>
  <c r="I561" i="7941"/>
  <c r="I557" i="7941"/>
  <c r="I439" i="7941"/>
  <c r="I471" i="7941"/>
  <c r="I562" i="7941"/>
  <c r="I426" i="7941"/>
  <c r="I466" i="7941"/>
  <c r="I463" i="7941"/>
  <c r="I569" i="7941"/>
  <c r="I543" i="7941"/>
  <c r="I563" i="7941"/>
  <c r="I545" i="7941"/>
  <c r="I451" i="7941"/>
  <c r="I464" i="7941"/>
  <c r="I579" i="7941"/>
  <c r="I432" i="7941"/>
  <c r="I468" i="7941"/>
  <c r="I457" i="7941"/>
  <c r="I459" i="7941"/>
  <c r="I430" i="7941"/>
  <c r="I450" i="7941"/>
  <c r="I566" i="7941"/>
  <c r="I574" i="7941"/>
  <c r="I558" i="7941"/>
  <c r="I456" i="7941"/>
  <c r="I475" i="7941"/>
  <c r="I455" i="7941"/>
  <c r="I460" i="7941"/>
  <c r="I465" i="7941"/>
  <c r="I577" i="7941"/>
  <c r="I556" i="7941"/>
  <c r="I462" i="7941"/>
  <c r="I536" i="7941"/>
  <c r="I443" i="7941"/>
  <c r="I567" i="7941"/>
  <c r="I437" i="7941"/>
  <c r="I542" i="7941"/>
  <c r="I428" i="7941"/>
  <c r="I575" i="7941"/>
  <c r="I552" i="7941"/>
  <c r="I541" i="7941"/>
  <c r="I559" i="7941"/>
  <c r="I488" i="7941"/>
  <c r="I421" i="7941"/>
  <c r="I380" i="7941"/>
  <c r="I481" i="7941"/>
  <c r="I390" i="7941"/>
  <c r="I394" i="7941"/>
  <c r="I500" i="7941"/>
  <c r="I499" i="7941"/>
  <c r="I413" i="7941"/>
  <c r="I385" i="7941"/>
  <c r="I497" i="7941"/>
  <c r="I388" i="7941"/>
  <c r="I486" i="7941"/>
  <c r="I507" i="7941"/>
  <c r="I520" i="7941"/>
  <c r="I402" i="7941"/>
  <c r="I480" i="7941"/>
  <c r="I493" i="7941"/>
  <c r="I490" i="7941"/>
  <c r="I378" i="7941"/>
  <c r="I518" i="7941"/>
  <c r="I409" i="7941"/>
  <c r="I519" i="7941"/>
  <c r="I393" i="7941"/>
  <c r="I404" i="7941"/>
  <c r="I423" i="7941"/>
  <c r="I479" i="7941"/>
  <c r="I412" i="7941"/>
  <c r="I487" i="7941"/>
  <c r="I492" i="7941"/>
  <c r="I391" i="7941"/>
  <c r="I383" i="7941"/>
  <c r="I515" i="7941"/>
  <c r="I417" i="7941"/>
  <c r="I509" i="7941"/>
  <c r="I478" i="7941"/>
  <c r="I510" i="7941"/>
  <c r="I521" i="7941"/>
  <c r="I376" i="7941"/>
  <c r="I504" i="7941"/>
  <c r="I522" i="7941"/>
  <c r="I489" i="7941"/>
  <c r="I483" i="7941"/>
  <c r="I511" i="7941"/>
  <c r="I422" i="7941"/>
  <c r="I494" i="7941"/>
  <c r="I517" i="7941"/>
  <c r="I375" i="7941"/>
  <c r="I386" i="7941"/>
  <c r="I374" i="7941"/>
  <c r="I381" i="7941"/>
  <c r="I415" i="7941"/>
  <c r="I411" i="7941"/>
  <c r="I408" i="7941"/>
  <c r="I491" i="7941"/>
  <c r="I387" i="7941"/>
  <c r="I506" i="7941"/>
  <c r="I389" i="7941"/>
  <c r="I418" i="7941"/>
  <c r="I407" i="7941"/>
  <c r="I505" i="7941"/>
  <c r="I410" i="7941"/>
  <c r="I398" i="7941"/>
  <c r="I524" i="7941"/>
  <c r="I501" i="7941"/>
  <c r="I399" i="7941"/>
  <c r="I513" i="7941"/>
  <c r="I484" i="7941"/>
  <c r="I416" i="7941"/>
  <c r="I397" i="7941"/>
  <c r="I403" i="7941"/>
  <c r="I516" i="7941"/>
  <c r="I406" i="7941"/>
  <c r="I405" i="7941"/>
  <c r="I502" i="7941"/>
  <c r="I512" i="7941"/>
  <c r="I498" i="7941"/>
  <c r="I514" i="7941"/>
  <c r="I382" i="7941"/>
  <c r="I379" i="7941"/>
  <c r="I384" i="7941"/>
  <c r="I523" i="7941"/>
  <c r="I414" i="7941"/>
  <c r="I392" i="7941"/>
  <c r="I508" i="7941"/>
  <c r="I420" i="7941"/>
  <c r="I527" i="7941"/>
  <c r="I400" i="7941"/>
  <c r="I396" i="7941"/>
  <c r="I496" i="7941"/>
  <c r="I495" i="7941"/>
  <c r="I377" i="7941"/>
  <c r="I503" i="7941"/>
  <c r="I482" i="7941"/>
  <c r="I485" i="7941"/>
  <c r="I525" i="7941"/>
  <c r="I526" i="7941"/>
  <c r="I395" i="7941"/>
  <c r="I419" i="7941"/>
  <c r="I401" i="7941"/>
  <c r="P227" i="7949" l="1"/>
  <c r="I1053" i="7941"/>
  <c r="N65" i="7949"/>
  <c r="P335" i="7949"/>
  <c r="P659" i="7949"/>
  <c r="I373" i="7941"/>
  <c r="I529" i="7941"/>
  <c r="L1189" i="18"/>
  <c r="L1556" i="18"/>
  <c r="T60" i="7950"/>
  <c r="I949" i="7941"/>
  <c r="I1001" i="7941"/>
  <c r="Q205" i="7949"/>
  <c r="Q181" i="7949"/>
  <c r="L909" i="7941"/>
  <c r="M595" i="7941"/>
  <c r="M591" i="7941"/>
  <c r="L905" i="7941"/>
  <c r="Q397" i="7949"/>
  <c r="Q443" i="7949" s="1"/>
  <c r="Q421" i="7949"/>
  <c r="N875" i="18"/>
  <c r="M1149" i="18"/>
  <c r="M1559" i="18"/>
  <c r="M1569" i="18"/>
  <c r="M1143" i="18"/>
  <c r="M1141" i="18"/>
  <c r="L769" i="18"/>
  <c r="L1136" i="18"/>
  <c r="L908" i="7941"/>
  <c r="M594" i="7941"/>
  <c r="V92" i="7950"/>
  <c r="V68" i="7950"/>
  <c r="V114" i="7950" s="1"/>
  <c r="M1138" i="18"/>
  <c r="V362" i="7950"/>
  <c r="V338" i="7950"/>
  <c r="V384" i="7950" s="1"/>
  <c r="I1105" i="7941"/>
  <c r="M1558" i="18"/>
  <c r="N880" i="18"/>
  <c r="M1557" i="18"/>
  <c r="M21" i="7941"/>
  <c r="L335" i="7941"/>
  <c r="Q613" i="7949"/>
  <c r="Q637" i="7949"/>
  <c r="Q583" i="7949"/>
  <c r="Q559" i="7949"/>
  <c r="Q605" i="7949" s="1"/>
  <c r="L901" i="7941"/>
  <c r="M587" i="7941"/>
  <c r="L911" i="7941"/>
  <c r="M597" i="7941"/>
  <c r="M15" i="7941"/>
  <c r="L329" i="7941"/>
  <c r="M13" i="7941"/>
  <c r="L327" i="7941"/>
  <c r="Q97" i="7949"/>
  <c r="Q73" i="7949"/>
  <c r="Q119" i="7949" s="1"/>
  <c r="O19" i="7949"/>
  <c r="O43" i="7949"/>
  <c r="M10" i="7941"/>
  <c r="L324" i="7941"/>
  <c r="I477" i="7941"/>
  <c r="I425" i="7941"/>
  <c r="M884" i="18"/>
  <c r="M1147" i="18"/>
  <c r="K687" i="7941"/>
  <c r="L584" i="7941"/>
  <c r="K898" i="7941"/>
  <c r="L900" i="7941"/>
  <c r="M586" i="7941"/>
  <c r="V470" i="7950"/>
  <c r="V446" i="7950"/>
  <c r="V492" i="7950" s="1"/>
  <c r="M585" i="7941"/>
  <c r="L899" i="7941"/>
  <c r="V416" i="7950"/>
  <c r="V392" i="7950"/>
  <c r="V438" i="7950" s="1"/>
  <c r="U176" i="7950"/>
  <c r="U222" i="7950" s="1"/>
  <c r="U200" i="7950"/>
  <c r="N1562" i="18"/>
  <c r="M1145" i="18"/>
  <c r="V524" i="7950"/>
  <c r="V500" i="7950"/>
  <c r="M1565" i="18"/>
  <c r="M1139" i="18"/>
  <c r="M1561" i="18"/>
  <c r="Q289" i="7949"/>
  <c r="Q313" i="7949"/>
  <c r="K111" i="7941"/>
  <c r="K322" i="7941"/>
  <c r="L8" i="7941"/>
  <c r="Q127" i="7949"/>
  <c r="Q173" i="7949" s="1"/>
  <c r="Q151" i="7949"/>
  <c r="L333" i="7941"/>
  <c r="M19" i="7941"/>
  <c r="N882" i="18"/>
  <c r="U38" i="7950"/>
  <c r="U14" i="7950"/>
  <c r="M1567" i="18"/>
  <c r="M1563" i="18"/>
  <c r="Q367" i="7949"/>
  <c r="Q343" i="7949"/>
  <c r="Q389" i="7949" s="1"/>
  <c r="N1302" i="18"/>
  <c r="U122" i="7950"/>
  <c r="U168" i="7950" s="1"/>
  <c r="U146" i="7950"/>
  <c r="M904" i="7941"/>
  <c r="N590" i="7941"/>
  <c r="Q475" i="7949"/>
  <c r="Q451" i="7949"/>
  <c r="Q497" i="7949" s="1"/>
  <c r="M17" i="7941"/>
  <c r="L331" i="7941"/>
  <c r="Q505" i="7949"/>
  <c r="Q529" i="7949"/>
  <c r="L907" i="7941"/>
  <c r="M593" i="7941"/>
  <c r="M11" i="7941"/>
  <c r="L325" i="7941"/>
  <c r="L903" i="7941"/>
  <c r="M589" i="7941"/>
  <c r="M1566" i="18"/>
  <c r="Q745" i="7949"/>
  <c r="Q721" i="7949"/>
  <c r="Q767" i="7949" s="1"/>
  <c r="Q227" i="7949" l="1"/>
  <c r="U60" i="7950"/>
  <c r="O65" i="7949"/>
  <c r="Q659" i="7949"/>
  <c r="R343" i="7949"/>
  <c r="R389" i="7949" s="1"/>
  <c r="R367" i="7949"/>
  <c r="N120" i="7941"/>
  <c r="O778" i="18"/>
  <c r="R313" i="7949"/>
  <c r="R289" i="7949"/>
  <c r="M885" i="18"/>
  <c r="P43" i="7949"/>
  <c r="P19" i="7949"/>
  <c r="W92" i="7950"/>
  <c r="W68" i="7950"/>
  <c r="W114" i="7950" s="1"/>
  <c r="L1135" i="18"/>
  <c r="L874" i="18"/>
  <c r="M879" i="18"/>
  <c r="M1307" i="18"/>
  <c r="N113" i="7941"/>
  <c r="O771" i="18"/>
  <c r="R181" i="7949"/>
  <c r="R205" i="7949"/>
  <c r="L1555" i="18"/>
  <c r="L1294" i="18"/>
  <c r="M1304" i="18"/>
  <c r="M1301" i="18"/>
  <c r="Q335" i="7949"/>
  <c r="M877" i="18"/>
  <c r="N1300" i="18"/>
  <c r="K897" i="7941"/>
  <c r="R583" i="7949"/>
  <c r="R559" i="7949"/>
  <c r="R605" i="7949" s="1"/>
  <c r="M876" i="18"/>
  <c r="M887" i="18"/>
  <c r="R421" i="7949"/>
  <c r="R397" i="7949"/>
  <c r="R443" i="7949" s="1"/>
  <c r="R529" i="7949"/>
  <c r="R505" i="7949"/>
  <c r="R451" i="7949"/>
  <c r="R497" i="7949" s="1"/>
  <c r="R475" i="7949"/>
  <c r="L7" i="7941"/>
  <c r="R745" i="7949"/>
  <c r="R721" i="7949"/>
  <c r="R767" i="7949" s="1"/>
  <c r="N696" i="7941"/>
  <c r="O1198" i="18"/>
  <c r="V38" i="7950"/>
  <c r="V14" i="7950"/>
  <c r="K321" i="7941"/>
  <c r="W500" i="7950"/>
  <c r="W524" i="7950"/>
  <c r="W392" i="7950"/>
  <c r="W438" i="7950" s="1"/>
  <c r="W416" i="7950"/>
  <c r="W470" i="7950"/>
  <c r="W446" i="7950"/>
  <c r="W492" i="7950" s="1"/>
  <c r="L583" i="7941"/>
  <c r="R613" i="7949"/>
  <c r="R637" i="7949"/>
  <c r="M1295" i="18"/>
  <c r="N118" i="7941"/>
  <c r="O776" i="18"/>
  <c r="M881" i="18"/>
  <c r="M1297" i="18"/>
  <c r="V146" i="7950"/>
  <c r="V122" i="7950"/>
  <c r="V168" i="7950" s="1"/>
  <c r="M1305" i="18"/>
  <c r="R151" i="7949"/>
  <c r="R127" i="7949"/>
  <c r="R173" i="7949" s="1"/>
  <c r="M1299" i="18"/>
  <c r="M1303" i="18"/>
  <c r="M883" i="18"/>
  <c r="V176" i="7950"/>
  <c r="V222" i="7950" s="1"/>
  <c r="V200" i="7950"/>
  <c r="M122" i="7941"/>
  <c r="N780" i="18"/>
  <c r="R73" i="7949"/>
  <c r="R119" i="7949" s="1"/>
  <c r="R97" i="7949"/>
  <c r="M1296" i="18"/>
  <c r="W362" i="7950"/>
  <c r="W338" i="7950"/>
  <c r="W384" i="7950" s="1"/>
  <c r="R659" i="7949" l="1"/>
  <c r="R335" i="7949"/>
  <c r="R227" i="7949"/>
  <c r="P65" i="7949"/>
  <c r="V60" i="7950"/>
  <c r="S97" i="7949"/>
  <c r="S73" i="7949"/>
  <c r="S119" i="7949" s="1"/>
  <c r="W122" i="7950"/>
  <c r="W168" i="7950" s="1"/>
  <c r="W146" i="7950"/>
  <c r="N328" i="7941"/>
  <c r="O14" i="7941"/>
  <c r="S505" i="7949"/>
  <c r="S529" i="7949"/>
  <c r="M114" i="7941"/>
  <c r="N772" i="18"/>
  <c r="J1121" i="7941"/>
  <c r="J1019" i="7941"/>
  <c r="J1015" i="7941"/>
  <c r="J1027" i="7941"/>
  <c r="J1003" i="7941"/>
  <c r="J1007" i="7941"/>
  <c r="J1134" i="7941"/>
  <c r="J1043" i="7941"/>
  <c r="J1042" i="7941"/>
  <c r="J1029" i="7941"/>
  <c r="J1141" i="7941"/>
  <c r="J1128" i="7941"/>
  <c r="J1012" i="7941"/>
  <c r="J1018" i="7941"/>
  <c r="J1031" i="7941"/>
  <c r="J1133" i="7941"/>
  <c r="J1129" i="7941"/>
  <c r="J1123" i="7941"/>
  <c r="J1147" i="7941"/>
  <c r="J1013" i="7941"/>
  <c r="J1149" i="7941"/>
  <c r="J1111" i="7941"/>
  <c r="J1124" i="7941"/>
  <c r="J1041" i="7941"/>
  <c r="J1135" i="7941"/>
  <c r="J1030" i="7941"/>
  <c r="J1008" i="7941"/>
  <c r="J1026" i="7941"/>
  <c r="J1106" i="7941"/>
  <c r="J1150" i="7941"/>
  <c r="J1138" i="7941"/>
  <c r="J1021" i="7941"/>
  <c r="J1045" i="7941"/>
  <c r="J1146" i="7941"/>
  <c r="J1002" i="7941"/>
  <c r="J1048" i="7941"/>
  <c r="J1136" i="7941"/>
  <c r="J1118" i="7941"/>
  <c r="J1047" i="7941"/>
  <c r="J1028" i="7941"/>
  <c r="J1107" i="7941"/>
  <c r="J1024" i="7941"/>
  <c r="J1126" i="7941"/>
  <c r="J1112" i="7941"/>
  <c r="J1137" i="7941"/>
  <c r="J1050" i="7941"/>
  <c r="J1143" i="7941"/>
  <c r="J1148" i="7941"/>
  <c r="J1016" i="7941"/>
  <c r="J1108" i="7941"/>
  <c r="J1130" i="7941"/>
  <c r="J1051" i="7941"/>
  <c r="J1014" i="7941"/>
  <c r="J1037" i="7941"/>
  <c r="J1017" i="7941"/>
  <c r="J1119" i="7941"/>
  <c r="J1140" i="7941"/>
  <c r="J1010" i="7941"/>
  <c r="J1116" i="7941"/>
  <c r="J1025" i="7941"/>
  <c r="J1115" i="7941"/>
  <c r="J1125" i="7941"/>
  <c r="J1023" i="7941"/>
  <c r="J1155" i="7941"/>
  <c r="J1145" i="7941"/>
  <c r="J1039" i="7941"/>
  <c r="J1154" i="7941"/>
  <c r="J1117" i="7941"/>
  <c r="J1011" i="7941"/>
  <c r="J1142" i="7941"/>
  <c r="J1152" i="7941"/>
  <c r="J1004" i="7941"/>
  <c r="J1009" i="7941"/>
  <c r="J1046" i="7941"/>
  <c r="J1120" i="7941"/>
  <c r="J1049" i="7941"/>
  <c r="J1035" i="7941"/>
  <c r="J1122" i="7941"/>
  <c r="J1036" i="7941"/>
  <c r="J1005" i="7941"/>
  <c r="J1038" i="7941"/>
  <c r="J1022" i="7941"/>
  <c r="J1131" i="7941"/>
  <c r="J1151" i="7941"/>
  <c r="J1034" i="7941"/>
  <c r="J1113" i="7941"/>
  <c r="J1040" i="7941"/>
  <c r="J1020" i="7941"/>
  <c r="J1032" i="7941"/>
  <c r="J1144" i="7941"/>
  <c r="J1044" i="7941"/>
  <c r="J1033" i="7941"/>
  <c r="J1109" i="7941"/>
  <c r="J1127" i="7941"/>
  <c r="J1153" i="7941"/>
  <c r="J1114" i="7941"/>
  <c r="J1132" i="7941"/>
  <c r="J1110" i="7941"/>
  <c r="J1006" i="7941"/>
  <c r="J1139" i="7941"/>
  <c r="J980" i="7941"/>
  <c r="J981" i="7941"/>
  <c r="J1076" i="7941"/>
  <c r="J997" i="7941"/>
  <c r="J1083" i="7941"/>
  <c r="J1086" i="7941"/>
  <c r="J1091" i="7941"/>
  <c r="J966" i="7941"/>
  <c r="J1077" i="7941"/>
  <c r="J987" i="7941"/>
  <c r="J977" i="7941"/>
  <c r="J986" i="7941"/>
  <c r="J982" i="7941"/>
  <c r="J999" i="7941"/>
  <c r="J1089" i="7941"/>
  <c r="J1081" i="7941"/>
  <c r="J961" i="7941"/>
  <c r="J1090" i="7941"/>
  <c r="J1057" i="7941"/>
  <c r="J970" i="7941"/>
  <c r="J1063" i="7941"/>
  <c r="J952" i="7941"/>
  <c r="J1080" i="7941"/>
  <c r="J956" i="7941"/>
  <c r="J1058" i="7941"/>
  <c r="J1079" i="7941"/>
  <c r="J960" i="7941"/>
  <c r="J1102" i="7941"/>
  <c r="J974" i="7941"/>
  <c r="J985" i="7941"/>
  <c r="J975" i="7941"/>
  <c r="J967" i="7941"/>
  <c r="J959" i="7941"/>
  <c r="J976" i="7941"/>
  <c r="J1096" i="7941"/>
  <c r="J1064" i="7941"/>
  <c r="J989" i="7941"/>
  <c r="J1069" i="7941"/>
  <c r="J1055" i="7941"/>
  <c r="J1060" i="7941"/>
  <c r="J1061" i="7941"/>
  <c r="J993" i="7941"/>
  <c r="J1084" i="7941"/>
  <c r="J1078" i="7941"/>
  <c r="J1095" i="7941"/>
  <c r="J1074" i="7941"/>
  <c r="J994" i="7941"/>
  <c r="J1082" i="7941"/>
  <c r="J992" i="7941"/>
  <c r="J1066" i="7941"/>
  <c r="J1062" i="7941"/>
  <c r="J979" i="7941"/>
  <c r="J962" i="7941"/>
  <c r="J978" i="7941"/>
  <c r="J1056" i="7941"/>
  <c r="J984" i="7941"/>
  <c r="J1085" i="7941"/>
  <c r="J973" i="7941"/>
  <c r="J998" i="7941"/>
  <c r="J963" i="7941"/>
  <c r="J951" i="7941"/>
  <c r="J969" i="7941"/>
  <c r="J954" i="7941"/>
  <c r="J1073" i="7941"/>
  <c r="J1087" i="7941"/>
  <c r="J990" i="7941"/>
  <c r="J995" i="7941"/>
  <c r="J1103" i="7941"/>
  <c r="J983" i="7941"/>
  <c r="J1093" i="7941"/>
  <c r="J1054" i="7941"/>
  <c r="J988" i="7941"/>
  <c r="J964" i="7941"/>
  <c r="J1071" i="7941"/>
  <c r="J955" i="7941"/>
  <c r="J1088" i="7941"/>
  <c r="J950" i="7941"/>
  <c r="J971" i="7941"/>
  <c r="J991" i="7941"/>
  <c r="J1101" i="7941"/>
  <c r="J965" i="7941"/>
  <c r="J972" i="7941"/>
  <c r="J968" i="7941"/>
  <c r="J1092" i="7941"/>
  <c r="J953" i="7941"/>
  <c r="J958" i="7941"/>
  <c r="J1059" i="7941"/>
  <c r="J1068" i="7941"/>
  <c r="J996" i="7941"/>
  <c r="J1070" i="7941"/>
  <c r="J1075" i="7941"/>
  <c r="J1067" i="7941"/>
  <c r="J1098" i="7941"/>
  <c r="J1097" i="7941"/>
  <c r="J1094" i="7941"/>
  <c r="J957" i="7941"/>
  <c r="J1099" i="7941"/>
  <c r="J1072" i="7941"/>
  <c r="J1065" i="7941"/>
  <c r="J1100" i="7941"/>
  <c r="M115" i="7941"/>
  <c r="N773" i="18"/>
  <c r="O1137" i="18"/>
  <c r="S343" i="7949"/>
  <c r="S389" i="7949" s="1"/>
  <c r="S367" i="7949"/>
  <c r="M697" i="7941"/>
  <c r="N1199" i="18"/>
  <c r="M690" i="7941"/>
  <c r="N1192" i="18"/>
  <c r="M119" i="7941"/>
  <c r="N777" i="18"/>
  <c r="W14" i="7950"/>
  <c r="W38" i="7950"/>
  <c r="S721" i="7949"/>
  <c r="S767" i="7949" s="1"/>
  <c r="S745" i="7949"/>
  <c r="S475" i="7949"/>
  <c r="S451" i="7949"/>
  <c r="S497" i="7949" s="1"/>
  <c r="M125" i="7941"/>
  <c r="N783" i="18"/>
  <c r="M698" i="7941"/>
  <c r="N1200" i="18"/>
  <c r="S181" i="7949"/>
  <c r="S205" i="7949"/>
  <c r="O9" i="7941"/>
  <c r="N323" i="7941"/>
  <c r="M117" i="7941"/>
  <c r="N775" i="18"/>
  <c r="M123" i="7941"/>
  <c r="N781" i="18"/>
  <c r="S289" i="7949"/>
  <c r="S313" i="7949"/>
  <c r="M693" i="7941"/>
  <c r="N1195" i="18"/>
  <c r="M689" i="7941"/>
  <c r="N1191" i="18"/>
  <c r="J571" i="7941"/>
  <c r="J576" i="7941"/>
  <c r="J450" i="7941"/>
  <c r="J566" i="7941"/>
  <c r="J451" i="7941"/>
  <c r="J558" i="7941"/>
  <c r="J439" i="7941"/>
  <c r="J540" i="7941"/>
  <c r="J471" i="7941"/>
  <c r="J539" i="7941"/>
  <c r="J456" i="7941"/>
  <c r="J465" i="7941"/>
  <c r="J572" i="7941"/>
  <c r="J455" i="7941"/>
  <c r="J433" i="7941"/>
  <c r="J453" i="7941"/>
  <c r="J547" i="7941"/>
  <c r="J469" i="7941"/>
  <c r="J430" i="7941"/>
  <c r="J431" i="7941"/>
  <c r="J564" i="7941"/>
  <c r="J531" i="7941"/>
  <c r="J534" i="7941"/>
  <c r="J435" i="7941"/>
  <c r="J543" i="7941"/>
  <c r="J466" i="7941"/>
  <c r="J445" i="7941"/>
  <c r="J555" i="7941"/>
  <c r="J427" i="7941"/>
  <c r="J464" i="7941"/>
  <c r="J449" i="7941"/>
  <c r="J530" i="7941"/>
  <c r="J457" i="7941"/>
  <c r="J548" i="7941"/>
  <c r="J560" i="7941"/>
  <c r="J452" i="7941"/>
  <c r="J538" i="7941"/>
  <c r="J575" i="7941"/>
  <c r="J535" i="7941"/>
  <c r="J468" i="7941"/>
  <c r="J536" i="7941"/>
  <c r="J429" i="7941"/>
  <c r="J573" i="7941"/>
  <c r="J462" i="7941"/>
  <c r="J443" i="7941"/>
  <c r="J553" i="7941"/>
  <c r="J562" i="7941"/>
  <c r="J432" i="7941"/>
  <c r="J467" i="7941"/>
  <c r="J442" i="7941"/>
  <c r="J557" i="7941"/>
  <c r="J568" i="7941"/>
  <c r="J541" i="7941"/>
  <c r="J454" i="7941"/>
  <c r="J437" i="7941"/>
  <c r="J544" i="7941"/>
  <c r="J565" i="7941"/>
  <c r="J552" i="7941"/>
  <c r="J569" i="7941"/>
  <c r="J472" i="7941"/>
  <c r="J546" i="7941"/>
  <c r="J549" i="7941"/>
  <c r="J434" i="7941"/>
  <c r="J577" i="7941"/>
  <c r="J458" i="7941"/>
  <c r="J574" i="7941"/>
  <c r="J459" i="7941"/>
  <c r="J446" i="7941"/>
  <c r="J473" i="7941"/>
  <c r="J441" i="7941"/>
  <c r="J463" i="7941"/>
  <c r="J470" i="7941"/>
  <c r="J447" i="7941"/>
  <c r="J579" i="7941"/>
  <c r="J475" i="7941"/>
  <c r="J537" i="7941"/>
  <c r="J556" i="7941"/>
  <c r="J554" i="7941"/>
  <c r="J545" i="7941"/>
  <c r="J474" i="7941"/>
  <c r="J563" i="7941"/>
  <c r="J550" i="7941"/>
  <c r="J460" i="7941"/>
  <c r="J542" i="7941"/>
  <c r="J533" i="7941"/>
  <c r="J426" i="7941"/>
  <c r="J567" i="7941"/>
  <c r="J570" i="7941"/>
  <c r="J559" i="7941"/>
  <c r="J440" i="7941"/>
  <c r="J436" i="7941"/>
  <c r="J461" i="7941"/>
  <c r="J444" i="7941"/>
  <c r="J561" i="7941"/>
  <c r="J578" i="7941"/>
  <c r="J448" i="7941"/>
  <c r="J438" i="7941"/>
  <c r="J428" i="7941"/>
  <c r="J551" i="7941"/>
  <c r="J532" i="7941"/>
  <c r="J381" i="7941"/>
  <c r="J523" i="7941"/>
  <c r="J416" i="7941"/>
  <c r="J522" i="7941"/>
  <c r="J524" i="7941"/>
  <c r="J521" i="7941"/>
  <c r="J419" i="7941"/>
  <c r="J412" i="7941"/>
  <c r="J516" i="7941"/>
  <c r="J383" i="7941"/>
  <c r="J520" i="7941"/>
  <c r="J422" i="7941"/>
  <c r="J512" i="7941"/>
  <c r="J393" i="7941"/>
  <c r="J490" i="7941"/>
  <c r="J502" i="7941"/>
  <c r="J526" i="7941"/>
  <c r="J384" i="7941"/>
  <c r="J493" i="7941"/>
  <c r="J505" i="7941"/>
  <c r="J420" i="7941"/>
  <c r="J513" i="7941"/>
  <c r="J497" i="7941"/>
  <c r="J392" i="7941"/>
  <c r="J478" i="7941"/>
  <c r="J406" i="7941"/>
  <c r="J486" i="7941"/>
  <c r="J382" i="7941"/>
  <c r="J410" i="7941"/>
  <c r="J391" i="7941"/>
  <c r="J411" i="7941"/>
  <c r="J377" i="7941"/>
  <c r="J506" i="7941"/>
  <c r="J525" i="7941"/>
  <c r="J404" i="7941"/>
  <c r="J509" i="7941"/>
  <c r="J499" i="7941"/>
  <c r="J418" i="7941"/>
  <c r="J495" i="7941"/>
  <c r="J487" i="7941"/>
  <c r="J375" i="7941"/>
  <c r="J518" i="7941"/>
  <c r="J480" i="7941"/>
  <c r="J380" i="7941"/>
  <c r="J503" i="7941"/>
  <c r="J514" i="7941"/>
  <c r="J403" i="7941"/>
  <c r="J517" i="7941"/>
  <c r="J417" i="7941"/>
  <c r="J376" i="7941"/>
  <c r="J519" i="7941"/>
  <c r="J501" i="7941"/>
  <c r="J423" i="7941"/>
  <c r="J511" i="7941"/>
  <c r="J494" i="7941"/>
  <c r="J485" i="7941"/>
  <c r="J491" i="7941"/>
  <c r="J481" i="7941"/>
  <c r="J395" i="7941"/>
  <c r="J389" i="7941"/>
  <c r="J413" i="7941"/>
  <c r="J496" i="7941"/>
  <c r="J394" i="7941"/>
  <c r="J409" i="7941"/>
  <c r="J390" i="7941"/>
  <c r="J401" i="7941"/>
  <c r="J379" i="7941"/>
  <c r="J483" i="7941"/>
  <c r="J398" i="7941"/>
  <c r="J479" i="7941"/>
  <c r="J504" i="7941"/>
  <c r="J388" i="7941"/>
  <c r="J374" i="7941"/>
  <c r="J405" i="7941"/>
  <c r="J507" i="7941"/>
  <c r="J508" i="7941"/>
  <c r="J482" i="7941"/>
  <c r="J498" i="7941"/>
  <c r="J515" i="7941"/>
  <c r="J488" i="7941"/>
  <c r="J415" i="7941"/>
  <c r="J402" i="7941"/>
  <c r="J492" i="7941"/>
  <c r="J387" i="7941"/>
  <c r="J489" i="7941"/>
  <c r="J510" i="7941"/>
  <c r="J396" i="7941"/>
  <c r="J414" i="7941"/>
  <c r="J421" i="7941"/>
  <c r="J397" i="7941"/>
  <c r="J500" i="7941"/>
  <c r="J386" i="7941"/>
  <c r="J399" i="7941"/>
  <c r="J385" i="7941"/>
  <c r="J400" i="7941"/>
  <c r="J407" i="7941"/>
  <c r="J527" i="7941"/>
  <c r="J378" i="7941"/>
  <c r="J408" i="7941"/>
  <c r="J484" i="7941"/>
  <c r="O1564" i="18"/>
  <c r="N694" i="7941"/>
  <c r="O1196" i="18"/>
  <c r="O1144" i="18"/>
  <c r="M332" i="7941"/>
  <c r="N18" i="7941"/>
  <c r="S127" i="7949"/>
  <c r="S173" i="7949" s="1"/>
  <c r="S151" i="7949"/>
  <c r="M121" i="7941"/>
  <c r="N779" i="18"/>
  <c r="M699" i="7941"/>
  <c r="N1201" i="18"/>
  <c r="N1146" i="18"/>
  <c r="W200" i="7950"/>
  <c r="W176" i="7950"/>
  <c r="W222" i="7950" s="1"/>
  <c r="M691" i="7941"/>
  <c r="N1193" i="18"/>
  <c r="O1142" i="18"/>
  <c r="S637" i="7949"/>
  <c r="S613" i="7949"/>
  <c r="S659" i="7949" s="1"/>
  <c r="N906" i="7941"/>
  <c r="O592" i="7941"/>
  <c r="S421" i="7949"/>
  <c r="S397" i="7949"/>
  <c r="S443" i="7949" s="1"/>
  <c r="S559" i="7949"/>
  <c r="S605" i="7949" s="1"/>
  <c r="S583" i="7949"/>
  <c r="M695" i="7941"/>
  <c r="N1197" i="18"/>
  <c r="L1293" i="18"/>
  <c r="L688" i="7941"/>
  <c r="M1190" i="18"/>
  <c r="M701" i="7941"/>
  <c r="N1203" i="18"/>
  <c r="L112" i="7941"/>
  <c r="L873" i="18"/>
  <c r="M770" i="18"/>
  <c r="Q19" i="7949"/>
  <c r="Q43" i="7949"/>
  <c r="O16" i="7941"/>
  <c r="N330" i="7941"/>
  <c r="W60" i="7950" l="1"/>
  <c r="Q65" i="7949"/>
  <c r="S335" i="7949"/>
  <c r="S227" i="7949"/>
  <c r="T613" i="7949"/>
  <c r="T659" i="7949" s="1"/>
  <c r="T637" i="7949"/>
  <c r="O590" i="7941"/>
  <c r="N904" i="7941"/>
  <c r="N13" i="7941"/>
  <c r="M327" i="7941"/>
  <c r="M335" i="7941"/>
  <c r="N21" i="7941"/>
  <c r="R43" i="7949"/>
  <c r="R19" i="7949"/>
  <c r="L111" i="7941"/>
  <c r="M8" i="7941"/>
  <c r="L322" i="7941"/>
  <c r="L687" i="7941"/>
  <c r="L898" i="7941"/>
  <c r="M584" i="7941"/>
  <c r="T583" i="7949"/>
  <c r="T559" i="7949"/>
  <c r="T605" i="7949" s="1"/>
  <c r="O880" i="18"/>
  <c r="N1567" i="18"/>
  <c r="T127" i="7949"/>
  <c r="T173" i="7949" s="1"/>
  <c r="T151" i="7949"/>
  <c r="O882" i="18"/>
  <c r="O1302" i="18"/>
  <c r="J425" i="7941"/>
  <c r="N1561" i="18"/>
  <c r="N1147" i="18"/>
  <c r="N1566" i="18"/>
  <c r="N1558" i="18"/>
  <c r="T343" i="7949"/>
  <c r="T389" i="7949" s="1"/>
  <c r="T367" i="7949"/>
  <c r="N1139" i="18"/>
  <c r="T529" i="7949"/>
  <c r="T505" i="7949"/>
  <c r="M1189" i="18"/>
  <c r="M1556" i="18"/>
  <c r="N591" i="7941"/>
  <c r="M905" i="7941"/>
  <c r="N585" i="7941"/>
  <c r="M899" i="7941"/>
  <c r="N1569" i="18"/>
  <c r="N595" i="7941"/>
  <c r="M909" i="7941"/>
  <c r="J373" i="7941"/>
  <c r="J477" i="7941"/>
  <c r="N589" i="7941"/>
  <c r="M903" i="7941"/>
  <c r="M333" i="7941"/>
  <c r="N19" i="7941"/>
  <c r="N594" i="7941"/>
  <c r="M908" i="7941"/>
  <c r="T451" i="7949"/>
  <c r="T497" i="7949" s="1"/>
  <c r="T475" i="7949"/>
  <c r="N586" i="7941"/>
  <c r="M900" i="7941"/>
  <c r="N11" i="7941"/>
  <c r="M325" i="7941"/>
  <c r="J949" i="7941"/>
  <c r="J1105" i="7941"/>
  <c r="T421" i="7949"/>
  <c r="T397" i="7949"/>
  <c r="T443" i="7949" s="1"/>
  <c r="M901" i="7941"/>
  <c r="N587" i="7941"/>
  <c r="M331" i="7941"/>
  <c r="N17" i="7941"/>
  <c r="M769" i="18"/>
  <c r="M1136" i="18"/>
  <c r="M911" i="7941"/>
  <c r="N597" i="7941"/>
  <c r="N1563" i="18"/>
  <c r="N1559" i="18"/>
  <c r="N884" i="18"/>
  <c r="N1145" i="18"/>
  <c r="O1562" i="18"/>
  <c r="J529" i="7941"/>
  <c r="N1557" i="18"/>
  <c r="T289" i="7949"/>
  <c r="T313" i="7949"/>
  <c r="N1141" i="18"/>
  <c r="T181" i="7949"/>
  <c r="T205" i="7949"/>
  <c r="N1149" i="18"/>
  <c r="T721" i="7949"/>
  <c r="T767" i="7949" s="1"/>
  <c r="T745" i="7949"/>
  <c r="N1143" i="18"/>
  <c r="N1565" i="18"/>
  <c r="O875" i="18"/>
  <c r="N1138" i="18"/>
  <c r="N15" i="7941"/>
  <c r="M329" i="7941"/>
  <c r="N593" i="7941"/>
  <c r="M907" i="7941"/>
  <c r="J1053" i="7941"/>
  <c r="J1001" i="7941"/>
  <c r="N10" i="7941"/>
  <c r="M324" i="7941"/>
  <c r="T97" i="7949"/>
  <c r="T73" i="7949"/>
  <c r="T119" i="7949" s="1"/>
  <c r="T227" i="7949" l="1"/>
  <c r="N122" i="7941"/>
  <c r="O780" i="18"/>
  <c r="N876" i="18"/>
  <c r="N1303" i="18"/>
  <c r="U721" i="7949"/>
  <c r="U767" i="7949" s="1"/>
  <c r="U745" i="7949"/>
  <c r="U181" i="7949"/>
  <c r="U205" i="7949"/>
  <c r="U289" i="7949"/>
  <c r="U313" i="7949"/>
  <c r="N883" i="18"/>
  <c r="N1297" i="18"/>
  <c r="N1307" i="18"/>
  <c r="U529" i="7949"/>
  <c r="U505" i="7949"/>
  <c r="N1299" i="18"/>
  <c r="O696" i="7941"/>
  <c r="P1198" i="18"/>
  <c r="O118" i="7941"/>
  <c r="P776" i="18"/>
  <c r="M583" i="7941"/>
  <c r="M7" i="7941"/>
  <c r="U397" i="7949"/>
  <c r="U443" i="7949" s="1"/>
  <c r="U421" i="7949"/>
  <c r="T335" i="7949"/>
  <c r="O1300" i="18"/>
  <c r="N877" i="18"/>
  <c r="N1296" i="18"/>
  <c r="N1305" i="18"/>
  <c r="L897" i="7941"/>
  <c r="O113" i="7941"/>
  <c r="P771" i="18"/>
  <c r="U97" i="7949"/>
  <c r="U73" i="7949"/>
  <c r="U119" i="7949" s="1"/>
  <c r="N881" i="18"/>
  <c r="N887" i="18"/>
  <c r="N879" i="18"/>
  <c r="N1295" i="18"/>
  <c r="N1301" i="18"/>
  <c r="M1135" i="18"/>
  <c r="M874" i="18"/>
  <c r="U451" i="7949"/>
  <c r="U497" i="7949" s="1"/>
  <c r="U475" i="7949"/>
  <c r="N885" i="18"/>
  <c r="O120" i="7941"/>
  <c r="P778" i="18"/>
  <c r="R65" i="7949"/>
  <c r="U613" i="7949"/>
  <c r="U659" i="7949" s="1"/>
  <c r="U637" i="7949"/>
  <c r="M1555" i="18"/>
  <c r="M1294" i="18"/>
  <c r="U367" i="7949"/>
  <c r="U343" i="7949"/>
  <c r="U389" i="7949" s="1"/>
  <c r="N1304" i="18"/>
  <c r="U151" i="7949"/>
  <c r="U127" i="7949"/>
  <c r="U173" i="7949" s="1"/>
  <c r="U583" i="7949"/>
  <c r="U559" i="7949"/>
  <c r="U605" i="7949" s="1"/>
  <c r="L321" i="7941"/>
  <c r="S43" i="7949"/>
  <c r="S19" i="7949"/>
  <c r="S65" i="7949" l="1"/>
  <c r="U335" i="7949"/>
  <c r="T43" i="7949"/>
  <c r="T19" i="7949"/>
  <c r="V583" i="7949"/>
  <c r="V559" i="7949"/>
  <c r="V605" i="7949" s="1"/>
  <c r="N698" i="7941"/>
  <c r="O1200" i="18"/>
  <c r="M688" i="7941"/>
  <c r="M1293" i="18"/>
  <c r="N1190" i="18"/>
  <c r="P16" i="7941"/>
  <c r="O330" i="7941"/>
  <c r="M112" i="7941"/>
  <c r="M873" i="18"/>
  <c r="N770" i="18"/>
  <c r="K1139" i="7941"/>
  <c r="K1005" i="7941"/>
  <c r="K1110" i="7941"/>
  <c r="K1146" i="7941"/>
  <c r="K1135" i="7941"/>
  <c r="K1118" i="7941"/>
  <c r="K1045" i="7941"/>
  <c r="K1008" i="7941"/>
  <c r="K1107" i="7941"/>
  <c r="K1029" i="7941"/>
  <c r="K1154" i="7941"/>
  <c r="K1043" i="7941"/>
  <c r="K1027" i="7941"/>
  <c r="K1009" i="7941"/>
  <c r="K1127" i="7941"/>
  <c r="K1023" i="7941"/>
  <c r="K1006" i="7941"/>
  <c r="K1149" i="7941"/>
  <c r="K1050" i="7941"/>
  <c r="K1048" i="7941"/>
  <c r="K1028" i="7941"/>
  <c r="K1155" i="7941"/>
  <c r="K1106" i="7941"/>
  <c r="K1014" i="7941"/>
  <c r="K1018" i="7941"/>
  <c r="K1137" i="7941"/>
  <c r="K1034" i="7941"/>
  <c r="K1143" i="7941"/>
  <c r="K1115" i="7941"/>
  <c r="K1051" i="7941"/>
  <c r="K1002" i="7941"/>
  <c r="K1114" i="7941"/>
  <c r="K1031" i="7941"/>
  <c r="K1141" i="7941"/>
  <c r="K1124" i="7941"/>
  <c r="K1131" i="7941"/>
  <c r="K1047" i="7941"/>
  <c r="K1041" i="7941"/>
  <c r="K1152" i="7941"/>
  <c r="K1046" i="7941"/>
  <c r="K1144" i="7941"/>
  <c r="K1145" i="7941"/>
  <c r="K1134" i="7941"/>
  <c r="K1123" i="7941"/>
  <c r="K1120" i="7941"/>
  <c r="K1109" i="7941"/>
  <c r="K1025" i="7941"/>
  <c r="K1021" i="7941"/>
  <c r="K1020" i="7941"/>
  <c r="K1017" i="7941"/>
  <c r="K1112" i="7941"/>
  <c r="K1042" i="7941"/>
  <c r="K1121" i="7941"/>
  <c r="K1039" i="7941"/>
  <c r="K1003" i="7941"/>
  <c r="K1007" i="7941"/>
  <c r="K1140" i="7941"/>
  <c r="K1022" i="7941"/>
  <c r="K1024" i="7941"/>
  <c r="K1032" i="7941"/>
  <c r="K1037" i="7941"/>
  <c r="K1040" i="7941"/>
  <c r="K1016" i="7941"/>
  <c r="K1035" i="7941"/>
  <c r="K1119" i="7941"/>
  <c r="K1129" i="7941"/>
  <c r="K1015" i="7941"/>
  <c r="K1148" i="7941"/>
  <c r="K1130" i="7941"/>
  <c r="K1153" i="7941"/>
  <c r="K1151" i="7941"/>
  <c r="K1010" i="7941"/>
  <c r="K1108" i="7941"/>
  <c r="K1116" i="7941"/>
  <c r="K1026" i="7941"/>
  <c r="K1113" i="7941"/>
  <c r="K1150" i="7941"/>
  <c r="K1013" i="7941"/>
  <c r="K1019" i="7941"/>
  <c r="K1126" i="7941"/>
  <c r="K1136" i="7941"/>
  <c r="K1038" i="7941"/>
  <c r="K1049" i="7941"/>
  <c r="K1004" i="7941"/>
  <c r="K1012" i="7941"/>
  <c r="K1044" i="7941"/>
  <c r="K1117" i="7941"/>
  <c r="K1125" i="7941"/>
  <c r="K1011" i="7941"/>
  <c r="K1142" i="7941"/>
  <c r="K1128" i="7941"/>
  <c r="K1033" i="7941"/>
  <c r="K1030" i="7941"/>
  <c r="K1138" i="7941"/>
  <c r="K1036" i="7941"/>
  <c r="K1111" i="7941"/>
  <c r="K1122" i="7941"/>
  <c r="K1132" i="7941"/>
  <c r="K1133" i="7941"/>
  <c r="K1147" i="7941"/>
  <c r="K959" i="7941"/>
  <c r="K1079" i="7941"/>
  <c r="K982" i="7941"/>
  <c r="K1075" i="7941"/>
  <c r="K957" i="7941"/>
  <c r="K1094" i="7941"/>
  <c r="K988" i="7941"/>
  <c r="K1092" i="7941"/>
  <c r="K976" i="7941"/>
  <c r="K954" i="7941"/>
  <c r="K1089" i="7941"/>
  <c r="K975" i="7941"/>
  <c r="K962" i="7941"/>
  <c r="K972" i="7941"/>
  <c r="K971" i="7941"/>
  <c r="K1056" i="7941"/>
  <c r="K995" i="7941"/>
  <c r="K1064" i="7941"/>
  <c r="K969" i="7941"/>
  <c r="K989" i="7941"/>
  <c r="K1080" i="7941"/>
  <c r="K1057" i="7941"/>
  <c r="K984" i="7941"/>
  <c r="K1077" i="7941"/>
  <c r="K1066" i="7941"/>
  <c r="K1099" i="7941"/>
  <c r="K1098" i="7941"/>
  <c r="K1061" i="7941"/>
  <c r="K1083" i="7941"/>
  <c r="K990" i="7941"/>
  <c r="K1095" i="7941"/>
  <c r="K1076" i="7941"/>
  <c r="K1093" i="7941"/>
  <c r="K1074" i="7941"/>
  <c r="K1073" i="7941"/>
  <c r="K1085" i="7941"/>
  <c r="K1100" i="7941"/>
  <c r="K952" i="7941"/>
  <c r="K965" i="7941"/>
  <c r="K987" i="7941"/>
  <c r="K1082" i="7941"/>
  <c r="K993" i="7941"/>
  <c r="K967" i="7941"/>
  <c r="K999" i="7941"/>
  <c r="K1078" i="7941"/>
  <c r="K1086" i="7941"/>
  <c r="K986" i="7941"/>
  <c r="K978" i="7941"/>
  <c r="K1097" i="7941"/>
  <c r="K1069" i="7941"/>
  <c r="K970" i="7941"/>
  <c r="K1065" i="7941"/>
  <c r="K1062" i="7941"/>
  <c r="K1068" i="7941"/>
  <c r="K956" i="7941"/>
  <c r="K977" i="7941"/>
  <c r="K966" i="7941"/>
  <c r="K1055" i="7941"/>
  <c r="K974" i="7941"/>
  <c r="K1072" i="7941"/>
  <c r="K1060" i="7941"/>
  <c r="K1063" i="7941"/>
  <c r="K960" i="7941"/>
  <c r="K979" i="7941"/>
  <c r="K961" i="7941"/>
  <c r="K950" i="7941"/>
  <c r="K1070" i="7941"/>
  <c r="K955" i="7941"/>
  <c r="K991" i="7941"/>
  <c r="K953" i="7941"/>
  <c r="K1058" i="7941"/>
  <c r="K1071" i="7941"/>
  <c r="K1054" i="7941"/>
  <c r="K1091" i="7941"/>
  <c r="K983" i="7941"/>
  <c r="K964" i="7941"/>
  <c r="K951" i="7941"/>
  <c r="K997" i="7941"/>
  <c r="K1088" i="7941"/>
  <c r="K1102" i="7941"/>
  <c r="K1081" i="7941"/>
  <c r="K1059" i="7941"/>
  <c r="K996" i="7941"/>
  <c r="K994" i="7941"/>
  <c r="K1090" i="7941"/>
  <c r="K985" i="7941"/>
  <c r="K1103" i="7941"/>
  <c r="K1087" i="7941"/>
  <c r="K958" i="7941"/>
  <c r="K980" i="7941"/>
  <c r="K998" i="7941"/>
  <c r="K1096" i="7941"/>
  <c r="K992" i="7941"/>
  <c r="K963" i="7941"/>
  <c r="K968" i="7941"/>
  <c r="K1067" i="7941"/>
  <c r="K981" i="7941"/>
  <c r="K1101" i="7941"/>
  <c r="K1084" i="7941"/>
  <c r="K973" i="7941"/>
  <c r="N690" i="7941"/>
  <c r="O1192" i="18"/>
  <c r="O906" i="7941"/>
  <c r="P592" i="7941"/>
  <c r="V529" i="7949"/>
  <c r="V505" i="7949"/>
  <c r="V313" i="7949"/>
  <c r="V289" i="7949"/>
  <c r="V745" i="7949"/>
  <c r="V721" i="7949"/>
  <c r="V767" i="7949" s="1"/>
  <c r="N689" i="7941"/>
  <c r="O1191" i="18"/>
  <c r="N125" i="7941"/>
  <c r="O783" i="18"/>
  <c r="V421" i="7949"/>
  <c r="V397" i="7949"/>
  <c r="V443" i="7949" s="1"/>
  <c r="P1142" i="18"/>
  <c r="N691" i="7941"/>
  <c r="O1193" i="18"/>
  <c r="N114" i="7941"/>
  <c r="O772" i="18"/>
  <c r="O1146" i="18"/>
  <c r="K463" i="7941"/>
  <c r="K457" i="7941"/>
  <c r="K447" i="7941"/>
  <c r="K573" i="7941"/>
  <c r="K440" i="7941"/>
  <c r="K446" i="7941"/>
  <c r="K544" i="7941"/>
  <c r="K530" i="7941"/>
  <c r="K562" i="7941"/>
  <c r="K545" i="7941"/>
  <c r="K461" i="7941"/>
  <c r="K565" i="7941"/>
  <c r="K560" i="7941"/>
  <c r="K452" i="7941"/>
  <c r="K567" i="7941"/>
  <c r="K533" i="7941"/>
  <c r="K532" i="7941"/>
  <c r="K465" i="7941"/>
  <c r="K464" i="7941"/>
  <c r="K474" i="7941"/>
  <c r="K578" i="7941"/>
  <c r="K427" i="7941"/>
  <c r="K467" i="7941"/>
  <c r="K541" i="7941"/>
  <c r="K436" i="7941"/>
  <c r="K539" i="7941"/>
  <c r="K552" i="7941"/>
  <c r="K442" i="7941"/>
  <c r="K570" i="7941"/>
  <c r="K459" i="7941"/>
  <c r="K531" i="7941"/>
  <c r="K445" i="7941"/>
  <c r="K475" i="7941"/>
  <c r="K462" i="7941"/>
  <c r="K538" i="7941"/>
  <c r="K537" i="7941"/>
  <c r="K429" i="7941"/>
  <c r="K444" i="7941"/>
  <c r="K473" i="7941"/>
  <c r="K460" i="7941"/>
  <c r="K557" i="7941"/>
  <c r="K434" i="7941"/>
  <c r="K575" i="7941"/>
  <c r="K435" i="7941"/>
  <c r="K430" i="7941"/>
  <c r="K439" i="7941"/>
  <c r="K579" i="7941"/>
  <c r="K450" i="7941"/>
  <c r="K441" i="7941"/>
  <c r="K551" i="7941"/>
  <c r="K542" i="7941"/>
  <c r="K449" i="7941"/>
  <c r="K563" i="7941"/>
  <c r="K574" i="7941"/>
  <c r="K454" i="7941"/>
  <c r="K469" i="7941"/>
  <c r="K456" i="7941"/>
  <c r="K535" i="7941"/>
  <c r="K534" i="7941"/>
  <c r="K432" i="7941"/>
  <c r="K437" i="7941"/>
  <c r="K543" i="7941"/>
  <c r="K576" i="7941"/>
  <c r="K451" i="7941"/>
  <c r="K428" i="7941"/>
  <c r="K466" i="7941"/>
  <c r="K550" i="7941"/>
  <c r="K569" i="7941"/>
  <c r="K448" i="7941"/>
  <c r="K470" i="7941"/>
  <c r="K554" i="7941"/>
  <c r="K453" i="7941"/>
  <c r="K443" i="7941"/>
  <c r="K471" i="7941"/>
  <c r="K548" i="7941"/>
  <c r="K571" i="7941"/>
  <c r="K555" i="7941"/>
  <c r="K568" i="7941"/>
  <c r="K472" i="7941"/>
  <c r="K433" i="7941"/>
  <c r="K536" i="7941"/>
  <c r="K572" i="7941"/>
  <c r="K549" i="7941"/>
  <c r="K561" i="7941"/>
  <c r="K431" i="7941"/>
  <c r="K468" i="7941"/>
  <c r="K566" i="7941"/>
  <c r="K553" i="7941"/>
  <c r="K426" i="7941"/>
  <c r="K577" i="7941"/>
  <c r="K455" i="7941"/>
  <c r="K438" i="7941"/>
  <c r="K540" i="7941"/>
  <c r="K556" i="7941"/>
  <c r="K559" i="7941"/>
  <c r="K547" i="7941"/>
  <c r="K458" i="7941"/>
  <c r="K546" i="7941"/>
  <c r="K564" i="7941"/>
  <c r="K558" i="7941"/>
  <c r="K484" i="7941"/>
  <c r="K489" i="7941"/>
  <c r="K491" i="7941"/>
  <c r="K495" i="7941"/>
  <c r="K376" i="7941"/>
  <c r="K500" i="7941"/>
  <c r="K377" i="7941"/>
  <c r="K421" i="7941"/>
  <c r="K403" i="7941"/>
  <c r="K507" i="7941"/>
  <c r="K419" i="7941"/>
  <c r="K502" i="7941"/>
  <c r="K400" i="7941"/>
  <c r="K386" i="7941"/>
  <c r="K374" i="7941"/>
  <c r="K480" i="7941"/>
  <c r="K397" i="7941"/>
  <c r="K512" i="7941"/>
  <c r="K485" i="7941"/>
  <c r="K380" i="7941"/>
  <c r="K391" i="7941"/>
  <c r="K510" i="7941"/>
  <c r="K387" i="7941"/>
  <c r="K519" i="7941"/>
  <c r="K527" i="7941"/>
  <c r="K521" i="7941"/>
  <c r="K492" i="7941"/>
  <c r="K481" i="7941"/>
  <c r="K525" i="7941"/>
  <c r="K486" i="7941"/>
  <c r="K490" i="7941"/>
  <c r="K501" i="7941"/>
  <c r="K405" i="7941"/>
  <c r="K504" i="7941"/>
  <c r="K392" i="7941"/>
  <c r="K396" i="7941"/>
  <c r="K493" i="7941"/>
  <c r="K395" i="7941"/>
  <c r="K509" i="7941"/>
  <c r="K410" i="7941"/>
  <c r="K388" i="7941"/>
  <c r="K398" i="7941"/>
  <c r="K523" i="7941"/>
  <c r="K522" i="7941"/>
  <c r="K383" i="7941"/>
  <c r="K505" i="7941"/>
  <c r="K375" i="7941"/>
  <c r="K487" i="7941"/>
  <c r="K399" i="7941"/>
  <c r="K423" i="7941"/>
  <c r="K412" i="7941"/>
  <c r="K515" i="7941"/>
  <c r="K508" i="7941"/>
  <c r="K407" i="7941"/>
  <c r="K482" i="7941"/>
  <c r="K517" i="7941"/>
  <c r="K479" i="7941"/>
  <c r="K417" i="7941"/>
  <c r="K393" i="7941"/>
  <c r="K416" i="7941"/>
  <c r="K514" i="7941"/>
  <c r="K503" i="7941"/>
  <c r="K483" i="7941"/>
  <c r="K418" i="7941"/>
  <c r="K506" i="7941"/>
  <c r="K488" i="7941"/>
  <c r="K511" i="7941"/>
  <c r="K414" i="7941"/>
  <c r="K402" i="7941"/>
  <c r="K478" i="7941"/>
  <c r="K496" i="7941"/>
  <c r="K422" i="7941"/>
  <c r="K378" i="7941"/>
  <c r="K379" i="7941"/>
  <c r="K520" i="7941"/>
  <c r="K401" i="7941"/>
  <c r="K497" i="7941"/>
  <c r="K382" i="7941"/>
  <c r="K413" i="7941"/>
  <c r="K524" i="7941"/>
  <c r="K526" i="7941"/>
  <c r="K494" i="7941"/>
  <c r="K420" i="7941"/>
  <c r="K389" i="7941"/>
  <c r="K394" i="7941"/>
  <c r="K390" i="7941"/>
  <c r="K518" i="7941"/>
  <c r="K516" i="7941"/>
  <c r="K406" i="7941"/>
  <c r="K513" i="7941"/>
  <c r="K404" i="7941"/>
  <c r="K499" i="7941"/>
  <c r="K408" i="7941"/>
  <c r="K411" i="7941"/>
  <c r="K385" i="7941"/>
  <c r="K498" i="7941"/>
  <c r="K384" i="7941"/>
  <c r="K415" i="7941"/>
  <c r="K381" i="7941"/>
  <c r="K409" i="7941"/>
  <c r="V151" i="7949"/>
  <c r="V127" i="7949"/>
  <c r="V173" i="7949" s="1"/>
  <c r="V343" i="7949"/>
  <c r="V389" i="7949" s="1"/>
  <c r="V367" i="7949"/>
  <c r="N123" i="7941"/>
  <c r="O781" i="18"/>
  <c r="P1137" i="18"/>
  <c r="N699" i="7941"/>
  <c r="O1201" i="18"/>
  <c r="N115" i="7941"/>
  <c r="O773" i="18"/>
  <c r="O328" i="7941"/>
  <c r="P14" i="7941"/>
  <c r="N693" i="7941"/>
  <c r="O1195" i="18"/>
  <c r="N701" i="7941"/>
  <c r="O1203" i="18"/>
  <c r="V205" i="7949"/>
  <c r="V181" i="7949"/>
  <c r="O18" i="7941"/>
  <c r="N332" i="7941"/>
  <c r="V613" i="7949"/>
  <c r="V659" i="7949" s="1"/>
  <c r="V637" i="7949"/>
  <c r="P1144" i="18"/>
  <c r="V451" i="7949"/>
  <c r="V497" i="7949" s="1"/>
  <c r="V475" i="7949"/>
  <c r="N695" i="7941"/>
  <c r="O1197" i="18"/>
  <c r="N117" i="7941"/>
  <c r="O775" i="18"/>
  <c r="N119" i="7941"/>
  <c r="O777" i="18"/>
  <c r="V73" i="7949"/>
  <c r="V119" i="7949" s="1"/>
  <c r="V97" i="7949"/>
  <c r="P9" i="7941"/>
  <c r="O323" i="7941"/>
  <c r="O694" i="7941"/>
  <c r="P1196" i="18"/>
  <c r="P1564" i="18"/>
  <c r="N121" i="7941"/>
  <c r="O779" i="18"/>
  <c r="U227" i="7949"/>
  <c r="N697" i="7941"/>
  <c r="O1199" i="18"/>
  <c r="V335" i="7949" l="1"/>
  <c r="T65" i="7949"/>
  <c r="V227" i="7949"/>
  <c r="K477" i="7941"/>
  <c r="O593" i="7941"/>
  <c r="N907" i="7941"/>
  <c r="O1567" i="18"/>
  <c r="O1138" i="18"/>
  <c r="P880" i="18"/>
  <c r="O1149" i="18"/>
  <c r="O1558" i="18"/>
  <c r="K949" i="7941"/>
  <c r="M111" i="7941"/>
  <c r="M322" i="7941"/>
  <c r="N8" i="7941"/>
  <c r="O1563" i="18"/>
  <c r="O1147" i="18"/>
  <c r="N329" i="7941"/>
  <c r="O15" i="7941"/>
  <c r="N905" i="7941"/>
  <c r="O591" i="7941"/>
  <c r="O597" i="7941"/>
  <c r="N911" i="7941"/>
  <c r="O595" i="7941"/>
  <c r="N909" i="7941"/>
  <c r="N333" i="7941"/>
  <c r="O19" i="7941"/>
  <c r="W151" i="7949"/>
  <c r="W127" i="7949"/>
  <c r="W173" i="7949" s="1"/>
  <c r="K425" i="7941"/>
  <c r="N324" i="7941"/>
  <c r="O10" i="7941"/>
  <c r="N335" i="7941"/>
  <c r="O21" i="7941"/>
  <c r="W721" i="7949"/>
  <c r="W767" i="7949" s="1"/>
  <c r="W745" i="7949"/>
  <c r="W529" i="7949"/>
  <c r="W505" i="7949"/>
  <c r="O586" i="7941"/>
  <c r="N900" i="7941"/>
  <c r="K1053" i="7941"/>
  <c r="M687" i="7941"/>
  <c r="N584" i="7941"/>
  <c r="M898" i="7941"/>
  <c r="W583" i="7949"/>
  <c r="W559" i="7949"/>
  <c r="W605" i="7949" s="1"/>
  <c r="O1145" i="18"/>
  <c r="P1562" i="18"/>
  <c r="W97" i="7949"/>
  <c r="W73" i="7949"/>
  <c r="W119" i="7949" s="1"/>
  <c r="O1141" i="18"/>
  <c r="W451" i="7949"/>
  <c r="W497" i="7949" s="1"/>
  <c r="W475" i="7949"/>
  <c r="W613" i="7949"/>
  <c r="W659" i="7949" s="1"/>
  <c r="W637" i="7949"/>
  <c r="O1561" i="18"/>
  <c r="P875" i="18"/>
  <c r="K529" i="7941"/>
  <c r="O884" i="18"/>
  <c r="O1559" i="18"/>
  <c r="O1557" i="18"/>
  <c r="N769" i="18"/>
  <c r="N1136" i="18"/>
  <c r="O1566" i="18"/>
  <c r="P1302" i="18"/>
  <c r="O1143" i="18"/>
  <c r="P882" i="18"/>
  <c r="O1569" i="18"/>
  <c r="O1139" i="18"/>
  <c r="W367" i="7949"/>
  <c r="W343" i="7949"/>
  <c r="W389" i="7949" s="1"/>
  <c r="O1565" i="18"/>
  <c r="O17" i="7941"/>
  <c r="N331" i="7941"/>
  <c r="O904" i="7941"/>
  <c r="P590" i="7941"/>
  <c r="O13" i="7941"/>
  <c r="N327" i="7941"/>
  <c r="W181" i="7949"/>
  <c r="W205" i="7949"/>
  <c r="O589" i="7941"/>
  <c r="N903" i="7941"/>
  <c r="N325" i="7941"/>
  <c r="O11" i="7941"/>
  <c r="K373" i="7941"/>
  <c r="O587" i="7941"/>
  <c r="N901" i="7941"/>
  <c r="W397" i="7949"/>
  <c r="W443" i="7949" s="1"/>
  <c r="W421" i="7949"/>
  <c r="O585" i="7941"/>
  <c r="N899" i="7941"/>
  <c r="W289" i="7949"/>
  <c r="W313" i="7949"/>
  <c r="K1001" i="7941"/>
  <c r="K1105" i="7941"/>
  <c r="N1189" i="18"/>
  <c r="N1556" i="18"/>
  <c r="O594" i="7941"/>
  <c r="N908" i="7941"/>
  <c r="U43" i="7949"/>
  <c r="U19" i="7949"/>
  <c r="U65" i="7949" l="1"/>
  <c r="W335" i="7949"/>
  <c r="O1303" i="18"/>
  <c r="O877" i="18"/>
  <c r="O879" i="18"/>
  <c r="P1300" i="18"/>
  <c r="O1301" i="18"/>
  <c r="M321" i="7941"/>
  <c r="P118" i="7941"/>
  <c r="Q776" i="18"/>
  <c r="N1555" i="18"/>
  <c r="N1294" i="18"/>
  <c r="W227" i="7949"/>
  <c r="P120" i="7941"/>
  <c r="Q778" i="18"/>
  <c r="P696" i="7941"/>
  <c r="Q1198" i="18"/>
  <c r="N1135" i="18"/>
  <c r="N874" i="18"/>
  <c r="O1295" i="18"/>
  <c r="P113" i="7941"/>
  <c r="Q771" i="18"/>
  <c r="O885" i="18"/>
  <c r="O887" i="18"/>
  <c r="O876" i="18"/>
  <c r="V19" i="7949"/>
  <c r="V43" i="7949"/>
  <c r="O1307" i="18"/>
  <c r="O881" i="18"/>
  <c r="O1304" i="18"/>
  <c r="O122" i="7941"/>
  <c r="P780" i="18"/>
  <c r="O1299" i="18"/>
  <c r="O883" i="18"/>
  <c r="M897" i="7941"/>
  <c r="O1297" i="18"/>
  <c r="N583" i="7941"/>
  <c r="N7" i="7941"/>
  <c r="O1296" i="18"/>
  <c r="O1305" i="18"/>
  <c r="V65" i="7949" l="1"/>
  <c r="L1147" i="7941"/>
  <c r="L1051" i="7941"/>
  <c r="L1005" i="7941"/>
  <c r="L1130" i="7941"/>
  <c r="L1126" i="7941"/>
  <c r="L1150" i="7941"/>
  <c r="L1045" i="7941"/>
  <c r="L1020" i="7941"/>
  <c r="L1108" i="7941"/>
  <c r="L1023" i="7941"/>
  <c r="L1048" i="7941"/>
  <c r="L1018" i="7941"/>
  <c r="L1134" i="7941"/>
  <c r="L1028" i="7941"/>
  <c r="L1148" i="7941"/>
  <c r="L1118" i="7941"/>
  <c r="L1007" i="7941"/>
  <c r="L1107" i="7941"/>
  <c r="L1043" i="7941"/>
  <c r="L1149" i="7941"/>
  <c r="L1137" i="7941"/>
  <c r="L1139" i="7941"/>
  <c r="L1141" i="7941"/>
  <c r="L1135" i="7941"/>
  <c r="L1035" i="7941"/>
  <c r="L1039" i="7941"/>
  <c r="L1033" i="7941"/>
  <c r="L1121" i="7941"/>
  <c r="L1002" i="7941"/>
  <c r="L1031" i="7941"/>
  <c r="L1153" i="7941"/>
  <c r="L1129" i="7941"/>
  <c r="L1038" i="7941"/>
  <c r="L1136" i="7941"/>
  <c r="L1017" i="7941"/>
  <c r="L1026" i="7941"/>
  <c r="L1144" i="7941"/>
  <c r="L1142" i="7941"/>
  <c r="L1138" i="7941"/>
  <c r="L1024" i="7941"/>
  <c r="L1015" i="7941"/>
  <c r="L1145" i="7941"/>
  <c r="L1123" i="7941"/>
  <c r="L1004" i="7941"/>
  <c r="L1106" i="7941"/>
  <c r="L1050" i="7941"/>
  <c r="L1154" i="7941"/>
  <c r="L1125" i="7941"/>
  <c r="L1049" i="7941"/>
  <c r="L1114" i="7941"/>
  <c r="L1117" i="7941"/>
  <c r="L1027" i="7941"/>
  <c r="L1014" i="7941"/>
  <c r="L1008" i="7941"/>
  <c r="L1109" i="7941"/>
  <c r="L1041" i="7941"/>
  <c r="L1131" i="7941"/>
  <c r="L1115" i="7941"/>
  <c r="L1030" i="7941"/>
  <c r="L1146" i="7941"/>
  <c r="L1042" i="7941"/>
  <c r="L1010" i="7941"/>
  <c r="L1128" i="7941"/>
  <c r="L1021" i="7941"/>
  <c r="L1111" i="7941"/>
  <c r="L1046" i="7941"/>
  <c r="L1110" i="7941"/>
  <c r="L1013" i="7941"/>
  <c r="L1116" i="7941"/>
  <c r="L1119" i="7941"/>
  <c r="L1133" i="7941"/>
  <c r="L1132" i="7941"/>
  <c r="L1155" i="7941"/>
  <c r="L1009" i="7941"/>
  <c r="L1016" i="7941"/>
  <c r="L1127" i="7941"/>
  <c r="L1012" i="7941"/>
  <c r="L1037" i="7941"/>
  <c r="L1120" i="7941"/>
  <c r="L1151" i="7941"/>
  <c r="L1040" i="7941"/>
  <c r="L1112" i="7941"/>
  <c r="L1032" i="7941"/>
  <c r="L1124" i="7941"/>
  <c r="L1143" i="7941"/>
  <c r="L1036" i="7941"/>
  <c r="L1025" i="7941"/>
  <c r="L1022" i="7941"/>
  <c r="L1047" i="7941"/>
  <c r="L1140" i="7941"/>
  <c r="L1019" i="7941"/>
  <c r="L1006" i="7941"/>
  <c r="L1044" i="7941"/>
  <c r="L1029" i="7941"/>
  <c r="L1003" i="7941"/>
  <c r="L1011" i="7941"/>
  <c r="L1034" i="7941"/>
  <c r="L1089" i="7941"/>
  <c r="L995" i="7941"/>
  <c r="L1097" i="7941"/>
  <c r="L1061" i="7941"/>
  <c r="L953" i="7941"/>
  <c r="L984" i="7941"/>
  <c r="L991" i="7941"/>
  <c r="L1062" i="7941"/>
  <c r="L982" i="7941"/>
  <c r="L978" i="7941"/>
  <c r="L960" i="7941"/>
  <c r="L1092" i="7941"/>
  <c r="L986" i="7941"/>
  <c r="L966" i="7941"/>
  <c r="L1122" i="7941" s="1"/>
  <c r="L961" i="7941"/>
  <c r="L1065" i="7941"/>
  <c r="L996" i="7941"/>
  <c r="L1152" i="7941" s="1"/>
  <c r="L951" i="7941"/>
  <c r="L1064" i="7941"/>
  <c r="L1093" i="7941"/>
  <c r="L973" i="7941"/>
  <c r="L970" i="7941"/>
  <c r="L994" i="7941"/>
  <c r="L957" i="7941"/>
  <c r="L1113" i="7941" s="1"/>
  <c r="L979" i="7941"/>
  <c r="L1060" i="7941"/>
  <c r="L1084" i="7941"/>
  <c r="L1095" i="7941"/>
  <c r="L1072" i="7941"/>
  <c r="L1096" i="7941"/>
  <c r="L958" i="7941"/>
  <c r="L1083" i="7941"/>
  <c r="L1080" i="7941"/>
  <c r="L987" i="7941"/>
  <c r="L1074" i="7941"/>
  <c r="L968" i="7941"/>
  <c r="L1102" i="7941"/>
  <c r="L1088" i="7941"/>
  <c r="L962" i="7941"/>
  <c r="L1087" i="7941"/>
  <c r="L972" i="7941"/>
  <c r="L990" i="7941"/>
  <c r="L992" i="7941"/>
  <c r="L1066" i="7941"/>
  <c r="L1085" i="7941"/>
  <c r="L993" i="7941"/>
  <c r="L969" i="7941"/>
  <c r="L1077" i="7941"/>
  <c r="L974" i="7941"/>
  <c r="L1054" i="7941"/>
  <c r="L976" i="7941"/>
  <c r="L1090" i="7941"/>
  <c r="L1082" i="7941"/>
  <c r="L1063" i="7941"/>
  <c r="L1078" i="7941"/>
  <c r="L950" i="7941"/>
  <c r="L1055" i="7941"/>
  <c r="L1069" i="7941"/>
  <c r="L956" i="7941"/>
  <c r="L1099" i="7941"/>
  <c r="L985" i="7941"/>
  <c r="L1068" i="7941"/>
  <c r="L1073" i="7941"/>
  <c r="L1091" i="7941"/>
  <c r="L1071" i="7941"/>
  <c r="L997" i="7941"/>
  <c r="L963" i="7941"/>
  <c r="L981" i="7941"/>
  <c r="L998" i="7941"/>
  <c r="L980" i="7941"/>
  <c r="L1056" i="7941"/>
  <c r="L1081" i="7941"/>
  <c r="L1086" i="7941"/>
  <c r="L959" i="7941"/>
  <c r="L975" i="7941"/>
  <c r="L1070" i="7941"/>
  <c r="L1101" i="7941"/>
  <c r="L983" i="7941"/>
  <c r="L999" i="7941"/>
  <c r="L952" i="7941"/>
  <c r="L1075" i="7941"/>
  <c r="L955" i="7941"/>
  <c r="L971" i="7941"/>
  <c r="L1094" i="7941"/>
  <c r="L967" i="7941"/>
  <c r="L989" i="7941"/>
  <c r="L988" i="7941"/>
  <c r="L1057" i="7941"/>
  <c r="L1076" i="7941"/>
  <c r="L965" i="7941"/>
  <c r="L1067" i="7941"/>
  <c r="L1059" i="7941"/>
  <c r="L1098" i="7941"/>
  <c r="L1058" i="7941"/>
  <c r="L977" i="7941"/>
  <c r="L1100" i="7941"/>
  <c r="L964" i="7941"/>
  <c r="L954" i="7941"/>
  <c r="L1103" i="7941"/>
  <c r="L1079" i="7941"/>
  <c r="O693" i="7941"/>
  <c r="P1195" i="18"/>
  <c r="O698" i="7941"/>
  <c r="P1200" i="18"/>
  <c r="O701" i="7941"/>
  <c r="P1203" i="18"/>
  <c r="P330" i="7941"/>
  <c r="Q16" i="7941"/>
  <c r="Q14" i="7941"/>
  <c r="P328" i="7941"/>
  <c r="O695" i="7941"/>
  <c r="P1197" i="18"/>
  <c r="O117" i="7941"/>
  <c r="P775" i="18"/>
  <c r="O697" i="7941"/>
  <c r="P1199" i="18"/>
  <c r="O690" i="7941"/>
  <c r="P1192" i="18"/>
  <c r="P1146" i="18"/>
  <c r="O114" i="7941"/>
  <c r="P772" i="18"/>
  <c r="O123" i="7941"/>
  <c r="P781" i="18"/>
  <c r="O689" i="7941"/>
  <c r="P1191" i="18"/>
  <c r="Q1564" i="18"/>
  <c r="Q1302" i="18" s="1"/>
  <c r="O699" i="7941"/>
  <c r="P1201" i="18"/>
  <c r="O691" i="7941"/>
  <c r="P1193" i="18"/>
  <c r="O121" i="7941"/>
  <c r="P779" i="18"/>
  <c r="P18" i="7941"/>
  <c r="O332" i="7941"/>
  <c r="O119" i="7941"/>
  <c r="P777" i="18"/>
  <c r="W19" i="7949"/>
  <c r="W43" i="7949"/>
  <c r="Q1137" i="18"/>
  <c r="Q875" i="18" s="1"/>
  <c r="P906" i="7941"/>
  <c r="Q592" i="7941"/>
  <c r="L453" i="7941"/>
  <c r="L549" i="7941"/>
  <c r="L573" i="7941"/>
  <c r="L536" i="7941"/>
  <c r="L547" i="7941"/>
  <c r="L572" i="7941"/>
  <c r="L459" i="7941"/>
  <c r="L454" i="7941"/>
  <c r="L436" i="7941"/>
  <c r="L576" i="7941"/>
  <c r="L560" i="7941"/>
  <c r="L450" i="7941"/>
  <c r="L540" i="7941"/>
  <c r="L569" i="7941"/>
  <c r="L530" i="7941"/>
  <c r="L460" i="7941"/>
  <c r="L464" i="7941"/>
  <c r="L563" i="7941"/>
  <c r="L533" i="7941"/>
  <c r="L578" i="7941"/>
  <c r="L458" i="7941"/>
  <c r="L475" i="7941"/>
  <c r="L448" i="7941"/>
  <c r="L461" i="7941"/>
  <c r="L574" i="7941"/>
  <c r="L534" i="7941"/>
  <c r="L467" i="7941"/>
  <c r="L568" i="7941"/>
  <c r="L570" i="7941"/>
  <c r="L566" i="7941"/>
  <c r="L462" i="7941"/>
  <c r="L446" i="7941"/>
  <c r="L466" i="7941"/>
  <c r="L579" i="7941"/>
  <c r="L555" i="7941"/>
  <c r="L428" i="7941"/>
  <c r="L567" i="7941"/>
  <c r="L447" i="7941"/>
  <c r="L426" i="7941"/>
  <c r="L541" i="7941"/>
  <c r="L550" i="7941"/>
  <c r="L553" i="7941"/>
  <c r="L543" i="7941"/>
  <c r="L442" i="7941"/>
  <c r="L429" i="7941"/>
  <c r="L457" i="7941"/>
  <c r="L455" i="7941"/>
  <c r="L431" i="7941"/>
  <c r="L469" i="7941"/>
  <c r="L554" i="7941"/>
  <c r="L571" i="7941"/>
  <c r="L434" i="7941"/>
  <c r="L557" i="7941"/>
  <c r="L427" i="7941"/>
  <c r="L470" i="7941"/>
  <c r="L552" i="7941"/>
  <c r="L559" i="7941"/>
  <c r="L471" i="7941"/>
  <c r="L441" i="7941"/>
  <c r="L545" i="7941"/>
  <c r="L531" i="7941"/>
  <c r="L440" i="7941"/>
  <c r="L445" i="7941"/>
  <c r="L468" i="7941"/>
  <c r="L548" i="7941"/>
  <c r="L561" i="7941"/>
  <c r="L537" i="7941"/>
  <c r="L544" i="7941"/>
  <c r="L444" i="7941"/>
  <c r="L535" i="7941"/>
  <c r="L538" i="7941"/>
  <c r="L463" i="7941"/>
  <c r="L577" i="7941"/>
  <c r="L451" i="7941"/>
  <c r="L564" i="7941"/>
  <c r="L437" i="7941"/>
  <c r="L539" i="7941"/>
  <c r="L551" i="7941"/>
  <c r="L565" i="7941"/>
  <c r="L575" i="7941"/>
  <c r="L472" i="7941"/>
  <c r="L452" i="7941"/>
  <c r="L439" i="7941"/>
  <c r="L474" i="7941"/>
  <c r="L443" i="7941"/>
  <c r="L456" i="7941"/>
  <c r="L473" i="7941"/>
  <c r="L438" i="7941"/>
  <c r="L465" i="7941"/>
  <c r="L449" i="7941"/>
  <c r="L435" i="7941"/>
  <c r="L556" i="7941"/>
  <c r="L433" i="7941"/>
  <c r="L432" i="7941"/>
  <c r="L542" i="7941"/>
  <c r="L546" i="7941"/>
  <c r="L562" i="7941"/>
  <c r="L558" i="7941"/>
  <c r="L430" i="7941"/>
  <c r="L532" i="7941"/>
  <c r="L409" i="7941"/>
  <c r="L515" i="7941"/>
  <c r="L388" i="7941"/>
  <c r="L415" i="7941"/>
  <c r="L522" i="7941"/>
  <c r="L526" i="7941"/>
  <c r="L497" i="7941"/>
  <c r="L375" i="7941"/>
  <c r="L486" i="7941"/>
  <c r="L408" i="7941"/>
  <c r="L407" i="7941"/>
  <c r="L394" i="7941"/>
  <c r="L498" i="7941"/>
  <c r="L507" i="7941"/>
  <c r="L485" i="7941"/>
  <c r="L517" i="7941"/>
  <c r="L519" i="7941"/>
  <c r="L516" i="7941"/>
  <c r="L414" i="7941"/>
  <c r="L420" i="7941"/>
  <c r="L403" i="7941"/>
  <c r="L413" i="7941"/>
  <c r="L512" i="7941"/>
  <c r="L402" i="7941"/>
  <c r="L480" i="7941"/>
  <c r="L390" i="7941"/>
  <c r="L489" i="7941"/>
  <c r="L422" i="7941"/>
  <c r="L412" i="7941"/>
  <c r="L384" i="7941"/>
  <c r="L478" i="7941"/>
  <c r="L410" i="7941"/>
  <c r="L383" i="7941"/>
  <c r="L500" i="7941"/>
  <c r="L503" i="7941"/>
  <c r="L382" i="7941"/>
  <c r="L509" i="7941"/>
  <c r="L521" i="7941"/>
  <c r="L386" i="7941"/>
  <c r="L484" i="7941"/>
  <c r="L514" i="7941"/>
  <c r="L405" i="7941"/>
  <c r="L481" i="7941"/>
  <c r="L508" i="7941"/>
  <c r="L387" i="7941"/>
  <c r="L396" i="7941"/>
  <c r="L395" i="7941"/>
  <c r="L495" i="7941"/>
  <c r="L411" i="7941"/>
  <c r="L482" i="7941"/>
  <c r="L523" i="7941"/>
  <c r="L493" i="7941"/>
  <c r="L501" i="7941"/>
  <c r="L381" i="7941"/>
  <c r="L423" i="7941"/>
  <c r="L502" i="7941"/>
  <c r="L392" i="7941"/>
  <c r="L377" i="7941"/>
  <c r="L421" i="7941"/>
  <c r="L400" i="7941"/>
  <c r="L491" i="7941"/>
  <c r="L513" i="7941"/>
  <c r="L398" i="7941"/>
  <c r="L499" i="7941"/>
  <c r="L479" i="7941"/>
  <c r="L510" i="7941"/>
  <c r="L385" i="7941"/>
  <c r="L401" i="7941"/>
  <c r="L399" i="7941"/>
  <c r="L378" i="7941"/>
  <c r="L504" i="7941"/>
  <c r="L524" i="7941"/>
  <c r="L416" i="7941"/>
  <c r="L525" i="7941"/>
  <c r="L506" i="7941"/>
  <c r="L483" i="7941"/>
  <c r="L404" i="7941"/>
  <c r="L376" i="7941"/>
  <c r="L518" i="7941"/>
  <c r="L505" i="7941"/>
  <c r="L488" i="7941"/>
  <c r="L374" i="7941"/>
  <c r="L496" i="7941"/>
  <c r="L527" i="7941"/>
  <c r="L419" i="7941"/>
  <c r="L406" i="7941"/>
  <c r="L487" i="7941"/>
  <c r="L490" i="7941"/>
  <c r="L492" i="7941"/>
  <c r="L494" i="7941"/>
  <c r="L391" i="7941"/>
  <c r="L418" i="7941"/>
  <c r="L380" i="7941"/>
  <c r="L511" i="7941"/>
  <c r="L520" i="7941"/>
  <c r="L389" i="7941"/>
  <c r="L417" i="7941"/>
  <c r="L397" i="7941"/>
  <c r="L393" i="7941"/>
  <c r="L379" i="7941"/>
  <c r="P694" i="7941"/>
  <c r="Q1196" i="18"/>
  <c r="O115" i="7941"/>
  <c r="P773" i="18"/>
  <c r="O125" i="7941"/>
  <c r="P783" i="18"/>
  <c r="P323" i="7941"/>
  <c r="Q9" i="7941"/>
  <c r="N112" i="7941"/>
  <c r="N873" i="18"/>
  <c r="O770" i="18"/>
  <c r="Q1144" i="18"/>
  <c r="Q882" i="18" s="1"/>
  <c r="N688" i="7941"/>
  <c r="N1293" i="18"/>
  <c r="O1190" i="18"/>
  <c r="Q1142" i="18"/>
  <c r="Q880" i="18" s="1"/>
  <c r="Q113" i="7941" l="1"/>
  <c r="Q323" i="7941" s="1"/>
  <c r="Q696" i="7941"/>
  <c r="Q906" i="7941" s="1"/>
  <c r="Q118" i="7941"/>
  <c r="Q328" i="7941" s="1"/>
  <c r="Q120" i="7941"/>
  <c r="W65" i="7949"/>
  <c r="R1198" i="18"/>
  <c r="O901" i="7941"/>
  <c r="P587" i="7941"/>
  <c r="P19" i="7941"/>
  <c r="O333" i="7941"/>
  <c r="O907" i="7941"/>
  <c r="P593" i="7941"/>
  <c r="O905" i="7941"/>
  <c r="P591" i="7941"/>
  <c r="Q330" i="7941"/>
  <c r="O908" i="7941"/>
  <c r="P594" i="7941"/>
  <c r="P1569" i="18"/>
  <c r="P1561" i="18"/>
  <c r="L1053" i="7941"/>
  <c r="O325" i="7941"/>
  <c r="P11" i="7941"/>
  <c r="L477" i="7941"/>
  <c r="L425" i="7941"/>
  <c r="L529" i="7941"/>
  <c r="Q1562" i="18"/>
  <c r="Q1300" i="18" s="1"/>
  <c r="P1143" i="18"/>
  <c r="P1145" i="18"/>
  <c r="P1557" i="18"/>
  <c r="P1138" i="18"/>
  <c r="P1558" i="18"/>
  <c r="R776" i="18"/>
  <c r="O335" i="7941"/>
  <c r="P21" i="7941"/>
  <c r="R771" i="18"/>
  <c r="P15" i="7941"/>
  <c r="O329" i="7941"/>
  <c r="O331" i="7941"/>
  <c r="P17" i="7941"/>
  <c r="O909" i="7941"/>
  <c r="P595" i="7941"/>
  <c r="O899" i="7941"/>
  <c r="P585" i="7941"/>
  <c r="O324" i="7941"/>
  <c r="P10" i="7941"/>
  <c r="O900" i="7941"/>
  <c r="P586" i="7941"/>
  <c r="O327" i="7941"/>
  <c r="P13" i="7941"/>
  <c r="O911" i="7941"/>
  <c r="P597" i="7941"/>
  <c r="P589" i="7941"/>
  <c r="O903" i="7941"/>
  <c r="O769" i="18"/>
  <c r="O1136" i="18"/>
  <c r="N687" i="7941"/>
  <c r="N898" i="7941"/>
  <c r="O584" i="7941"/>
  <c r="P1149" i="18"/>
  <c r="L373" i="7941"/>
  <c r="P1567" i="18"/>
  <c r="P1141" i="18"/>
  <c r="N111" i="7941"/>
  <c r="N322" i="7941"/>
  <c r="O8" i="7941"/>
  <c r="Q590" i="7941"/>
  <c r="P904" i="7941"/>
  <c r="O1189" i="18"/>
  <c r="O1556" i="18"/>
  <c r="R778" i="18"/>
  <c r="P1139" i="18"/>
  <c r="P1559" i="18"/>
  <c r="P1147" i="18"/>
  <c r="P884" i="18"/>
  <c r="P1565" i="18"/>
  <c r="P1563" i="18"/>
  <c r="P1566" i="18"/>
  <c r="L949" i="7941"/>
  <c r="L1105" i="7941"/>
  <c r="L1001" i="7941"/>
  <c r="Q694" i="7941" l="1"/>
  <c r="O7" i="7941"/>
  <c r="P887" i="18"/>
  <c r="P1304" i="18"/>
  <c r="P1303" i="18"/>
  <c r="P885" i="18"/>
  <c r="O1555" i="18"/>
  <c r="O1294" i="18"/>
  <c r="P879" i="18"/>
  <c r="N897" i="7941"/>
  <c r="P1296" i="18"/>
  <c r="P1295" i="18"/>
  <c r="P881" i="18"/>
  <c r="P1307" i="18"/>
  <c r="P1301" i="18"/>
  <c r="P1297" i="18"/>
  <c r="N321" i="7941"/>
  <c r="P1305" i="18"/>
  <c r="P876" i="18"/>
  <c r="P883" i="18"/>
  <c r="P1299" i="18"/>
  <c r="P877" i="18"/>
  <c r="P122" i="7941"/>
  <c r="Q780" i="18"/>
  <c r="Q904" i="7941"/>
  <c r="O583" i="7941"/>
  <c r="O1135" i="18"/>
  <c r="O874" i="18"/>
  <c r="R1196" i="18"/>
  <c r="Q18" i="7941" l="1"/>
  <c r="P332" i="7941"/>
  <c r="P697" i="7941"/>
  <c r="Q1199" i="18"/>
  <c r="P693" i="7941"/>
  <c r="Q1195" i="18"/>
  <c r="P114" i="7941"/>
  <c r="Q772" i="18"/>
  <c r="P699" i="7941"/>
  <c r="Q1201" i="18"/>
  <c r="P691" i="7941"/>
  <c r="Q1193" i="18"/>
  <c r="P119" i="7941"/>
  <c r="Q777" i="18"/>
  <c r="P690" i="7941"/>
  <c r="Q1192" i="18"/>
  <c r="P117" i="7941"/>
  <c r="Q775" i="18"/>
  <c r="P125" i="7941"/>
  <c r="Q783" i="18"/>
  <c r="O873" i="18"/>
  <c r="O112" i="7941"/>
  <c r="P770" i="18"/>
  <c r="P701" i="7941"/>
  <c r="Q1203" i="18"/>
  <c r="P123" i="7941"/>
  <c r="Q781" i="18"/>
  <c r="P698" i="7941"/>
  <c r="Q1200" i="18"/>
  <c r="Q1146" i="18"/>
  <c r="Q884" i="18" s="1"/>
  <c r="P115" i="7941"/>
  <c r="Q773" i="18"/>
  <c r="P121" i="7941"/>
  <c r="Q779" i="18"/>
  <c r="M454" i="7941"/>
  <c r="M558" i="7941" s="1"/>
  <c r="M470" i="7941"/>
  <c r="M574" i="7941" s="1"/>
  <c r="M429" i="7941"/>
  <c r="M533" i="7941" s="1"/>
  <c r="M465" i="7941"/>
  <c r="M569" i="7941" s="1"/>
  <c r="M462" i="7941"/>
  <c r="M566" i="7941" s="1"/>
  <c r="M453" i="7941"/>
  <c r="M557" i="7941" s="1"/>
  <c r="M460" i="7941"/>
  <c r="M564" i="7941" s="1"/>
  <c r="M433" i="7941"/>
  <c r="M537" i="7941" s="1"/>
  <c r="M458" i="7941"/>
  <c r="M562" i="7941" s="1"/>
  <c r="M452" i="7941"/>
  <c r="M556" i="7941" s="1"/>
  <c r="M475" i="7941"/>
  <c r="M579" i="7941" s="1"/>
  <c r="M472" i="7941"/>
  <c r="M576" i="7941" s="1"/>
  <c r="M464" i="7941"/>
  <c r="M568" i="7941" s="1"/>
  <c r="M430" i="7941"/>
  <c r="M534" i="7941" s="1"/>
  <c r="M436" i="7941"/>
  <c r="M540" i="7941" s="1"/>
  <c r="M466" i="7941"/>
  <c r="M570" i="7941" s="1"/>
  <c r="M448" i="7941"/>
  <c r="M552" i="7941" s="1"/>
  <c r="M441" i="7941"/>
  <c r="M545" i="7941" s="1"/>
  <c r="M431" i="7941"/>
  <c r="M535" i="7941" s="1"/>
  <c r="M440" i="7941"/>
  <c r="M544" i="7941" s="1"/>
  <c r="M445" i="7941"/>
  <c r="M549" i="7941" s="1"/>
  <c r="M443" i="7941"/>
  <c r="M547" i="7941" s="1"/>
  <c r="M438" i="7941"/>
  <c r="M542" i="7941" s="1"/>
  <c r="M444" i="7941"/>
  <c r="M548" i="7941" s="1"/>
  <c r="M469" i="7941"/>
  <c r="M573" i="7941" s="1"/>
  <c r="M432" i="7941"/>
  <c r="M536" i="7941" s="1"/>
  <c r="M473" i="7941"/>
  <c r="M577" i="7941" s="1"/>
  <c r="M468" i="7941"/>
  <c r="M572" i="7941" s="1"/>
  <c r="M449" i="7941"/>
  <c r="M553" i="7941" s="1"/>
  <c r="M450" i="7941"/>
  <c r="M554" i="7941" s="1"/>
  <c r="M451" i="7941"/>
  <c r="M555" i="7941" s="1"/>
  <c r="M456" i="7941"/>
  <c r="M560" i="7941" s="1"/>
  <c r="M457" i="7941"/>
  <c r="M561" i="7941" s="1"/>
  <c r="M434" i="7941"/>
  <c r="M538" i="7941" s="1"/>
  <c r="M455" i="7941"/>
  <c r="M559" i="7941" s="1"/>
  <c r="M435" i="7941"/>
  <c r="M539" i="7941" s="1"/>
  <c r="M437" i="7941"/>
  <c r="M541" i="7941" s="1"/>
  <c r="M426" i="7941"/>
  <c r="M428" i="7941"/>
  <c r="M532" i="7941" s="1"/>
  <c r="M447" i="7941"/>
  <c r="M551" i="7941" s="1"/>
  <c r="M530" i="7941"/>
  <c r="M459" i="7941"/>
  <c r="M563" i="7941" s="1"/>
  <c r="M474" i="7941"/>
  <c r="M578" i="7941" s="1"/>
  <c r="M446" i="7941"/>
  <c r="M550" i="7941" s="1"/>
  <c r="M427" i="7941"/>
  <c r="M531" i="7941" s="1"/>
  <c r="M467" i="7941"/>
  <c r="M571" i="7941" s="1"/>
  <c r="M439" i="7941"/>
  <c r="M543" i="7941" s="1"/>
  <c r="M463" i="7941"/>
  <c r="M567" i="7941" s="1"/>
  <c r="M461" i="7941"/>
  <c r="M565" i="7941" s="1"/>
  <c r="M471" i="7941"/>
  <c r="M575" i="7941" s="1"/>
  <c r="M442" i="7941"/>
  <c r="M546" i="7941" s="1"/>
  <c r="M527" i="7941"/>
  <c r="M499" i="7941"/>
  <c r="M507" i="7941"/>
  <c r="M516" i="7941"/>
  <c r="M510" i="7941"/>
  <c r="M410" i="7941"/>
  <c r="M380" i="7941"/>
  <c r="M409" i="7941"/>
  <c r="M419" i="7941"/>
  <c r="M493" i="7941"/>
  <c r="M394" i="7941"/>
  <c r="M480" i="7941"/>
  <c r="M495" i="7941"/>
  <c r="M381" i="7941"/>
  <c r="M518" i="7941"/>
  <c r="M399" i="7941"/>
  <c r="M379" i="7941"/>
  <c r="M413" i="7941"/>
  <c r="M489" i="7941"/>
  <c r="M391" i="7941"/>
  <c r="M376" i="7941"/>
  <c r="M405" i="7941"/>
  <c r="M417" i="7941"/>
  <c r="M423" i="7941"/>
  <c r="M403" i="7941"/>
  <c r="M513" i="7941"/>
  <c r="M509" i="7941"/>
  <c r="M487" i="7941"/>
  <c r="M416" i="7941"/>
  <c r="M485" i="7941"/>
  <c r="M418" i="7941"/>
  <c r="M491" i="7941"/>
  <c r="M388" i="7941"/>
  <c r="M488" i="7941"/>
  <c r="M501" i="7941"/>
  <c r="M482" i="7941"/>
  <c r="M521" i="7941"/>
  <c r="M389" i="7941"/>
  <c r="M378" i="7941"/>
  <c r="M408" i="7941"/>
  <c r="M390" i="7941"/>
  <c r="M385" i="7941"/>
  <c r="M481" i="7941"/>
  <c r="M401" i="7941"/>
  <c r="M492" i="7941"/>
  <c r="M407" i="7941"/>
  <c r="M384" i="7941"/>
  <c r="M392" i="7941"/>
  <c r="M517" i="7941"/>
  <c r="M479" i="7941"/>
  <c r="M402" i="7941"/>
  <c r="M486" i="7941"/>
  <c r="M374" i="7941"/>
  <c r="M484" i="7941"/>
  <c r="M519" i="7941"/>
  <c r="M520" i="7941"/>
  <c r="M523" i="7941"/>
  <c r="M503" i="7941"/>
  <c r="M414" i="7941"/>
  <c r="M412" i="7941"/>
  <c r="M411" i="7941"/>
  <c r="M478" i="7941"/>
  <c r="M375" i="7941"/>
  <c r="M377" i="7941"/>
  <c r="M512" i="7941"/>
  <c r="M421" i="7941"/>
  <c r="M387" i="7941"/>
  <c r="M397" i="7941"/>
  <c r="M524" i="7941"/>
  <c r="M393" i="7941"/>
  <c r="M383" i="7941"/>
  <c r="M396" i="7941"/>
  <c r="M395" i="7941"/>
  <c r="M494" i="7941"/>
  <c r="M420" i="7941"/>
  <c r="M522" i="7941"/>
  <c r="M504" i="7941"/>
  <c r="M382" i="7941"/>
  <c r="M497" i="7941"/>
  <c r="M505" i="7941"/>
  <c r="M498" i="7941"/>
  <c r="M400" i="7941"/>
  <c r="M511" i="7941"/>
  <c r="M415" i="7941"/>
  <c r="M500" i="7941"/>
  <c r="M502" i="7941"/>
  <c r="M404" i="7941"/>
  <c r="M525" i="7941"/>
  <c r="M506" i="7941"/>
  <c r="M422" i="7941"/>
  <c r="M526" i="7941"/>
  <c r="M386" i="7941"/>
  <c r="M514" i="7941"/>
  <c r="M406" i="7941"/>
  <c r="M398" i="7941"/>
  <c r="M490" i="7941"/>
  <c r="M496" i="7941"/>
  <c r="M508" i="7941"/>
  <c r="M483" i="7941"/>
  <c r="M515" i="7941"/>
  <c r="P695" i="7941"/>
  <c r="Q1197" i="18"/>
  <c r="P689" i="7941"/>
  <c r="Q1191" i="18"/>
  <c r="M1014" i="7941"/>
  <c r="M1118" i="7941" s="1"/>
  <c r="M1025" i="7941"/>
  <c r="M1129" i="7941" s="1"/>
  <c r="M1038" i="7941"/>
  <c r="M1142" i="7941" s="1"/>
  <c r="M1028" i="7941"/>
  <c r="M1132" i="7941" s="1"/>
  <c r="M1035" i="7941"/>
  <c r="M1139" i="7941" s="1"/>
  <c r="M1008" i="7941"/>
  <c r="M1112" i="7941" s="1"/>
  <c r="M1037" i="7941"/>
  <c r="M1141" i="7941" s="1"/>
  <c r="M1006" i="7941"/>
  <c r="M1110" i="7941" s="1"/>
  <c r="M1043" i="7941"/>
  <c r="M1147" i="7941" s="1"/>
  <c r="M1032" i="7941"/>
  <c r="M1136" i="7941" s="1"/>
  <c r="M1044" i="7941"/>
  <c r="M1148" i="7941" s="1"/>
  <c r="M1010" i="7941"/>
  <c r="M1114" i="7941" s="1"/>
  <c r="M1021" i="7941"/>
  <c r="M1125" i="7941" s="1"/>
  <c r="M1007" i="7941"/>
  <c r="M1111" i="7941" s="1"/>
  <c r="M1013" i="7941"/>
  <c r="M1117" i="7941" s="1"/>
  <c r="M1011" i="7941"/>
  <c r="M1115" i="7941" s="1"/>
  <c r="M1046" i="7941"/>
  <c r="M1150" i="7941" s="1"/>
  <c r="M1030" i="7941"/>
  <c r="M1134" i="7941" s="1"/>
  <c r="M1020" i="7941"/>
  <c r="M1124" i="7941" s="1"/>
  <c r="M1027" i="7941"/>
  <c r="M1131" i="7941" s="1"/>
  <c r="M1050" i="7941"/>
  <c r="M1154" i="7941" s="1"/>
  <c r="M1036" i="7941"/>
  <c r="M1140" i="7941" s="1"/>
  <c r="M1045" i="7941"/>
  <c r="M1149" i="7941" s="1"/>
  <c r="M1016" i="7941"/>
  <c r="M1120" i="7941" s="1"/>
  <c r="M1018" i="7941"/>
  <c r="M1122" i="7941" s="1"/>
  <c r="M1051" i="7941"/>
  <c r="M1155" i="7941" s="1"/>
  <c r="M1002" i="7941"/>
  <c r="M1049" i="7941"/>
  <c r="M1153" i="7941" s="1"/>
  <c r="M1019" i="7941"/>
  <c r="M1123" i="7941" s="1"/>
  <c r="M1041" i="7941"/>
  <c r="M1145" i="7941" s="1"/>
  <c r="M1004" i="7941"/>
  <c r="M1108" i="7941" s="1"/>
  <c r="M1034" i="7941"/>
  <c r="M1138" i="7941" s="1"/>
  <c r="M1026" i="7941"/>
  <c r="M1130" i="7941" s="1"/>
  <c r="M1009" i="7941"/>
  <c r="M1113" i="7941" s="1"/>
  <c r="M1031" i="7941"/>
  <c r="M1135" i="7941" s="1"/>
  <c r="M1042" i="7941"/>
  <c r="M1146" i="7941" s="1"/>
  <c r="M1017" i="7941"/>
  <c r="M1121" i="7941" s="1"/>
  <c r="M1023" i="7941"/>
  <c r="M1127" i="7941" s="1"/>
  <c r="M1003" i="7941"/>
  <c r="M1107" i="7941" s="1"/>
  <c r="M1015" i="7941"/>
  <c r="M1119" i="7941" s="1"/>
  <c r="M1040" i="7941"/>
  <c r="M1144" i="7941" s="1"/>
  <c r="M1039" i="7941"/>
  <c r="M1143" i="7941" s="1"/>
  <c r="M1047" i="7941"/>
  <c r="M1151" i="7941" s="1"/>
  <c r="M1048" i="7941"/>
  <c r="M1152" i="7941" s="1"/>
  <c r="M1033" i="7941"/>
  <c r="M1137" i="7941" s="1"/>
  <c r="M1029" i="7941"/>
  <c r="M1133" i="7941" s="1"/>
  <c r="M1022" i="7941"/>
  <c r="M1126" i="7941" s="1"/>
  <c r="M1106" i="7941"/>
  <c r="M1005" i="7941"/>
  <c r="M1109" i="7941" s="1"/>
  <c r="M1012" i="7941"/>
  <c r="M1116" i="7941" s="1"/>
  <c r="M1024" i="7941"/>
  <c r="M1128" i="7941" s="1"/>
  <c r="M958" i="7941"/>
  <c r="M954" i="7941"/>
  <c r="M959" i="7941"/>
  <c r="M990" i="7941"/>
  <c r="M1061" i="7941"/>
  <c r="M953" i="7941"/>
  <c r="M1064" i="7941"/>
  <c r="M962" i="7941"/>
  <c r="M998" i="7941"/>
  <c r="M1103" i="7941"/>
  <c r="M1095" i="7941"/>
  <c r="M972" i="7941"/>
  <c r="M994" i="7941"/>
  <c r="M965" i="7941"/>
  <c r="M979" i="7941"/>
  <c r="M974" i="7941"/>
  <c r="M1088" i="7941"/>
  <c r="M956" i="7941"/>
  <c r="M982" i="7941"/>
  <c r="M1075" i="7941"/>
  <c r="M989" i="7941"/>
  <c r="M1072" i="7941"/>
  <c r="M1080" i="7941"/>
  <c r="M976" i="7941"/>
  <c r="M966" i="7941"/>
  <c r="M952" i="7941"/>
  <c r="M995" i="7941"/>
  <c r="M1068" i="7941"/>
  <c r="M986" i="7941"/>
  <c r="M1092" i="7941"/>
  <c r="M977" i="7941"/>
  <c r="M951" i="7941"/>
  <c r="M1079" i="7941"/>
  <c r="M1063" i="7941"/>
  <c r="M996" i="7941"/>
  <c r="M997" i="7941"/>
  <c r="M1069" i="7941"/>
  <c r="M988" i="7941"/>
  <c r="M1087" i="7941"/>
  <c r="M1078" i="7941"/>
  <c r="M993" i="7941"/>
  <c r="M967" i="7941"/>
  <c r="M985" i="7941"/>
  <c r="M964" i="7941"/>
  <c r="M1099" i="7941"/>
  <c r="M981" i="7941"/>
  <c r="M1096" i="7941"/>
  <c r="M1098" i="7941"/>
  <c r="M1071" i="7941"/>
  <c r="M991" i="7941"/>
  <c r="M1074" i="7941"/>
  <c r="M1102" i="7941"/>
  <c r="M983" i="7941"/>
  <c r="M1067" i="7941"/>
  <c r="M1081" i="7941"/>
  <c r="M1085" i="7941"/>
  <c r="M1056" i="7941"/>
  <c r="M1097" i="7941"/>
  <c r="M1066" i="7941"/>
  <c r="M984" i="7941"/>
  <c r="M1083" i="7941"/>
  <c r="M1093" i="7941"/>
  <c r="M992" i="7941"/>
  <c r="M1054" i="7941"/>
  <c r="M1062" i="7941"/>
  <c r="M950" i="7941"/>
  <c r="M968" i="7941"/>
  <c r="M1070" i="7941"/>
  <c r="M1084" i="7941"/>
  <c r="M1057" i="7941"/>
  <c r="M1059" i="7941"/>
  <c r="M1077" i="7941"/>
  <c r="M1086" i="7941"/>
  <c r="M973" i="7941"/>
  <c r="M957" i="7941"/>
  <c r="M987" i="7941"/>
  <c r="M955" i="7941"/>
  <c r="M969" i="7941"/>
  <c r="M978" i="7941"/>
  <c r="M1073" i="7941"/>
  <c r="M1065" i="7941"/>
  <c r="M1090" i="7941"/>
  <c r="M1101" i="7941"/>
  <c r="M1100" i="7941"/>
  <c r="M1060" i="7941"/>
  <c r="M980" i="7941"/>
  <c r="M975" i="7941"/>
  <c r="M1094" i="7941"/>
  <c r="M1089" i="7941"/>
  <c r="M1082" i="7941"/>
  <c r="M1091" i="7941"/>
  <c r="M961" i="7941"/>
  <c r="M1076" i="7941"/>
  <c r="M963" i="7941"/>
  <c r="M999" i="7941"/>
  <c r="M970" i="7941"/>
  <c r="M1058" i="7941"/>
  <c r="M960" i="7941"/>
  <c r="M971" i="7941"/>
  <c r="M1055" i="7941"/>
  <c r="O688" i="7941"/>
  <c r="O1293" i="18"/>
  <c r="P1190" i="18"/>
  <c r="Q122" i="7941" l="1"/>
  <c r="R780" i="18"/>
  <c r="P1189" i="18"/>
  <c r="P1556" i="18"/>
  <c r="Q1563" i="18"/>
  <c r="Q1301" i="18" s="1"/>
  <c r="M477" i="7941"/>
  <c r="M529" i="7941"/>
  <c r="P325" i="7941"/>
  <c r="Q11" i="7941"/>
  <c r="P908" i="7941"/>
  <c r="Q594" i="7941"/>
  <c r="P911" i="7941"/>
  <c r="Q597" i="7941"/>
  <c r="Q1149" i="18"/>
  <c r="Q887" i="18" s="1"/>
  <c r="Q1558" i="18"/>
  <c r="Q1296" i="18" s="1"/>
  <c r="Q1559" i="18"/>
  <c r="Q1297" i="18" s="1"/>
  <c r="Q1138" i="18"/>
  <c r="Q876" i="18" s="1"/>
  <c r="Q1565" i="18"/>
  <c r="Q1303" i="18" s="1"/>
  <c r="M949" i="7941"/>
  <c r="P905" i="7941"/>
  <c r="Q591" i="7941"/>
  <c r="M373" i="7941"/>
  <c r="Q1145" i="18"/>
  <c r="Q883" i="18" s="1"/>
  <c r="Q1147" i="18"/>
  <c r="Q885" i="18" s="1"/>
  <c r="P769" i="18"/>
  <c r="P1136" i="18"/>
  <c r="Q21" i="7941"/>
  <c r="P335" i="7941"/>
  <c r="P900" i="7941"/>
  <c r="Q586" i="7941"/>
  <c r="Q587" i="7941"/>
  <c r="P901" i="7941"/>
  <c r="P324" i="7941"/>
  <c r="Q10" i="7941"/>
  <c r="Q593" i="7941"/>
  <c r="P907" i="7941"/>
  <c r="O687" i="7941"/>
  <c r="O898" i="7941"/>
  <c r="P584" i="7941"/>
  <c r="M1105" i="7941"/>
  <c r="Q1557" i="18"/>
  <c r="Q1295" i="18" s="1"/>
  <c r="Q17" i="7941"/>
  <c r="P331" i="7941"/>
  <c r="Q19" i="7941"/>
  <c r="P333" i="7941"/>
  <c r="O111" i="7941"/>
  <c r="P8" i="7941"/>
  <c r="O322" i="7941"/>
  <c r="Q1141" i="18"/>
  <c r="Q879" i="18" s="1"/>
  <c r="Q1143" i="18"/>
  <c r="Q881" i="18" s="1"/>
  <c r="Q1567" i="18"/>
  <c r="Q1305" i="18" s="1"/>
  <c r="Q1561" i="18"/>
  <c r="Q1299" i="18" s="1"/>
  <c r="Q332" i="7941"/>
  <c r="M1053" i="7941"/>
  <c r="M1001" i="7941"/>
  <c r="Q585" i="7941"/>
  <c r="P899" i="7941"/>
  <c r="M425" i="7941"/>
  <c r="Q1139" i="18"/>
  <c r="Q877" i="18" s="1"/>
  <c r="Q1566" i="18"/>
  <c r="Q1304" i="18" s="1"/>
  <c r="Q1569" i="18"/>
  <c r="Q1307" i="18" s="1"/>
  <c r="P327" i="7941"/>
  <c r="Q13" i="7941"/>
  <c r="P329" i="7941"/>
  <c r="Q15" i="7941"/>
  <c r="P909" i="7941"/>
  <c r="Q595" i="7941"/>
  <c r="P903" i="7941"/>
  <c r="Q589" i="7941"/>
  <c r="Q115" i="7941" l="1"/>
  <c r="Q325" i="7941" s="1"/>
  <c r="Q701" i="7941"/>
  <c r="Q689" i="7941"/>
  <c r="Q114" i="7941"/>
  <c r="Q324" i="7941" s="1"/>
  <c r="Q695" i="7941"/>
  <c r="Q905" i="7941" s="1"/>
  <c r="Q117" i="7941"/>
  <c r="Q698" i="7941"/>
  <c r="Q693" i="7941"/>
  <c r="Q903" i="7941" s="1"/>
  <c r="Q123" i="7941"/>
  <c r="Q691" i="7941"/>
  <c r="Q699" i="7941"/>
  <c r="Q121" i="7941"/>
  <c r="Q690" i="7941"/>
  <c r="Q900" i="7941" s="1"/>
  <c r="Q119" i="7941"/>
  <c r="Q697" i="7941"/>
  <c r="Q125" i="7941"/>
  <c r="Q335" i="7941" s="1"/>
  <c r="R1197" i="18"/>
  <c r="Q901" i="7941"/>
  <c r="R1191" i="18"/>
  <c r="Q329" i="7941"/>
  <c r="R1203" i="18"/>
  <c r="R1192" i="18"/>
  <c r="R777" i="18"/>
  <c r="R772" i="18"/>
  <c r="R773" i="18"/>
  <c r="R1195" i="18"/>
  <c r="P7" i="7941"/>
  <c r="Q911" i="7941"/>
  <c r="P583" i="7941"/>
  <c r="P1555" i="18"/>
  <c r="P1294" i="18"/>
  <c r="Q909" i="7941"/>
  <c r="Q327" i="7941"/>
  <c r="R1200" i="18"/>
  <c r="Q899" i="7941"/>
  <c r="R1201" i="18"/>
  <c r="R775" i="18"/>
  <c r="Q333" i="7941"/>
  <c r="O897" i="7941"/>
  <c r="P1135" i="18"/>
  <c r="P874" i="18"/>
  <c r="R781" i="18"/>
  <c r="R1193" i="18"/>
  <c r="R783" i="18"/>
  <c r="Q908" i="7941"/>
  <c r="O321" i="7941"/>
  <c r="P873" i="18" l="1"/>
  <c r="P112" i="7941"/>
  <c r="Q770" i="18"/>
  <c r="P688" i="7941"/>
  <c r="P1293" i="18"/>
  <c r="Q1190" i="18"/>
  <c r="N471" i="7941"/>
  <c r="N575" i="7941" s="1"/>
  <c r="N437" i="7941"/>
  <c r="N541" i="7941" s="1"/>
  <c r="N432" i="7941"/>
  <c r="N536" i="7941" s="1"/>
  <c r="N436" i="7941"/>
  <c r="N540" i="7941" s="1"/>
  <c r="N431" i="7941"/>
  <c r="N535" i="7941" s="1"/>
  <c r="N426" i="7941"/>
  <c r="N433" i="7941"/>
  <c r="N537" i="7941" s="1"/>
  <c r="N448" i="7941"/>
  <c r="N552" i="7941" s="1"/>
  <c r="N429" i="7941"/>
  <c r="N533" i="7941" s="1"/>
  <c r="N430" i="7941"/>
  <c r="N534" i="7941" s="1"/>
  <c r="N441" i="7941"/>
  <c r="N545" i="7941" s="1"/>
  <c r="N444" i="7941"/>
  <c r="N548" i="7941" s="1"/>
  <c r="N452" i="7941"/>
  <c r="N556" i="7941" s="1"/>
  <c r="N447" i="7941"/>
  <c r="N551" i="7941" s="1"/>
  <c r="N445" i="7941"/>
  <c r="N549" i="7941" s="1"/>
  <c r="N470" i="7941"/>
  <c r="N574" i="7941" s="1"/>
  <c r="N428" i="7941"/>
  <c r="N532" i="7941" s="1"/>
  <c r="N475" i="7941"/>
  <c r="N579" i="7941" s="1"/>
  <c r="N449" i="7941"/>
  <c r="N553" i="7941" s="1"/>
  <c r="N442" i="7941"/>
  <c r="N546" i="7941" s="1"/>
  <c r="N439" i="7941"/>
  <c r="N543" i="7941" s="1"/>
  <c r="N463" i="7941"/>
  <c r="N567" i="7941" s="1"/>
  <c r="N443" i="7941"/>
  <c r="N547" i="7941" s="1"/>
  <c r="N434" i="7941"/>
  <c r="N538" i="7941" s="1"/>
  <c r="N474" i="7941"/>
  <c r="N578" i="7941" s="1"/>
  <c r="N453" i="7941"/>
  <c r="N557" i="7941" s="1"/>
  <c r="N465" i="7941"/>
  <c r="N569" i="7941" s="1"/>
  <c r="N468" i="7941"/>
  <c r="N572" i="7941" s="1"/>
  <c r="N456" i="7941"/>
  <c r="N560" i="7941" s="1"/>
  <c r="N427" i="7941"/>
  <c r="N531" i="7941" s="1"/>
  <c r="N464" i="7941"/>
  <c r="N568" i="7941" s="1"/>
  <c r="N435" i="7941"/>
  <c r="N539" i="7941" s="1"/>
  <c r="N466" i="7941"/>
  <c r="N570" i="7941" s="1"/>
  <c r="N461" i="7941"/>
  <c r="N565" i="7941" s="1"/>
  <c r="N450" i="7941"/>
  <c r="N554" i="7941" s="1"/>
  <c r="N446" i="7941"/>
  <c r="N550" i="7941" s="1"/>
  <c r="N457" i="7941"/>
  <c r="N561" i="7941" s="1"/>
  <c r="N458" i="7941"/>
  <c r="N562" i="7941" s="1"/>
  <c r="N459" i="7941"/>
  <c r="N563" i="7941" s="1"/>
  <c r="N454" i="7941"/>
  <c r="N558" i="7941" s="1"/>
  <c r="N455" i="7941"/>
  <c r="N559" i="7941" s="1"/>
  <c r="N469" i="7941"/>
  <c r="N573" i="7941" s="1"/>
  <c r="N472" i="7941"/>
  <c r="N576" i="7941" s="1"/>
  <c r="N462" i="7941"/>
  <c r="N566" i="7941" s="1"/>
  <c r="N530" i="7941"/>
  <c r="N460" i="7941"/>
  <c r="N564" i="7941" s="1"/>
  <c r="N473" i="7941"/>
  <c r="N577" i="7941" s="1"/>
  <c r="N440" i="7941"/>
  <c r="N544" i="7941" s="1"/>
  <c r="N467" i="7941"/>
  <c r="N571" i="7941" s="1"/>
  <c r="N451" i="7941"/>
  <c r="N555" i="7941" s="1"/>
  <c r="N438" i="7941"/>
  <c r="N542" i="7941" s="1"/>
  <c r="N525" i="7941"/>
  <c r="N508" i="7941"/>
  <c r="N504" i="7941"/>
  <c r="N381" i="7941"/>
  <c r="N400" i="7941"/>
  <c r="N418" i="7941"/>
  <c r="N524" i="7941"/>
  <c r="N386" i="7941"/>
  <c r="N399" i="7941"/>
  <c r="N411" i="7941"/>
  <c r="N403" i="7941"/>
  <c r="N490" i="7941"/>
  <c r="N484" i="7941"/>
  <c r="N382" i="7941"/>
  <c r="N413" i="7941"/>
  <c r="N500" i="7941"/>
  <c r="N520" i="7941"/>
  <c r="N401" i="7941"/>
  <c r="N417" i="7941"/>
  <c r="N516" i="7941"/>
  <c r="N488" i="7941"/>
  <c r="N527" i="7941"/>
  <c r="N498" i="7941"/>
  <c r="N422" i="7941"/>
  <c r="N503" i="7941"/>
  <c r="N481" i="7941"/>
  <c r="N514" i="7941"/>
  <c r="N478" i="7941"/>
  <c r="N513" i="7941"/>
  <c r="N391" i="7941"/>
  <c r="N494" i="7941"/>
  <c r="N423" i="7941"/>
  <c r="N497" i="7941"/>
  <c r="N379" i="7941"/>
  <c r="N502" i="7941"/>
  <c r="N395" i="7941"/>
  <c r="N523" i="7941"/>
  <c r="N483" i="7941"/>
  <c r="N404" i="7941"/>
  <c r="N526" i="7941"/>
  <c r="N402" i="7941"/>
  <c r="N385" i="7941"/>
  <c r="N388" i="7941"/>
  <c r="N397" i="7941"/>
  <c r="N505" i="7941"/>
  <c r="N384" i="7941"/>
  <c r="N376" i="7941"/>
  <c r="N414" i="7941"/>
  <c r="N495" i="7941"/>
  <c r="N408" i="7941"/>
  <c r="N374" i="7941"/>
  <c r="N518" i="7941"/>
  <c r="N375" i="7941"/>
  <c r="N491" i="7941"/>
  <c r="N409" i="7941"/>
  <c r="N496" i="7941"/>
  <c r="N522" i="7941"/>
  <c r="N410" i="7941"/>
  <c r="N511" i="7941"/>
  <c r="N398" i="7941"/>
  <c r="N416" i="7941"/>
  <c r="N377" i="7941"/>
  <c r="N485" i="7941"/>
  <c r="N515" i="7941"/>
  <c r="N512" i="7941"/>
  <c r="N383" i="7941"/>
  <c r="N499" i="7941"/>
  <c r="N479" i="7941"/>
  <c r="N420" i="7941"/>
  <c r="N415" i="7941"/>
  <c r="N506" i="7941"/>
  <c r="N392" i="7941"/>
  <c r="N393" i="7941"/>
  <c r="N519" i="7941"/>
  <c r="N406" i="7941"/>
  <c r="N493" i="7941"/>
  <c r="N380" i="7941"/>
  <c r="N387" i="7941"/>
  <c r="N486" i="7941"/>
  <c r="N517" i="7941"/>
  <c r="N482" i="7941"/>
  <c r="N509" i="7941"/>
  <c r="N510" i="7941"/>
  <c r="N501" i="7941"/>
  <c r="N489" i="7941"/>
  <c r="N405" i="7941"/>
  <c r="N394" i="7941"/>
  <c r="N507" i="7941"/>
  <c r="N480" i="7941"/>
  <c r="N407" i="7941"/>
  <c r="N492" i="7941"/>
  <c r="N521" i="7941"/>
  <c r="N390" i="7941"/>
  <c r="N396" i="7941"/>
  <c r="N389" i="7941"/>
  <c r="N421" i="7941"/>
  <c r="N412" i="7941"/>
  <c r="N378" i="7941"/>
  <c r="N487" i="7941"/>
  <c r="N419" i="7941"/>
  <c r="N1023" i="7941"/>
  <c r="N1127" i="7941" s="1"/>
  <c r="N1050" i="7941"/>
  <c r="N1154" i="7941" s="1"/>
  <c r="N1032" i="7941"/>
  <c r="N1136" i="7941" s="1"/>
  <c r="N1030" i="7941"/>
  <c r="N1134" i="7941" s="1"/>
  <c r="N1051" i="7941"/>
  <c r="N1155" i="7941" s="1"/>
  <c r="N1042" i="7941"/>
  <c r="N1146" i="7941" s="1"/>
  <c r="N1106" i="7941"/>
  <c r="N1019" i="7941"/>
  <c r="N1123" i="7941" s="1"/>
  <c r="N1004" i="7941"/>
  <c r="N1108" i="7941" s="1"/>
  <c r="N1040" i="7941"/>
  <c r="N1144" i="7941" s="1"/>
  <c r="N1028" i="7941"/>
  <c r="N1132" i="7941" s="1"/>
  <c r="N1038" i="7941"/>
  <c r="N1142" i="7941" s="1"/>
  <c r="N1007" i="7941"/>
  <c r="N1111" i="7941" s="1"/>
  <c r="N1016" i="7941"/>
  <c r="N1120" i="7941" s="1"/>
  <c r="N1008" i="7941"/>
  <c r="N1112" i="7941" s="1"/>
  <c r="N1012" i="7941"/>
  <c r="N1116" i="7941" s="1"/>
  <c r="N1041" i="7941"/>
  <c r="N1145" i="7941" s="1"/>
  <c r="N1037" i="7941"/>
  <c r="N1141" i="7941" s="1"/>
  <c r="N1033" i="7941"/>
  <c r="N1137" i="7941" s="1"/>
  <c r="N1018" i="7941"/>
  <c r="N1122" i="7941" s="1"/>
  <c r="N1044" i="7941"/>
  <c r="N1148" i="7941" s="1"/>
  <c r="N1009" i="7941"/>
  <c r="N1113" i="7941" s="1"/>
  <c r="N1039" i="7941"/>
  <c r="N1143" i="7941" s="1"/>
  <c r="N1013" i="7941"/>
  <c r="N1117" i="7941" s="1"/>
  <c r="N1046" i="7941"/>
  <c r="N1150" i="7941" s="1"/>
  <c r="N1045" i="7941"/>
  <c r="N1149" i="7941" s="1"/>
  <c r="N1017" i="7941"/>
  <c r="N1121" i="7941" s="1"/>
  <c r="N1047" i="7941"/>
  <c r="N1151" i="7941" s="1"/>
  <c r="N1035" i="7941"/>
  <c r="N1139" i="7941" s="1"/>
  <c r="N1029" i="7941"/>
  <c r="N1133" i="7941" s="1"/>
  <c r="N1048" i="7941"/>
  <c r="N1152" i="7941" s="1"/>
  <c r="N1021" i="7941"/>
  <c r="N1125" i="7941" s="1"/>
  <c r="N1014" i="7941"/>
  <c r="N1118" i="7941" s="1"/>
  <c r="N1015" i="7941"/>
  <c r="N1119" i="7941" s="1"/>
  <c r="N1024" i="7941"/>
  <c r="N1128" i="7941" s="1"/>
  <c r="N1043" i="7941"/>
  <c r="N1147" i="7941" s="1"/>
  <c r="N1010" i="7941"/>
  <c r="N1114" i="7941" s="1"/>
  <c r="N1031" i="7941"/>
  <c r="N1135" i="7941" s="1"/>
  <c r="N1027" i="7941"/>
  <c r="N1131" i="7941" s="1"/>
  <c r="N1025" i="7941"/>
  <c r="N1129" i="7941" s="1"/>
  <c r="N1006" i="7941"/>
  <c r="N1110" i="7941" s="1"/>
  <c r="N1011" i="7941"/>
  <c r="N1115" i="7941" s="1"/>
  <c r="N1022" i="7941"/>
  <c r="N1126" i="7941" s="1"/>
  <c r="N1034" i="7941"/>
  <c r="N1138" i="7941" s="1"/>
  <c r="N1002" i="7941"/>
  <c r="N1049" i="7941"/>
  <c r="N1153" i="7941" s="1"/>
  <c r="N1005" i="7941"/>
  <c r="N1109" i="7941" s="1"/>
  <c r="N1026" i="7941"/>
  <c r="N1130" i="7941" s="1"/>
  <c r="N1036" i="7941"/>
  <c r="N1140" i="7941" s="1"/>
  <c r="N1020" i="7941"/>
  <c r="N1124" i="7941" s="1"/>
  <c r="N1003" i="7941"/>
  <c r="N1107" i="7941" s="1"/>
  <c r="N965" i="7941"/>
  <c r="N990" i="7941"/>
  <c r="N1080" i="7941"/>
  <c r="N986" i="7941"/>
  <c r="N974" i="7941"/>
  <c r="N1086" i="7941"/>
  <c r="N995" i="7941"/>
  <c r="N1081" i="7941"/>
  <c r="N1101" i="7941"/>
  <c r="N1078" i="7941"/>
  <c r="N998" i="7941"/>
  <c r="N1070" i="7941"/>
  <c r="N983" i="7941"/>
  <c r="N952" i="7941"/>
  <c r="N1102" i="7941"/>
  <c r="N956" i="7941"/>
  <c r="N977" i="7941"/>
  <c r="N982" i="7941"/>
  <c r="N1054" i="7941"/>
  <c r="N953" i="7941"/>
  <c r="N1094" i="7941"/>
  <c r="N969" i="7941"/>
  <c r="N960" i="7941"/>
  <c r="N968" i="7941"/>
  <c r="N1077" i="7941"/>
  <c r="N1090" i="7941"/>
  <c r="N1092" i="7941"/>
  <c r="N976" i="7941"/>
  <c r="N957" i="7941"/>
  <c r="N967" i="7941"/>
  <c r="N989" i="7941"/>
  <c r="N1093" i="7941"/>
  <c r="N997" i="7941"/>
  <c r="N988" i="7941"/>
  <c r="N1082" i="7941"/>
  <c r="N964" i="7941"/>
  <c r="N991" i="7941"/>
  <c r="N972" i="7941"/>
  <c r="N1058" i="7941"/>
  <c r="N1066" i="7941"/>
  <c r="N996" i="7941"/>
  <c r="N985" i="7941"/>
  <c r="N1074" i="7941"/>
  <c r="N1072" i="7941"/>
  <c r="N971" i="7941"/>
  <c r="N981" i="7941"/>
  <c r="N1079" i="7941"/>
  <c r="N979" i="7941"/>
  <c r="N984" i="7941"/>
  <c r="N978" i="7941"/>
  <c r="N955" i="7941"/>
  <c r="N1099" i="7941"/>
  <c r="N1064" i="7941"/>
  <c r="N1076" i="7941"/>
  <c r="N1103" i="7941"/>
  <c r="N1061" i="7941"/>
  <c r="N1095" i="7941"/>
  <c r="N950" i="7941"/>
  <c r="N1068" i="7941"/>
  <c r="N951" i="7941"/>
  <c r="N1096" i="7941"/>
  <c r="N975" i="7941"/>
  <c r="N980" i="7941"/>
  <c r="N1059" i="7941"/>
  <c r="N1100" i="7941"/>
  <c r="N1056" i="7941"/>
  <c r="N999" i="7941"/>
  <c r="N1088" i="7941"/>
  <c r="N1098" i="7941"/>
  <c r="N1062" i="7941"/>
  <c r="N958" i="7941"/>
  <c r="N961" i="7941"/>
  <c r="N959" i="7941"/>
  <c r="N1085" i="7941"/>
  <c r="N1060" i="7941"/>
  <c r="N973" i="7941"/>
  <c r="N1067" i="7941"/>
  <c r="N1065" i="7941"/>
  <c r="N1071" i="7941"/>
  <c r="N1083" i="7941"/>
  <c r="N954" i="7941"/>
  <c r="N1089" i="7941"/>
  <c r="N1073" i="7941"/>
  <c r="N970" i="7941"/>
  <c r="N1091" i="7941"/>
  <c r="N1084" i="7941"/>
  <c r="N1063" i="7941"/>
  <c r="N987" i="7941"/>
  <c r="N966" i="7941"/>
  <c r="N1097" i="7941"/>
  <c r="N993" i="7941"/>
  <c r="N1069" i="7941"/>
  <c r="N962" i="7941"/>
  <c r="N994" i="7941"/>
  <c r="N1075" i="7941"/>
  <c r="N1087" i="7941"/>
  <c r="N1055" i="7941"/>
  <c r="N963" i="7941"/>
  <c r="N992" i="7941"/>
  <c r="N1057" i="7941"/>
  <c r="N1001" i="7941" l="1"/>
  <c r="N1105" i="7941"/>
  <c r="Q1189" i="18"/>
  <c r="Q1556" i="18"/>
  <c r="N1053" i="7941"/>
  <c r="N477" i="7941"/>
  <c r="Q769" i="18"/>
  <c r="Q1136" i="18"/>
  <c r="N373" i="7941"/>
  <c r="N425" i="7941"/>
  <c r="P687" i="7941"/>
  <c r="Q584" i="7941"/>
  <c r="Q583" i="7941" s="1"/>
  <c r="P898" i="7941"/>
  <c r="P111" i="7941"/>
  <c r="Q8" i="7941"/>
  <c r="Q7" i="7941" s="1"/>
  <c r="P322" i="7941"/>
  <c r="N949" i="7941"/>
  <c r="N529" i="7941"/>
  <c r="Q1555" i="18" l="1"/>
  <c r="Q1294" i="18"/>
  <c r="P897" i="7941"/>
  <c r="P321" i="7941"/>
  <c r="Q1135" i="18"/>
  <c r="Q874" i="18"/>
  <c r="Q873" i="18" l="1"/>
  <c r="Q112" i="7941"/>
  <c r="R770" i="18"/>
  <c r="Q1293" i="18"/>
  <c r="Q688" i="7941"/>
  <c r="R1190" i="18"/>
  <c r="O1006" i="7941"/>
  <c r="O1110" i="7941" s="1"/>
  <c r="O1007" i="7941"/>
  <c r="O1111" i="7941" s="1"/>
  <c r="O1051" i="7941"/>
  <c r="O1155" i="7941" s="1"/>
  <c r="O1036" i="7941"/>
  <c r="O1140" i="7941" s="1"/>
  <c r="O1025" i="7941"/>
  <c r="O1129" i="7941" s="1"/>
  <c r="O1023" i="7941"/>
  <c r="O1127" i="7941" s="1"/>
  <c r="O1039" i="7941"/>
  <c r="O1143" i="7941" s="1"/>
  <c r="O1042" i="7941"/>
  <c r="O1146" i="7941" s="1"/>
  <c r="O1032" i="7941"/>
  <c r="O1136" i="7941" s="1"/>
  <c r="O1030" i="7941"/>
  <c r="O1134" i="7941" s="1"/>
  <c r="O1047" i="7941"/>
  <c r="O1151" i="7941" s="1"/>
  <c r="O1020" i="7941"/>
  <c r="O1124" i="7941" s="1"/>
  <c r="O1018" i="7941"/>
  <c r="O1122" i="7941" s="1"/>
  <c r="O1009" i="7941"/>
  <c r="O1113" i="7941" s="1"/>
  <c r="O1035" i="7941"/>
  <c r="O1139" i="7941" s="1"/>
  <c r="O1050" i="7941"/>
  <c r="O1154" i="7941" s="1"/>
  <c r="O1008" i="7941"/>
  <c r="O1112" i="7941" s="1"/>
  <c r="O1013" i="7941"/>
  <c r="O1117" i="7941" s="1"/>
  <c r="O1012" i="7941"/>
  <c r="O1116" i="7941" s="1"/>
  <c r="O1014" i="7941"/>
  <c r="O1118" i="7941" s="1"/>
  <c r="O1029" i="7941"/>
  <c r="O1133" i="7941" s="1"/>
  <c r="O1037" i="7941"/>
  <c r="O1141" i="7941" s="1"/>
  <c r="O1005" i="7941"/>
  <c r="O1109" i="7941" s="1"/>
  <c r="O1003" i="7941"/>
  <c r="O1107" i="7941" s="1"/>
  <c r="O1028" i="7941"/>
  <c r="O1132" i="7941" s="1"/>
  <c r="O1011" i="7941"/>
  <c r="O1115" i="7941" s="1"/>
  <c r="O1043" i="7941"/>
  <c r="O1147" i="7941" s="1"/>
  <c r="O1046" i="7941"/>
  <c r="O1150" i="7941" s="1"/>
  <c r="O1041" i="7941"/>
  <c r="O1145" i="7941" s="1"/>
  <c r="O1106" i="7941"/>
  <c r="O1015" i="7941"/>
  <c r="O1119" i="7941" s="1"/>
  <c r="O1024" i="7941"/>
  <c r="O1128" i="7941" s="1"/>
  <c r="O1027" i="7941"/>
  <c r="O1131" i="7941" s="1"/>
  <c r="O1016" i="7941"/>
  <c r="O1120" i="7941" s="1"/>
  <c r="O1045" i="7941"/>
  <c r="O1149" i="7941" s="1"/>
  <c r="O1049" i="7941"/>
  <c r="O1153" i="7941" s="1"/>
  <c r="O1019" i="7941"/>
  <c r="O1123" i="7941" s="1"/>
  <c r="O1034" i="7941"/>
  <c r="O1138" i="7941" s="1"/>
  <c r="O1017" i="7941"/>
  <c r="O1121" i="7941" s="1"/>
  <c r="O1026" i="7941"/>
  <c r="O1130" i="7941" s="1"/>
  <c r="O1040" i="7941"/>
  <c r="O1144" i="7941" s="1"/>
  <c r="O1010" i="7941"/>
  <c r="O1114" i="7941" s="1"/>
  <c r="O1004" i="7941"/>
  <c r="O1108" i="7941" s="1"/>
  <c r="O1038" i="7941"/>
  <c r="O1142" i="7941" s="1"/>
  <c r="O1048" i="7941"/>
  <c r="O1152" i="7941" s="1"/>
  <c r="O1022" i="7941"/>
  <c r="O1126" i="7941" s="1"/>
  <c r="O1021" i="7941"/>
  <c r="O1125" i="7941" s="1"/>
  <c r="O1044" i="7941"/>
  <c r="O1148" i="7941" s="1"/>
  <c r="O1031" i="7941"/>
  <c r="O1135" i="7941" s="1"/>
  <c r="O1033" i="7941"/>
  <c r="O1137" i="7941" s="1"/>
  <c r="O1002" i="7941"/>
  <c r="O1100" i="7941"/>
  <c r="O1090" i="7941"/>
  <c r="O987" i="7941"/>
  <c r="O958" i="7941"/>
  <c r="O1070" i="7941"/>
  <c r="O1056" i="7941"/>
  <c r="O986" i="7941"/>
  <c r="O1097" i="7941"/>
  <c r="O1063" i="7941"/>
  <c r="O1088" i="7941"/>
  <c r="O1074" i="7941"/>
  <c r="O973" i="7941"/>
  <c r="O1068" i="7941"/>
  <c r="O974" i="7941"/>
  <c r="O1054" i="7941"/>
  <c r="O1059" i="7941"/>
  <c r="O984" i="7941"/>
  <c r="O1084" i="7941"/>
  <c r="O967" i="7941"/>
  <c r="O993" i="7941"/>
  <c r="O1065" i="7941"/>
  <c r="O963" i="7941"/>
  <c r="O1062" i="7941"/>
  <c r="O997" i="7941"/>
  <c r="O1067" i="7941"/>
  <c r="O962" i="7941"/>
  <c r="O1089" i="7941"/>
  <c r="O989" i="7941"/>
  <c r="O964" i="7941"/>
  <c r="O976" i="7941"/>
  <c r="O957" i="7941"/>
  <c r="O996" i="7941"/>
  <c r="O1076" i="7941"/>
  <c r="O969" i="7941"/>
  <c r="O1058" i="7941"/>
  <c r="O1081" i="7941"/>
  <c r="O960" i="7941"/>
  <c r="O1069" i="7941"/>
  <c r="O999" i="7941"/>
  <c r="O961" i="7941"/>
  <c r="O1066" i="7941"/>
  <c r="O1079" i="7941"/>
  <c r="O970" i="7941"/>
  <c r="O1094" i="7941"/>
  <c r="O1072" i="7941"/>
  <c r="O1077" i="7941"/>
  <c r="O1099" i="7941"/>
  <c r="O1093" i="7941"/>
  <c r="O992" i="7941"/>
  <c r="O1085" i="7941"/>
  <c r="O1086" i="7941"/>
  <c r="O1060" i="7941"/>
  <c r="O988" i="7941"/>
  <c r="O990" i="7941"/>
  <c r="O1080" i="7941"/>
  <c r="O998" i="7941"/>
  <c r="O965" i="7941"/>
  <c r="O972" i="7941"/>
  <c r="O968" i="7941"/>
  <c r="O954" i="7941"/>
  <c r="O1101" i="7941"/>
  <c r="O1061" i="7941"/>
  <c r="O1087" i="7941"/>
  <c r="O983" i="7941"/>
  <c r="O975" i="7941"/>
  <c r="O1073" i="7941"/>
  <c r="O977" i="7941"/>
  <c r="O1075" i="7941"/>
  <c r="O982" i="7941"/>
  <c r="O1082" i="7941"/>
  <c r="O1092" i="7941"/>
  <c r="O1083" i="7941"/>
  <c r="O979" i="7941"/>
  <c r="O1096" i="7941"/>
  <c r="O1071" i="7941"/>
  <c r="O952" i="7941"/>
  <c r="O978" i="7941"/>
  <c r="O995" i="7941"/>
  <c r="O1064" i="7941"/>
  <c r="O1098" i="7941"/>
  <c r="O953" i="7941"/>
  <c r="O956" i="7941"/>
  <c r="O991" i="7941"/>
  <c r="O1055" i="7941"/>
  <c r="O955" i="7941"/>
  <c r="O966" i="7941"/>
  <c r="O951" i="7941"/>
  <c r="O1095" i="7941"/>
  <c r="O1102" i="7941"/>
  <c r="O1091" i="7941"/>
  <c r="O971" i="7941"/>
  <c r="O985" i="7941"/>
  <c r="O1057" i="7941"/>
  <c r="O950" i="7941"/>
  <c r="O1078" i="7941"/>
  <c r="O980" i="7941"/>
  <c r="O1103" i="7941"/>
  <c r="O994" i="7941"/>
  <c r="O959" i="7941"/>
  <c r="O981" i="7941"/>
  <c r="O468" i="7941"/>
  <c r="O572" i="7941" s="1"/>
  <c r="O444" i="7941"/>
  <c r="O548" i="7941" s="1"/>
  <c r="O467" i="7941"/>
  <c r="O571" i="7941" s="1"/>
  <c r="O455" i="7941"/>
  <c r="O559" i="7941" s="1"/>
  <c r="O464" i="7941"/>
  <c r="O568" i="7941" s="1"/>
  <c r="O471" i="7941"/>
  <c r="O575" i="7941" s="1"/>
  <c r="O450" i="7941"/>
  <c r="O554" i="7941" s="1"/>
  <c r="O472" i="7941"/>
  <c r="O576" i="7941" s="1"/>
  <c r="O433" i="7941"/>
  <c r="O537" i="7941" s="1"/>
  <c r="O475" i="7941"/>
  <c r="O579" i="7941" s="1"/>
  <c r="O449" i="7941"/>
  <c r="O553" i="7941" s="1"/>
  <c r="O434" i="7941"/>
  <c r="O538" i="7941" s="1"/>
  <c r="O439" i="7941"/>
  <c r="O543" i="7941" s="1"/>
  <c r="O473" i="7941"/>
  <c r="O577" i="7941" s="1"/>
  <c r="O469" i="7941"/>
  <c r="O573" i="7941" s="1"/>
  <c r="O452" i="7941"/>
  <c r="O556" i="7941" s="1"/>
  <c r="O461" i="7941"/>
  <c r="O565" i="7941" s="1"/>
  <c r="O462" i="7941"/>
  <c r="O566" i="7941" s="1"/>
  <c r="O459" i="7941"/>
  <c r="O563" i="7941" s="1"/>
  <c r="O440" i="7941"/>
  <c r="O544" i="7941" s="1"/>
  <c r="O442" i="7941"/>
  <c r="O546" i="7941" s="1"/>
  <c r="O438" i="7941"/>
  <c r="O542" i="7941" s="1"/>
  <c r="O457" i="7941"/>
  <c r="O561" i="7941" s="1"/>
  <c r="O428" i="7941"/>
  <c r="O532" i="7941" s="1"/>
  <c r="O437" i="7941"/>
  <c r="O541" i="7941" s="1"/>
  <c r="O466" i="7941"/>
  <c r="O570" i="7941" s="1"/>
  <c r="O460" i="7941"/>
  <c r="O564" i="7941" s="1"/>
  <c r="O435" i="7941"/>
  <c r="O539" i="7941" s="1"/>
  <c r="O463" i="7941"/>
  <c r="O567" i="7941" s="1"/>
  <c r="O474" i="7941"/>
  <c r="O578" i="7941" s="1"/>
  <c r="O451" i="7941"/>
  <c r="O555" i="7941" s="1"/>
  <c r="O430" i="7941"/>
  <c r="O534" i="7941" s="1"/>
  <c r="O465" i="7941"/>
  <c r="O569" i="7941" s="1"/>
  <c r="O426" i="7941"/>
  <c r="O453" i="7941"/>
  <c r="O557" i="7941" s="1"/>
  <c r="O443" i="7941"/>
  <c r="O547" i="7941" s="1"/>
  <c r="O431" i="7941"/>
  <c r="O535" i="7941" s="1"/>
  <c r="O429" i="7941"/>
  <c r="O533" i="7941" s="1"/>
  <c r="O436" i="7941"/>
  <c r="O540" i="7941" s="1"/>
  <c r="O432" i="7941"/>
  <c r="O536" i="7941" s="1"/>
  <c r="O458" i="7941"/>
  <c r="O562" i="7941" s="1"/>
  <c r="O446" i="7941"/>
  <c r="O550" i="7941" s="1"/>
  <c r="O454" i="7941"/>
  <c r="O558" i="7941" s="1"/>
  <c r="O447" i="7941"/>
  <c r="O551" i="7941" s="1"/>
  <c r="O470" i="7941"/>
  <c r="O574" i="7941" s="1"/>
  <c r="O427" i="7941"/>
  <c r="O531" i="7941" s="1"/>
  <c r="O445" i="7941"/>
  <c r="O549" i="7941" s="1"/>
  <c r="O448" i="7941"/>
  <c r="O552" i="7941" s="1"/>
  <c r="O441" i="7941"/>
  <c r="O545" i="7941" s="1"/>
  <c r="O530" i="7941"/>
  <c r="O456" i="7941"/>
  <c r="O560" i="7941" s="1"/>
  <c r="O419" i="7941"/>
  <c r="O490" i="7941"/>
  <c r="O508" i="7941"/>
  <c r="O491" i="7941"/>
  <c r="O481" i="7941"/>
  <c r="O399" i="7941"/>
  <c r="O391" i="7941"/>
  <c r="O499" i="7941"/>
  <c r="O504" i="7941"/>
  <c r="O378" i="7941"/>
  <c r="O386" i="7941"/>
  <c r="O492" i="7941"/>
  <c r="O520" i="7941"/>
  <c r="O518" i="7941"/>
  <c r="O395" i="7941"/>
  <c r="O397" i="7941"/>
  <c r="O479" i="7941"/>
  <c r="O488" i="7941"/>
  <c r="O521" i="7941"/>
  <c r="O423" i="7941"/>
  <c r="O502" i="7941"/>
  <c r="O515" i="7941"/>
  <c r="O523" i="7941"/>
  <c r="O513" i="7941"/>
  <c r="O516" i="7941"/>
  <c r="O403" i="7941"/>
  <c r="O526" i="7941"/>
  <c r="O381" i="7941"/>
  <c r="O482" i="7941"/>
  <c r="O393" i="7941"/>
  <c r="O401" i="7941"/>
  <c r="O411" i="7941"/>
  <c r="O405" i="7941"/>
  <c r="O387" i="7941"/>
  <c r="O517" i="7941"/>
  <c r="O380" i="7941"/>
  <c r="O375" i="7941"/>
  <c r="O398" i="7941"/>
  <c r="O377" i="7941"/>
  <c r="O507" i="7941"/>
  <c r="O484" i="7941"/>
  <c r="O497" i="7941"/>
  <c r="O493" i="7941"/>
  <c r="O383" i="7941"/>
  <c r="O409" i="7941"/>
  <c r="O396" i="7941"/>
  <c r="O418" i="7941"/>
  <c r="O400" i="7941"/>
  <c r="O379" i="7941"/>
  <c r="O527" i="7941"/>
  <c r="O500" i="7941"/>
  <c r="O483" i="7941"/>
  <c r="O512" i="7941"/>
  <c r="O514" i="7941"/>
  <c r="O390" i="7941"/>
  <c r="O388" i="7941"/>
  <c r="O487" i="7941"/>
  <c r="O392" i="7941"/>
  <c r="O525" i="7941"/>
  <c r="O416" i="7941"/>
  <c r="O480" i="7941"/>
  <c r="O485" i="7941"/>
  <c r="O503" i="7941"/>
  <c r="O420" i="7941"/>
  <c r="O486" i="7941"/>
  <c r="O374" i="7941"/>
  <c r="O505" i="7941"/>
  <c r="O421" i="7941"/>
  <c r="O389" i="7941"/>
  <c r="O509" i="7941"/>
  <c r="O408" i="7941"/>
  <c r="O519" i="7941"/>
  <c r="O494" i="7941"/>
  <c r="O489" i="7941"/>
  <c r="O414" i="7941"/>
  <c r="O510" i="7941"/>
  <c r="O385" i="7941"/>
  <c r="O496" i="7941"/>
  <c r="O410" i="7941"/>
  <c r="O478" i="7941"/>
  <c r="O524" i="7941"/>
  <c r="O506" i="7941"/>
  <c r="O511" i="7941"/>
  <c r="O382" i="7941"/>
  <c r="O415" i="7941"/>
  <c r="O501" i="7941"/>
  <c r="O384" i="7941"/>
  <c r="O394" i="7941"/>
  <c r="O413" i="7941"/>
  <c r="O498" i="7941"/>
  <c r="O406" i="7941"/>
  <c r="O417" i="7941"/>
  <c r="O422" i="7941"/>
  <c r="O495" i="7941"/>
  <c r="O402" i="7941"/>
  <c r="O522" i="7941"/>
  <c r="O412" i="7941"/>
  <c r="O407" i="7941"/>
  <c r="O404" i="7941"/>
  <c r="O376" i="7941"/>
  <c r="O1001" i="7941" l="1"/>
  <c r="O477" i="7941"/>
  <c r="O1053" i="7941"/>
  <c r="O1105" i="7941"/>
  <c r="O529" i="7941"/>
  <c r="O425" i="7941"/>
  <c r="O949" i="7941"/>
  <c r="O373" i="7941"/>
  <c r="Q111" i="7941"/>
  <c r="Q322" i="7941"/>
  <c r="Q687" i="7941"/>
  <c r="Q898" i="7941"/>
  <c r="Q232" i="1" l="1"/>
  <c r="Q111" i="1"/>
  <c r="R112" i="1" s="1"/>
  <c r="Q178" i="1"/>
  <c r="Q219" i="1" l="1"/>
  <c r="R220" i="1" s="1"/>
  <c r="Q21" i="18"/>
  <c r="Q69" i="7944"/>
  <c r="Q273" i="1"/>
  <c r="R274" i="1" s="1"/>
  <c r="Q340" i="1"/>
  <c r="M500" i="7949"/>
  <c r="Q59" i="7944" l="1"/>
  <c r="R17" i="7944"/>
  <c r="M495" i="7950"/>
  <c r="M510" i="7950" s="1"/>
  <c r="M515" i="7949"/>
  <c r="Q831" i="18"/>
  <c r="Q11" i="18"/>
  <c r="Q73" i="18"/>
  <c r="Q381" i="1"/>
  <c r="R382" i="1" s="1"/>
  <c r="Q1251" i="18" l="1"/>
  <c r="Q63" i="18"/>
  <c r="N515" i="7949"/>
  <c r="O515" i="7949" s="1"/>
  <c r="M551" i="7949"/>
  <c r="N510" i="7950"/>
  <c r="N546" i="7950" s="1"/>
  <c r="M546" i="7950"/>
  <c r="Q69" i="7941"/>
  <c r="Q821" i="18"/>
  <c r="R779" i="18"/>
  <c r="R769" i="18" s="1"/>
  <c r="N16" i="7946"/>
  <c r="N57" i="7946" s="1"/>
  <c r="R7" i="7944"/>
  <c r="P515" i="7949" l="1"/>
  <c r="O551" i="7949"/>
  <c r="O16" i="7946"/>
  <c r="O510" i="7950"/>
  <c r="N551" i="7949"/>
  <c r="Q59" i="7941"/>
  <c r="Q331" i="7941"/>
  <c r="Q645" i="7941"/>
  <c r="Q1241" i="18"/>
  <c r="R1199" i="18"/>
  <c r="R1189" i="18" s="1"/>
  <c r="Q321" i="7941" l="1"/>
  <c r="O546" i="7950"/>
  <c r="P510" i="7950"/>
  <c r="Q635" i="7941"/>
  <c r="Q907" i="7941"/>
  <c r="Q515" i="7949"/>
  <c r="P551" i="7949"/>
  <c r="Q897" i="7941" l="1"/>
  <c r="Q380" i="7941"/>
  <c r="Q484" i="7941"/>
  <c r="Q407" i="7941"/>
  <c r="Q516" i="7941"/>
  <c r="Q390" i="7941"/>
  <c r="Q483" i="7941"/>
  <c r="P426" i="7941"/>
  <c r="P429" i="7941"/>
  <c r="P533" i="7941" s="1"/>
  <c r="Q503" i="7941"/>
  <c r="P441" i="7941"/>
  <c r="P545" i="7941" s="1"/>
  <c r="Q490" i="7941"/>
  <c r="Q396" i="7941"/>
  <c r="Q401" i="7941"/>
  <c r="Q513" i="7941"/>
  <c r="Q491" i="7941"/>
  <c r="P470" i="7941"/>
  <c r="P574" i="7941" s="1"/>
  <c r="P466" i="7941"/>
  <c r="P570" i="7941" s="1"/>
  <c r="Q527" i="7941"/>
  <c r="P435" i="7941"/>
  <c r="P539" i="7941" s="1"/>
  <c r="P433" i="7941"/>
  <c r="P537" i="7941" s="1"/>
  <c r="P445" i="7941"/>
  <c r="P549" i="7941" s="1"/>
  <c r="Q482" i="7941"/>
  <c r="Q524" i="7941"/>
  <c r="P443" i="7941"/>
  <c r="P547" i="7941" s="1"/>
  <c r="Q523" i="7941"/>
  <c r="Q384" i="7941"/>
  <c r="P467" i="7941"/>
  <c r="P571" i="7941" s="1"/>
  <c r="P463" i="7941"/>
  <c r="P567" i="7941" s="1"/>
  <c r="Q392" i="7941"/>
  <c r="Q519" i="7941"/>
  <c r="P448" i="7941"/>
  <c r="P552" i="7941" s="1"/>
  <c r="Q388" i="7941"/>
  <c r="P469" i="7941"/>
  <c r="P573" i="7941" s="1"/>
  <c r="P449" i="7941"/>
  <c r="P553" i="7941" s="1"/>
  <c r="Q379" i="7941"/>
  <c r="Q535" i="7941" s="1"/>
  <c r="J12" i="7946" s="1"/>
  <c r="Q415" i="7941"/>
  <c r="Q411" i="7941"/>
  <c r="Q499" i="7941"/>
  <c r="P490" i="7941"/>
  <c r="P486" i="7941"/>
  <c r="P384" i="7941"/>
  <c r="P374" i="7941"/>
  <c r="P409" i="7941"/>
  <c r="P500" i="7941"/>
  <c r="P510" i="7941"/>
  <c r="P381" i="7941"/>
  <c r="P399" i="7941"/>
  <c r="P519" i="7941"/>
  <c r="P503" i="7941"/>
  <c r="P405" i="7941"/>
  <c r="P404" i="7941"/>
  <c r="P392" i="7941"/>
  <c r="P506" i="7941"/>
  <c r="P406" i="7941"/>
  <c r="P513" i="7941"/>
  <c r="P395" i="7941"/>
  <c r="P417" i="7941"/>
  <c r="P402" i="7941"/>
  <c r="P380" i="7941"/>
  <c r="P400" i="7941"/>
  <c r="P414" i="7941"/>
  <c r="P526" i="7941"/>
  <c r="P493" i="7941"/>
  <c r="Q507" i="7941"/>
  <c r="P431" i="7941"/>
  <c r="P535" i="7941" s="1"/>
  <c r="Q420" i="7941"/>
  <c r="Q501" i="7941"/>
  <c r="P472" i="7941"/>
  <c r="P576" i="7941" s="1"/>
  <c r="Q496" i="7941"/>
  <c r="P437" i="7941"/>
  <c r="P541" i="7941" s="1"/>
  <c r="Q387" i="7941"/>
  <c r="Q543" i="7941" s="1"/>
  <c r="J20" i="7946" s="1"/>
  <c r="P454" i="7941"/>
  <c r="P558" i="7941" s="1"/>
  <c r="Q391" i="7941"/>
  <c r="Q521" i="7941"/>
  <c r="Q526" i="7941"/>
  <c r="Q416" i="7941"/>
  <c r="Q395" i="7941"/>
  <c r="Q486" i="7941"/>
  <c r="P458" i="7941"/>
  <c r="P562" i="7941" s="1"/>
  <c r="Q487" i="7941"/>
  <c r="Q397" i="7941"/>
  <c r="Q409" i="7941"/>
  <c r="Q565" i="7941" s="1"/>
  <c r="J42" i="7946" s="1"/>
  <c r="Q405" i="7941"/>
  <c r="P453" i="7941"/>
  <c r="P557" i="7941" s="1"/>
  <c r="Q514" i="7941"/>
  <c r="Q386" i="7941"/>
  <c r="Q504" i="7941"/>
  <c r="Q381" i="7941"/>
  <c r="Q389" i="7941"/>
  <c r="Q493" i="7941"/>
  <c r="Q408" i="7941"/>
  <c r="P447" i="7941"/>
  <c r="P551" i="7941" s="1"/>
  <c r="Q508" i="7941"/>
  <c r="Q518" i="7941"/>
  <c r="Q398" i="7941"/>
  <c r="Q554" i="7941" s="1"/>
  <c r="J31" i="7946" s="1"/>
  <c r="Q402" i="7941"/>
  <c r="Q500" i="7941"/>
  <c r="Q498" i="7941"/>
  <c r="Q479" i="7941"/>
  <c r="Q502" i="7941"/>
  <c r="Q522" i="7941"/>
  <c r="P522" i="7941"/>
  <c r="P391" i="7941"/>
  <c r="P516" i="7941"/>
  <c r="P492" i="7941"/>
  <c r="P411" i="7941"/>
  <c r="P495" i="7941"/>
  <c r="P478" i="7941"/>
  <c r="P521" i="7941"/>
  <c r="P416" i="7941"/>
  <c r="P379" i="7941"/>
  <c r="P494" i="7941"/>
  <c r="P523" i="7941"/>
  <c r="P389" i="7941"/>
  <c r="P422" i="7941"/>
  <c r="P387" i="7941"/>
  <c r="P388" i="7941"/>
  <c r="P502" i="7941"/>
  <c r="P396" i="7941"/>
  <c r="P415" i="7941"/>
  <c r="P420" i="7941"/>
  <c r="P482" i="7941"/>
  <c r="P390" i="7941"/>
  <c r="P515" i="7941"/>
  <c r="P408" i="7941"/>
  <c r="P488" i="7941"/>
  <c r="Q385" i="7941"/>
  <c r="Q376" i="7941"/>
  <c r="P455" i="7941"/>
  <c r="P559" i="7941" s="1"/>
  <c r="Q423" i="7941"/>
  <c r="Q579" i="7941" s="1"/>
  <c r="J56" i="7946" s="1"/>
  <c r="Q506" i="7941"/>
  <c r="P464" i="7941"/>
  <c r="P568" i="7941" s="1"/>
  <c r="Q417" i="7941"/>
  <c r="P430" i="7941"/>
  <c r="P534" i="7941" s="1"/>
  <c r="Q492" i="7941"/>
  <c r="Q505" i="7941"/>
  <c r="P444" i="7941"/>
  <c r="P548" i="7941" s="1"/>
  <c r="Q404" i="7941"/>
  <c r="Q560" i="7941" s="1"/>
  <c r="J37" i="7946" s="1"/>
  <c r="Q525" i="7941"/>
  <c r="P442" i="7941"/>
  <c r="P546" i="7941" s="1"/>
  <c r="Q488" i="7941"/>
  <c r="Q394" i="7941"/>
  <c r="Q550" i="7941" s="1"/>
  <c r="J27" i="7946" s="1"/>
  <c r="Q403" i="7941"/>
  <c r="Q559" i="7941" s="1"/>
  <c r="J36" i="7946" s="1"/>
  <c r="P468" i="7941"/>
  <c r="P572" i="7941" s="1"/>
  <c r="Q378" i="7941"/>
  <c r="Q497" i="7941"/>
  <c r="P471" i="7941"/>
  <c r="P575" i="7941" s="1"/>
  <c r="Q515" i="7941"/>
  <c r="P450" i="7941"/>
  <c r="P554" i="7941" s="1"/>
  <c r="P434" i="7941"/>
  <c r="P538" i="7941" s="1"/>
  <c r="P465" i="7941"/>
  <c r="P569" i="7941" s="1"/>
  <c r="P456" i="7941"/>
  <c r="P560" i="7941" s="1"/>
  <c r="Q422" i="7941"/>
  <c r="P474" i="7941"/>
  <c r="P578" i="7941" s="1"/>
  <c r="Q421" i="7941"/>
  <c r="Q577" i="7941" s="1"/>
  <c r="J54" i="7946" s="1"/>
  <c r="P460" i="7941"/>
  <c r="P564" i="7941" s="1"/>
  <c r="Q489" i="7941"/>
  <c r="P473" i="7941"/>
  <c r="P577" i="7941" s="1"/>
  <c r="P438" i="7941"/>
  <c r="P542" i="7941" s="1"/>
  <c r="Q399" i="7941"/>
  <c r="Q494" i="7941"/>
  <c r="Q509" i="7941"/>
  <c r="Q480" i="7941"/>
  <c r="P496" i="7941"/>
  <c r="P386" i="7941"/>
  <c r="P480" i="7941"/>
  <c r="P499" i="7941"/>
  <c r="P512" i="7941"/>
  <c r="P484" i="7941"/>
  <c r="P505" i="7941"/>
  <c r="P517" i="7941"/>
  <c r="P479" i="7941"/>
  <c r="P501" i="7941"/>
  <c r="P527" i="7941"/>
  <c r="P497" i="7941"/>
  <c r="P491" i="7941"/>
  <c r="P525" i="7941"/>
  <c r="P385" i="7941"/>
  <c r="P504" i="7941"/>
  <c r="P397" i="7941"/>
  <c r="P520" i="7941"/>
  <c r="P511" i="7941"/>
  <c r="P485" i="7941"/>
  <c r="P483" i="7941"/>
  <c r="P378" i="7941"/>
  <c r="P376" i="7941"/>
  <c r="P403" i="7941"/>
  <c r="P413" i="7941"/>
  <c r="P451" i="7941"/>
  <c r="P555" i="7941" s="1"/>
  <c r="P457" i="7941"/>
  <c r="P561" i="7941" s="1"/>
  <c r="P432" i="7941"/>
  <c r="P536" i="7941" s="1"/>
  <c r="Q413" i="7941"/>
  <c r="Q393" i="7941"/>
  <c r="Q382" i="7941"/>
  <c r="Q538" i="7941" s="1"/>
  <c r="J15" i="7946" s="1"/>
  <c r="Q481" i="7941"/>
  <c r="Q374" i="7941"/>
  <c r="Q377" i="7941"/>
  <c r="Q414" i="7941"/>
  <c r="Q570" i="7941" s="1"/>
  <c r="J47" i="7946" s="1"/>
  <c r="Q512" i="7941"/>
  <c r="Q520" i="7941"/>
  <c r="P446" i="7941"/>
  <c r="P550" i="7941" s="1"/>
  <c r="Q400" i="7941"/>
  <c r="P475" i="7941"/>
  <c r="P579" i="7941" s="1"/>
  <c r="Q412" i="7941"/>
  <c r="Q568" i="7941" s="1"/>
  <c r="J45" i="7946" s="1"/>
  <c r="Q517" i="7941"/>
  <c r="Q510" i="7941"/>
  <c r="Q419" i="7941"/>
  <c r="Q495" i="7941"/>
  <c r="P428" i="7941"/>
  <c r="P532" i="7941" s="1"/>
  <c r="P530" i="7941"/>
  <c r="Q485" i="7941"/>
  <c r="P436" i="7941"/>
  <c r="P540" i="7941" s="1"/>
  <c r="P461" i="7941"/>
  <c r="P565" i="7941" s="1"/>
  <c r="P427" i="7941"/>
  <c r="P531" i="7941" s="1"/>
  <c r="Q410" i="7941"/>
  <c r="P452" i="7941"/>
  <c r="P556" i="7941" s="1"/>
  <c r="Q418" i="7941"/>
  <c r="Q574" i="7941" s="1"/>
  <c r="J51" i="7946" s="1"/>
  <c r="P440" i="7941"/>
  <c r="P544" i="7941" s="1"/>
  <c r="Q406" i="7941"/>
  <c r="Q478" i="7941"/>
  <c r="Q511" i="7941"/>
  <c r="P439" i="7941"/>
  <c r="P543" i="7941" s="1"/>
  <c r="P459" i="7941"/>
  <c r="P563" i="7941" s="1"/>
  <c r="Q375" i="7941"/>
  <c r="P462" i="7941"/>
  <c r="P566" i="7941" s="1"/>
  <c r="Q383" i="7941"/>
  <c r="Q539" i="7941" s="1"/>
  <c r="J16" i="7946" s="1"/>
  <c r="P518" i="7941"/>
  <c r="P412" i="7941"/>
  <c r="P410" i="7941"/>
  <c r="P383" i="7941"/>
  <c r="P489" i="7941"/>
  <c r="P507" i="7941"/>
  <c r="P418" i="7941"/>
  <c r="P481" i="7941"/>
  <c r="P487" i="7941"/>
  <c r="P524" i="7941"/>
  <c r="P514" i="7941"/>
  <c r="P401" i="7941"/>
  <c r="P419" i="7941"/>
  <c r="P382" i="7941"/>
  <c r="P509" i="7941"/>
  <c r="P423" i="7941"/>
  <c r="P498" i="7941"/>
  <c r="P508" i="7941"/>
  <c r="P375" i="7941"/>
  <c r="P377" i="7941"/>
  <c r="P398" i="7941"/>
  <c r="P394" i="7941"/>
  <c r="P393" i="7941"/>
  <c r="P407" i="7941"/>
  <c r="P421" i="7941"/>
  <c r="P546" i="7950"/>
  <c r="Q510" i="7950"/>
  <c r="R515" i="7949"/>
  <c r="Q551" i="7949"/>
  <c r="Q562" i="7941" l="1"/>
  <c r="J39" i="7946" s="1"/>
  <c r="Q566" i="7941"/>
  <c r="J43" i="7946" s="1"/>
  <c r="Q575" i="7941"/>
  <c r="J52" i="7946" s="1"/>
  <c r="Q573" i="7941"/>
  <c r="J50" i="7946" s="1"/>
  <c r="Q551" i="7941"/>
  <c r="J28" i="7946" s="1"/>
  <c r="Q549" i="7941"/>
  <c r="J26" i="7946" s="1"/>
  <c r="Q534" i="7941"/>
  <c r="J11" i="7946" s="1"/>
  <c r="Q555" i="7941"/>
  <c r="J32" i="7946" s="1"/>
  <c r="Q571" i="7941"/>
  <c r="J48" i="7946" s="1"/>
  <c r="Q556" i="7941"/>
  <c r="J33" i="7946" s="1"/>
  <c r="Q542" i="7941"/>
  <c r="J19" i="7946" s="1"/>
  <c r="Q576" i="7941"/>
  <c r="J53" i="7946" s="1"/>
  <c r="Q533" i="7941"/>
  <c r="J10" i="7946" s="1"/>
  <c r="Q578" i="7941"/>
  <c r="J55" i="7946" s="1"/>
  <c r="Q553" i="7941"/>
  <c r="J30" i="7946" s="1"/>
  <c r="Q536" i="7941"/>
  <c r="J13" i="7946" s="1"/>
  <c r="Q531" i="7941"/>
  <c r="J8" i="7946" s="1"/>
  <c r="Q546" i="7950"/>
  <c r="R510" i="7950"/>
  <c r="Q545" i="7941"/>
  <c r="J22" i="7946" s="1"/>
  <c r="Q547" i="7941"/>
  <c r="J24" i="7946" s="1"/>
  <c r="Q567" i="7941"/>
  <c r="J44" i="7946" s="1"/>
  <c r="Q548" i="7941"/>
  <c r="J25" i="7946" s="1"/>
  <c r="Q557" i="7941"/>
  <c r="J34" i="7946" s="1"/>
  <c r="Q546" i="7941"/>
  <c r="J23" i="7946" s="1"/>
  <c r="Q477" i="7941"/>
  <c r="Q530" i="7941"/>
  <c r="Q373" i="7941"/>
  <c r="Q569" i="7941"/>
  <c r="J46" i="7946" s="1"/>
  <c r="Q532" i="7941"/>
  <c r="J9" i="7946" s="1"/>
  <c r="P477" i="7941"/>
  <c r="Q558" i="7941"/>
  <c r="J35" i="7946" s="1"/>
  <c r="Q537" i="7941"/>
  <c r="J14" i="7946" s="1"/>
  <c r="Q572" i="7941"/>
  <c r="J49" i="7946" s="1"/>
  <c r="Q544" i="7941"/>
  <c r="J21" i="7946" s="1"/>
  <c r="Q552" i="7941"/>
  <c r="J29" i="7946" s="1"/>
  <c r="Q541" i="7941"/>
  <c r="J18" i="7946" s="1"/>
  <c r="Q564" i="7941"/>
  <c r="J41" i="7946" s="1"/>
  <c r="Q561" i="7941"/>
  <c r="J38" i="7946" s="1"/>
  <c r="P425" i="7941"/>
  <c r="Q563" i="7941"/>
  <c r="J40" i="7946" s="1"/>
  <c r="S515" i="7949"/>
  <c r="R551" i="7949"/>
  <c r="P529" i="7941"/>
  <c r="P373" i="7941"/>
  <c r="Q540" i="7941"/>
  <c r="J17" i="7946" s="1"/>
  <c r="P1024" i="7941"/>
  <c r="P1128" i="7941" s="1"/>
  <c r="Q958" i="7941"/>
  <c r="P1003" i="7941"/>
  <c r="P1107" i="7941" s="1"/>
  <c r="Q979" i="7941"/>
  <c r="Q982" i="7941"/>
  <c r="P1031" i="7941"/>
  <c r="P1135" i="7941" s="1"/>
  <c r="Q950" i="7941"/>
  <c r="Q1092" i="7941"/>
  <c r="Q991" i="7941"/>
  <c r="P1048" i="7941"/>
  <c r="P1152" i="7941" s="1"/>
  <c r="Q1062" i="7941"/>
  <c r="Q1073" i="7941"/>
  <c r="Q1069" i="7941"/>
  <c r="P1017" i="7941"/>
  <c r="P1121" i="7941" s="1"/>
  <c r="Q1094" i="7941"/>
  <c r="P1050" i="7941"/>
  <c r="P1154" i="7941" s="1"/>
  <c r="Q961" i="7941"/>
  <c r="Q992" i="7941"/>
  <c r="P1015" i="7941"/>
  <c r="P1119" i="7941" s="1"/>
  <c r="Q1100" i="7941"/>
  <c r="Q1093" i="7941"/>
  <c r="P1032" i="7941"/>
  <c r="P1136" i="7941" s="1"/>
  <c r="Q971" i="7941"/>
  <c r="Q1097" i="7941"/>
  <c r="Q962" i="7941"/>
  <c r="P1042" i="7941"/>
  <c r="P1146" i="7941" s="1"/>
  <c r="Q1088" i="7941"/>
  <c r="Q1056" i="7941"/>
  <c r="Q1071" i="7941"/>
  <c r="Q1078" i="7941"/>
  <c r="P1008" i="7941"/>
  <c r="P1112" i="7941" s="1"/>
  <c r="Q1057" i="7941"/>
  <c r="Q1060" i="7941"/>
  <c r="Q1101" i="7941"/>
  <c r="P1012" i="7941"/>
  <c r="P1116" i="7941" s="1"/>
  <c r="P1023" i="7941"/>
  <c r="P1127" i="7941" s="1"/>
  <c r="P1106" i="7941"/>
  <c r="Q1083" i="7941"/>
  <c r="Q1061" i="7941"/>
  <c r="Q1058" i="7941"/>
  <c r="Q963" i="7941"/>
  <c r="Q1095" i="7941"/>
  <c r="P1049" i="7941"/>
  <c r="P1153" i="7941" s="1"/>
  <c r="Q964" i="7941"/>
  <c r="P1007" i="7941"/>
  <c r="P1111" i="7941" s="1"/>
  <c r="P1021" i="7941"/>
  <c r="P1125" i="7941" s="1"/>
  <c r="Q988" i="7941"/>
  <c r="Q1144" i="7941" s="1"/>
  <c r="K45" i="7946" s="1"/>
  <c r="L45" i="7946" s="1"/>
  <c r="Q978" i="7941"/>
  <c r="Q975" i="7941"/>
  <c r="Q998" i="7941"/>
  <c r="P1022" i="7941"/>
  <c r="P1126" i="7941" s="1"/>
  <c r="Q970" i="7941"/>
  <c r="Q1063" i="7941"/>
  <c r="Q1064" i="7941"/>
  <c r="Q1070" i="7941"/>
  <c r="Q1096" i="7941"/>
  <c r="Q1087" i="7941"/>
  <c r="Q1086" i="7941"/>
  <c r="Q995" i="7941"/>
  <c r="Q953" i="7941"/>
  <c r="Q1109" i="7941" s="1"/>
  <c r="K10" i="7946" s="1"/>
  <c r="L10" i="7946" s="1"/>
  <c r="P1013" i="7941"/>
  <c r="P1117" i="7941" s="1"/>
  <c r="P1037" i="7941"/>
  <c r="P1141" i="7941" s="1"/>
  <c r="Q1067" i="7941"/>
  <c r="Q1102" i="7941"/>
  <c r="P1045" i="7941"/>
  <c r="P1149" i="7941" s="1"/>
  <c r="P1005" i="7941"/>
  <c r="P1109" i="7941" s="1"/>
  <c r="Q983" i="7941"/>
  <c r="Q1139" i="7941" s="1"/>
  <c r="K40" i="7946" s="1"/>
  <c r="L40" i="7946" s="1"/>
  <c r="P1002" i="7941"/>
  <c r="Q1065" i="7941"/>
  <c r="P1041" i="7941"/>
  <c r="P1145" i="7941" s="1"/>
  <c r="Q956" i="7941"/>
  <c r="Q1112" i="7941" s="1"/>
  <c r="K13" i="7946" s="1"/>
  <c r="L13" i="7946" s="1"/>
  <c r="P1020" i="7941"/>
  <c r="P1124" i="7941" s="1"/>
  <c r="Q973" i="7941"/>
  <c r="Q955" i="7941"/>
  <c r="Q1059" i="7941"/>
  <c r="P955" i="7941"/>
  <c r="P950" i="7941"/>
  <c r="P970" i="7941"/>
  <c r="P996" i="7941"/>
  <c r="P993" i="7941"/>
  <c r="P980" i="7941"/>
  <c r="P1077" i="7941"/>
  <c r="P957" i="7941"/>
  <c r="P989" i="7941"/>
  <c r="P1063" i="7941"/>
  <c r="P974" i="7941"/>
  <c r="P964" i="7941"/>
  <c r="P1103" i="7941"/>
  <c r="P1099" i="7941"/>
  <c r="P1079" i="7941"/>
  <c r="P1061" i="7941"/>
  <c r="P1057" i="7941"/>
  <c r="P1092" i="7941"/>
  <c r="P1068" i="7941"/>
  <c r="P998" i="7941"/>
  <c r="P1055" i="7941"/>
  <c r="P953" i="7941"/>
  <c r="P979" i="7941"/>
  <c r="P1054" i="7941"/>
  <c r="P992" i="7941"/>
  <c r="P962" i="7941"/>
  <c r="P1090" i="7941"/>
  <c r="P1088" i="7941"/>
  <c r="P973" i="7941"/>
  <c r="P1072" i="7941"/>
  <c r="P1059" i="7941"/>
  <c r="P972" i="7941"/>
  <c r="Q1077" i="7941"/>
  <c r="P1011" i="7941"/>
  <c r="P1115" i="7941" s="1"/>
  <c r="Q972" i="7941"/>
  <c r="Q996" i="7941"/>
  <c r="Q1152" i="7941" s="1"/>
  <c r="K53" i="7946" s="1"/>
  <c r="L53" i="7946" s="1"/>
  <c r="Q1082" i="7941"/>
  <c r="Q1091" i="7941"/>
  <c r="Q960" i="7941"/>
  <c r="Q1116" i="7941" s="1"/>
  <c r="K17" i="7946" s="1"/>
  <c r="L17" i="7946" s="1"/>
  <c r="Q1089" i="7941"/>
  <c r="Q951" i="7941"/>
  <c r="Q997" i="7941"/>
  <c r="P1047" i="7941"/>
  <c r="P1151" i="7941" s="1"/>
  <c r="Q1075" i="7941"/>
  <c r="Q966" i="7941"/>
  <c r="P1019" i="7941"/>
  <c r="P1123" i="7941" s="1"/>
  <c r="P1010" i="7941"/>
  <c r="P1114" i="7941" s="1"/>
  <c r="P1035" i="7941"/>
  <c r="P1139" i="7941" s="1"/>
  <c r="Q987" i="7941"/>
  <c r="Q1143" i="7941" s="1"/>
  <c r="K44" i="7946" s="1"/>
  <c r="L44" i="7946" s="1"/>
  <c r="Q1066" i="7941"/>
  <c r="Q986" i="7941"/>
  <c r="Q1080" i="7941"/>
  <c r="P1026" i="7941"/>
  <c r="P1130" i="7941" s="1"/>
  <c r="Q1081" i="7941"/>
  <c r="P1039" i="7941"/>
  <c r="P1143" i="7941" s="1"/>
  <c r="Q981" i="7941"/>
  <c r="Q968" i="7941"/>
  <c r="P1028" i="7941"/>
  <c r="P1132" i="7941" s="1"/>
  <c r="P963" i="7941"/>
  <c r="P1101" i="7941"/>
  <c r="P1089" i="7941"/>
  <c r="P1096" i="7941"/>
  <c r="P967" i="7941"/>
  <c r="P1082" i="7941"/>
  <c r="P975" i="7941"/>
  <c r="P1062" i="7941"/>
  <c r="P1069" i="7941"/>
  <c r="P1076" i="7941"/>
  <c r="P1085" i="7941"/>
  <c r="P976" i="7941"/>
  <c r="P958" i="7941"/>
  <c r="P1071" i="7941"/>
  <c r="P1086" i="7941"/>
  <c r="P965" i="7941"/>
  <c r="P982" i="7941"/>
  <c r="P991" i="7941"/>
  <c r="P968" i="7941"/>
  <c r="P1067" i="7941"/>
  <c r="P1097" i="7941"/>
  <c r="P1080" i="7941"/>
  <c r="P1073" i="7941"/>
  <c r="P961" i="7941"/>
  <c r="P1095" i="7941"/>
  <c r="P1102" i="7941"/>
  <c r="P954" i="7941"/>
  <c r="P951" i="7941"/>
  <c r="P1051" i="7941"/>
  <c r="P1155" i="7941" s="1"/>
  <c r="P1004" i="7941"/>
  <c r="P1108" i="7941" s="1"/>
  <c r="P1043" i="7941"/>
  <c r="P1147" i="7941" s="1"/>
  <c r="Q985" i="7941"/>
  <c r="P1016" i="7941"/>
  <c r="P1120" i="7941" s="1"/>
  <c r="Q999" i="7941"/>
  <c r="P1029" i="7941"/>
  <c r="P1133" i="7941" s="1"/>
  <c r="Q977" i="7941"/>
  <c r="Q1133" i="7941" s="1"/>
  <c r="K34" i="7946" s="1"/>
  <c r="L34" i="7946" s="1"/>
  <c r="Q1054" i="7941"/>
  <c r="Q957" i="7941"/>
  <c r="Q1113" i="7941" s="1"/>
  <c r="K14" i="7946" s="1"/>
  <c r="L14" i="7946" s="1"/>
  <c r="Q1076" i="7941"/>
  <c r="P1009" i="7941"/>
  <c r="P1113" i="7941" s="1"/>
  <c r="Q1074" i="7941"/>
  <c r="P1018" i="7941"/>
  <c r="P1122" i="7941" s="1"/>
  <c r="Q954" i="7941"/>
  <c r="Q1110" i="7941" s="1"/>
  <c r="K11" i="7946" s="1"/>
  <c r="L11" i="7946" s="1"/>
  <c r="P1025" i="7941"/>
  <c r="P1129" i="7941" s="1"/>
  <c r="Q1090" i="7941"/>
  <c r="P1030" i="7941"/>
  <c r="P1134" i="7941" s="1"/>
  <c r="P1033" i="7941"/>
  <c r="P1137" i="7941" s="1"/>
  <c r="P1036" i="7941"/>
  <c r="P1140" i="7941" s="1"/>
  <c r="Q989" i="7941"/>
  <c r="Q1145" i="7941" s="1"/>
  <c r="K46" i="7946" s="1"/>
  <c r="L46" i="7946" s="1"/>
  <c r="P1027" i="7941"/>
  <c r="P1131" i="7941" s="1"/>
  <c r="Q1055" i="7941"/>
  <c r="Q994" i="7941"/>
  <c r="Q984" i="7941"/>
  <c r="P1070" i="7941"/>
  <c r="P1066" i="7941"/>
  <c r="P971" i="7941"/>
  <c r="P1081" i="7941"/>
  <c r="P1064" i="7941"/>
  <c r="P994" i="7941"/>
  <c r="P1083" i="7941"/>
  <c r="P984" i="7941"/>
  <c r="P1084" i="7941"/>
  <c r="P960" i="7941"/>
  <c r="P985" i="7941"/>
  <c r="P988" i="7941"/>
  <c r="P1093" i="7941"/>
  <c r="P959" i="7941"/>
  <c r="P1087" i="7941"/>
  <c r="P981" i="7941"/>
  <c r="P1094" i="7941"/>
  <c r="P990" i="7941"/>
  <c r="P997" i="7941"/>
  <c r="Q1079" i="7941"/>
  <c r="Q1103" i="7941"/>
  <c r="P1040" i="7941"/>
  <c r="P1144" i="7941" s="1"/>
  <c r="Q952" i="7941"/>
  <c r="Q1108" i="7941" s="1"/>
  <c r="K9" i="7946" s="1"/>
  <c r="L9" i="7946" s="1"/>
  <c r="P1046" i="7941"/>
  <c r="P1150" i="7941" s="1"/>
  <c r="Q1099" i="7941"/>
  <c r="Q1098" i="7941"/>
  <c r="Q993" i="7941"/>
  <c r="Q1149" i="7941" s="1"/>
  <c r="K50" i="7946" s="1"/>
  <c r="L50" i="7946" s="1"/>
  <c r="Q990" i="7941"/>
  <c r="Q974" i="7941"/>
  <c r="Q1130" i="7941" s="1"/>
  <c r="K31" i="7946" s="1"/>
  <c r="L31" i="7946" s="1"/>
  <c r="Q967" i="7941"/>
  <c r="Q1123" i="7941" s="1"/>
  <c r="K24" i="7946" s="1"/>
  <c r="L24" i="7946" s="1"/>
  <c r="Q1085" i="7941"/>
  <c r="Q1072" i="7941"/>
  <c r="P1038" i="7941"/>
  <c r="P1142" i="7941" s="1"/>
  <c r="Q969" i="7941"/>
  <c r="Q1125" i="7941" s="1"/>
  <c r="K26" i="7946" s="1"/>
  <c r="L26" i="7946" s="1"/>
  <c r="Q976" i="7941"/>
  <c r="Q980" i="7941"/>
  <c r="P1044" i="7941"/>
  <c r="P1148" i="7941" s="1"/>
  <c r="Q1084" i="7941"/>
  <c r="P1034" i="7941"/>
  <c r="P1138" i="7941" s="1"/>
  <c r="P1014" i="7941"/>
  <c r="P1118" i="7941" s="1"/>
  <c r="Q959" i="7941"/>
  <c r="Q1115" i="7941" s="1"/>
  <c r="K16" i="7946" s="1"/>
  <c r="L16" i="7946" s="1"/>
  <c r="P1006" i="7941"/>
  <c r="P1110" i="7941" s="1"/>
  <c r="Q965" i="7941"/>
  <c r="Q1121" i="7941" s="1"/>
  <c r="K22" i="7946" s="1"/>
  <c r="L22" i="7946" s="1"/>
  <c r="Q1068" i="7941"/>
  <c r="P1074" i="7941"/>
  <c r="P1075" i="7941"/>
  <c r="P999" i="7941"/>
  <c r="P952" i="7941"/>
  <c r="P987" i="7941"/>
  <c r="P978" i="7941"/>
  <c r="P966" i="7941"/>
  <c r="P1056" i="7941"/>
  <c r="P1058" i="7941"/>
  <c r="P969" i="7941"/>
  <c r="P1078" i="7941"/>
  <c r="P956" i="7941"/>
  <c r="P1091" i="7941"/>
  <c r="P986" i="7941"/>
  <c r="P1100" i="7941"/>
  <c r="P1065" i="7941"/>
  <c r="P995" i="7941"/>
  <c r="P1098" i="7941"/>
  <c r="P983" i="7941"/>
  <c r="P1060" i="7941"/>
  <c r="P977" i="7941"/>
  <c r="Q1150" i="7941" l="1"/>
  <c r="K51" i="7946" s="1"/>
  <c r="L51" i="7946" s="1"/>
  <c r="Q1153" i="7941"/>
  <c r="K54" i="7946" s="1"/>
  <c r="L54" i="7946" s="1"/>
  <c r="Q1136" i="7941"/>
  <c r="K37" i="7946" s="1"/>
  <c r="L37" i="7946" s="1"/>
  <c r="Q1146" i="7941"/>
  <c r="K47" i="7946" s="1"/>
  <c r="L47" i="7946" s="1"/>
  <c r="Q1140" i="7941"/>
  <c r="K41" i="7946" s="1"/>
  <c r="L41" i="7946" s="1"/>
  <c r="Q1132" i="7941"/>
  <c r="K33" i="7946" s="1"/>
  <c r="L33" i="7946" s="1"/>
  <c r="Q1141" i="7941"/>
  <c r="K42" i="7946" s="1"/>
  <c r="L42" i="7946" s="1"/>
  <c r="P949" i="7941"/>
  <c r="Q1129" i="7941"/>
  <c r="K30" i="7946" s="1"/>
  <c r="L30" i="7946" s="1"/>
  <c r="Q1131" i="7941"/>
  <c r="K32" i="7946" s="1"/>
  <c r="L32" i="7946" s="1"/>
  <c r="Q1119" i="7941"/>
  <c r="K20" i="7946" s="1"/>
  <c r="L20" i="7946" s="1"/>
  <c r="P1105" i="7941"/>
  <c r="Q1118" i="7941"/>
  <c r="K19" i="7946" s="1"/>
  <c r="L19" i="7946" s="1"/>
  <c r="Q1117" i="7941"/>
  <c r="K18" i="7946" s="1"/>
  <c r="L18" i="7946" s="1"/>
  <c r="Q1147" i="7941"/>
  <c r="K48" i="7946" s="1"/>
  <c r="L48" i="7946" s="1"/>
  <c r="Q1138" i="7941"/>
  <c r="K39" i="7946" s="1"/>
  <c r="L39" i="7946" s="1"/>
  <c r="Q529" i="7941"/>
  <c r="J7" i="7946"/>
  <c r="J57" i="7946" s="1"/>
  <c r="R546" i="7950"/>
  <c r="S510" i="7950"/>
  <c r="Q1124" i="7941"/>
  <c r="K25" i="7946" s="1"/>
  <c r="L25" i="7946" s="1"/>
  <c r="Q1122" i="7941"/>
  <c r="K23" i="7946" s="1"/>
  <c r="L23" i="7946" s="1"/>
  <c r="Q1107" i="7941"/>
  <c r="K8" i="7946" s="1"/>
  <c r="L8" i="7946" s="1"/>
  <c r="P1001" i="7941"/>
  <c r="Q1126" i="7941"/>
  <c r="K27" i="7946" s="1"/>
  <c r="L27" i="7946" s="1"/>
  <c r="Q1134" i="7941"/>
  <c r="K35" i="7946" s="1"/>
  <c r="L35" i="7946" s="1"/>
  <c r="Q1120" i="7941"/>
  <c r="K21" i="7946" s="1"/>
  <c r="L21" i="7946" s="1"/>
  <c r="Q1135" i="7941"/>
  <c r="K36" i="7946" s="1"/>
  <c r="L36" i="7946" s="1"/>
  <c r="T515" i="7949"/>
  <c r="S551" i="7949"/>
  <c r="Q1155" i="7941"/>
  <c r="K56" i="7946" s="1"/>
  <c r="L56" i="7946" s="1"/>
  <c r="Q1137" i="7941"/>
  <c r="K38" i="7946" s="1"/>
  <c r="L38" i="7946" s="1"/>
  <c r="P1053" i="7941"/>
  <c r="Q1151" i="7941"/>
  <c r="K52" i="7946" s="1"/>
  <c r="L52" i="7946" s="1"/>
  <c r="Q1127" i="7941"/>
  <c r="K28" i="7946" s="1"/>
  <c r="L28" i="7946" s="1"/>
  <c r="Q949" i="7941"/>
  <c r="Q1106" i="7941"/>
  <c r="Q1053" i="7941"/>
  <c r="Q1142" i="7941"/>
  <c r="K43" i="7946" s="1"/>
  <c r="L43" i="7946" s="1"/>
  <c r="Q1128" i="7941"/>
  <c r="K29" i="7946" s="1"/>
  <c r="L29" i="7946" s="1"/>
  <c r="Q1111" i="7941"/>
  <c r="K12" i="7946" s="1"/>
  <c r="L12" i="7946" s="1"/>
  <c r="Q1154" i="7941"/>
  <c r="K55" i="7946" s="1"/>
  <c r="L55" i="7946" s="1"/>
  <c r="Q1148" i="7941"/>
  <c r="K49" i="7946" s="1"/>
  <c r="L49" i="7946" s="1"/>
  <c r="Q1114" i="7941"/>
  <c r="K15" i="7946" s="1"/>
  <c r="L15" i="7946" s="1"/>
  <c r="Q1105" i="7941" l="1"/>
  <c r="K7" i="7946"/>
  <c r="U515" i="7949"/>
  <c r="T551" i="7949"/>
  <c r="S546" i="7950"/>
  <c r="T510" i="7950"/>
  <c r="V515" i="7949" l="1"/>
  <c r="U551" i="7949"/>
  <c r="L7" i="7946"/>
  <c r="K57" i="7946"/>
  <c r="T546" i="7950"/>
  <c r="U510" i="7950"/>
  <c r="U546" i="7950" l="1"/>
  <c r="V510" i="7950"/>
  <c r="W515" i="7949"/>
  <c r="W551" i="7949" s="1"/>
  <c r="E8" i="7949" s="1"/>
  <c r="L3" i="7946" s="1"/>
  <c r="V551" i="7949"/>
  <c r="V546" i="7950" l="1"/>
  <c r="W510" i="7950"/>
  <c r="W546" i="79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900-000001000000}">
      <text>
        <r>
          <rPr>
            <sz val="8"/>
            <color indexed="81"/>
            <rFont val="Tahoma"/>
            <family val="2"/>
          </rPr>
          <t>The opening capital base is based on the final year of the previous access arrangement period.</t>
        </r>
      </text>
    </comment>
    <comment ref="I6" authorId="1" shapeId="0" xr:uid="{00000000-0006-0000-09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9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9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9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9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9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9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9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9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9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9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9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9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9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9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9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9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900-000013000000}">
      <text>
        <r>
          <rPr>
            <sz val="8"/>
            <color indexed="81"/>
            <rFont val="Tahoma"/>
            <family val="2"/>
          </rPr>
          <t>Insert the base financial year that the curent access arrangement period commences in.</t>
        </r>
      </text>
    </comment>
    <comment ref="AA6" authorId="1" shapeId="0" xr:uid="{00000000-0006-0000-0900-000014000000}">
      <text>
        <r>
          <rPr>
            <sz val="8"/>
            <color indexed="81"/>
            <rFont val="Tahoma"/>
            <family val="2"/>
          </rPr>
          <t>Insert the number of years for the current access arrangement period.</t>
        </r>
      </text>
    </comment>
    <comment ref="E59" authorId="1" shapeId="0" xr:uid="{00000000-0006-0000-09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900-000016000000}">
      <text>
        <r>
          <rPr>
            <sz val="8"/>
            <color indexed="81"/>
            <rFont val="Tahoma"/>
            <family val="2"/>
          </rPr>
          <t>Total for the access arrangement period.</t>
        </r>
      </text>
    </comment>
    <comment ref="E113" authorId="1" shapeId="0" xr:uid="{00000000-0006-0000-09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900-000018000000}">
      <text>
        <r>
          <rPr>
            <sz val="8"/>
            <color indexed="81"/>
            <rFont val="Tahoma"/>
            <family val="2"/>
          </rPr>
          <t>Total for the access arrangement period.</t>
        </r>
      </text>
    </comment>
    <comment ref="E167" authorId="2" shapeId="0" xr:uid="{00000000-0006-0000-09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900-00001A000000}">
      <text>
        <r>
          <rPr>
            <sz val="8"/>
            <color indexed="81"/>
            <rFont val="Tahoma"/>
            <family val="2"/>
          </rPr>
          <t>Total for the access arrangement period.</t>
        </r>
      </text>
    </comment>
    <comment ref="E221" authorId="2" shapeId="0" xr:uid="{00000000-0006-0000-09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900-00001C000000}">
      <text>
        <r>
          <rPr>
            <sz val="8"/>
            <color indexed="81"/>
            <rFont val="Tahoma"/>
            <family val="2"/>
          </rPr>
          <t>Total for the access arrangement period.</t>
        </r>
      </text>
    </comment>
    <comment ref="E275" authorId="2" shapeId="0" xr:uid="{00000000-0006-0000-09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900-00001E000000}">
      <text>
        <r>
          <rPr>
            <sz val="8"/>
            <color indexed="81"/>
            <rFont val="Tahoma"/>
            <family val="2"/>
          </rPr>
          <t>Total for the access arrangement period.</t>
        </r>
      </text>
    </comment>
    <comment ref="E329" authorId="2" shapeId="0" xr:uid="{00000000-0006-0000-09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900-000020000000}">
      <text>
        <r>
          <rPr>
            <sz val="8"/>
            <color indexed="81"/>
            <rFont val="Tahoma"/>
            <family val="2"/>
          </rPr>
          <t>Total for the access arrangement period.</t>
        </r>
      </text>
    </comment>
    <comment ref="E385" authorId="1" shapeId="0" xr:uid="{00000000-0006-0000-09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900-000022000000}">
      <text>
        <r>
          <rPr>
            <sz val="8"/>
            <color indexed="81"/>
            <rFont val="Tahoma"/>
            <family val="2"/>
          </rPr>
          <t>Forecast inflation rate used in the decisions covering the previous and current access arrangement periods.</t>
        </r>
      </text>
    </comment>
    <comment ref="E390" authorId="1" shapeId="0" xr:uid="{00000000-0006-0000-0900-000023000000}">
      <text>
        <r>
          <rPr>
            <sz val="8"/>
            <color indexed="81"/>
            <rFont val="Tahoma"/>
            <family val="2"/>
          </rPr>
          <t>Nominal vanilla WACC used in the decisions covering the previous and current access arrangement periods.</t>
        </r>
      </text>
    </comment>
    <comment ref="E396" authorId="3" shapeId="0" xr:uid="{00000000-0006-0000-0900-000024000000}">
      <text>
        <r>
          <rPr>
            <sz val="8"/>
            <color indexed="81"/>
            <rFont val="Tahoma"/>
            <family val="2"/>
          </rPr>
          <t>Select option for actual or forecast straight-line depreciation in the capital base roll forward.</t>
        </r>
      </text>
    </comment>
    <comment ref="E400" authorId="3" shapeId="0" xr:uid="{00000000-0006-0000-09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900-000026000000}">
      <text>
        <r>
          <rPr>
            <sz val="8"/>
            <color indexed="81"/>
            <rFont val="Tahoma"/>
            <family val="2"/>
          </rPr>
          <t>Total for the access arrangement period.</t>
        </r>
      </text>
    </comment>
    <comment ref="E456" authorId="3" shapeId="0" xr:uid="{00000000-0006-0000-0900-000027000000}">
      <text>
        <r>
          <rPr>
            <sz val="8"/>
            <color indexed="81"/>
            <rFont val="Tahoma"/>
            <family val="2"/>
          </rPr>
          <t>Select option for actual or forecast straight-line depreciation in the capital base roll forward.</t>
        </r>
      </text>
    </comment>
    <comment ref="R512" authorId="1" shapeId="0" xr:uid="{00000000-0006-0000-0900-000028000000}">
      <text>
        <r>
          <rPr>
            <sz val="8"/>
            <color indexed="81"/>
            <rFont val="Tahoma"/>
            <family val="2"/>
          </rPr>
          <t>Total for the access arrangement period.</t>
        </r>
      </text>
    </comment>
    <comment ref="E513" authorId="3" shapeId="0" xr:uid="{00000000-0006-0000-09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B00-000001000000}">
      <text>
        <r>
          <rPr>
            <sz val="8"/>
            <color indexed="81"/>
            <rFont val="Tahoma"/>
            <family val="2"/>
          </rPr>
          <t>This column is based on the forecast net capex.</t>
        </r>
      </text>
    </comment>
    <comment ref="G873" authorId="0" shapeId="0" xr:uid="{00000000-0006-0000-0B00-000002000000}">
      <text>
        <r>
          <rPr>
            <sz val="8"/>
            <color indexed="81"/>
            <rFont val="Tahoma"/>
            <family val="2"/>
          </rPr>
          <t>This column is based on the forecast regulatory depreciation.</t>
        </r>
      </text>
    </comment>
    <comment ref="G925" authorId="1" shapeId="0" xr:uid="{00000000-0006-0000-0B00-000003000000}">
      <text>
        <r>
          <rPr>
            <sz val="8"/>
            <color indexed="81"/>
            <rFont val="Tahoma"/>
            <family val="2"/>
          </rPr>
          <t>This column is based on the difference in final year capex true-up in the previous access arrangemet period.</t>
        </r>
      </text>
    </comment>
    <comment ref="G977" authorId="1" shapeId="0" xr:uid="{00000000-0006-0000-0B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B00-000005000000}">
      <text>
        <r>
          <rPr>
            <sz val="8"/>
            <color indexed="81"/>
            <rFont val="Tahoma"/>
            <family val="2"/>
          </rPr>
          <t>This column is based on other adjustments in the previous access arrangement period (if any).</t>
        </r>
      </text>
    </comment>
    <comment ref="G1083" authorId="0" shapeId="0" xr:uid="{00000000-0006-0000-0B00-000006000000}">
      <text>
        <r>
          <rPr>
            <sz val="8"/>
            <color indexed="81"/>
            <rFont val="Tahoma"/>
            <family val="2"/>
          </rPr>
          <t>This column is based on forecast straight-line depreciation.</t>
        </r>
      </text>
    </comment>
    <comment ref="G1241" authorId="0" shapeId="0" xr:uid="{00000000-0006-0000-0B00-000007000000}">
      <text>
        <r>
          <rPr>
            <sz val="8"/>
            <color indexed="81"/>
            <rFont val="Tahoma"/>
            <family val="2"/>
          </rPr>
          <t>This column is based on the forecast net capex.</t>
        </r>
      </text>
    </comment>
    <comment ref="G1293" authorId="0" shapeId="0" xr:uid="{00000000-0006-0000-0B00-000008000000}">
      <text>
        <r>
          <rPr>
            <sz val="8"/>
            <color indexed="81"/>
            <rFont val="Tahoma"/>
            <family val="2"/>
          </rPr>
          <t>This column is based on the forecast regulatory depreciation.</t>
        </r>
      </text>
    </comment>
    <comment ref="G1345" authorId="1" shapeId="0" xr:uid="{00000000-0006-0000-0B00-000009000000}">
      <text>
        <r>
          <rPr>
            <sz val="8"/>
            <color indexed="81"/>
            <rFont val="Tahoma"/>
            <family val="2"/>
          </rPr>
          <t>This column is based on the difference in final year capex true-up in the previous access arrangement period.</t>
        </r>
      </text>
    </comment>
    <comment ref="G1397" authorId="1" shapeId="0" xr:uid="{00000000-0006-0000-0B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B00-00000B000000}">
      <text>
        <r>
          <rPr>
            <sz val="8"/>
            <color indexed="81"/>
            <rFont val="Tahoma"/>
            <family val="2"/>
          </rPr>
          <t>This column is based on other adjustments in the previous access arrangement period (if any).</t>
        </r>
      </text>
    </comment>
    <comment ref="G1503" authorId="0" shapeId="0" xr:uid="{00000000-0006-0000-0B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C00-000001000000}">
      <text>
        <r>
          <rPr>
            <sz val="8"/>
            <color indexed="81"/>
            <rFont val="Tahoma"/>
            <family val="2"/>
          </rPr>
          <t>This column is based on the forecast net capex.</t>
        </r>
      </text>
    </comment>
    <comment ref="G111" authorId="0" shapeId="0" xr:uid="{00000000-0006-0000-0C00-000002000000}">
      <text>
        <r>
          <rPr>
            <sz val="8"/>
            <color indexed="81"/>
            <rFont val="Tahoma"/>
            <family val="2"/>
          </rPr>
          <t>This column is based on the forecast regulatory depreciation.</t>
        </r>
      </text>
    </comment>
    <comment ref="G163" authorId="1" shapeId="0" xr:uid="{00000000-0006-0000-0C00-000003000000}">
      <text>
        <r>
          <rPr>
            <sz val="8"/>
            <color indexed="81"/>
            <rFont val="Tahoma"/>
            <family val="2"/>
          </rPr>
          <t>This column is based on the difference in final year capex true-up in the previous access arrangement period.</t>
        </r>
      </text>
    </comment>
    <comment ref="G215" authorId="1" shapeId="0" xr:uid="{00000000-0006-0000-0C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C00-000005000000}">
      <text>
        <r>
          <rPr>
            <sz val="8"/>
            <color indexed="81"/>
            <rFont val="Tahoma"/>
            <family val="2"/>
          </rPr>
          <t>This column is based on other adjustments in the access arrangement control period (if any).</t>
        </r>
      </text>
    </comment>
    <comment ref="G635" authorId="0" shapeId="0" xr:uid="{00000000-0006-0000-0C00-000006000000}">
      <text>
        <r>
          <rPr>
            <sz val="8"/>
            <color indexed="81"/>
            <rFont val="Tahoma"/>
            <family val="2"/>
          </rPr>
          <t>This column is based on the forecast net capex.</t>
        </r>
      </text>
    </comment>
    <comment ref="G687" authorId="0" shapeId="0" xr:uid="{00000000-0006-0000-0C00-000007000000}">
      <text>
        <r>
          <rPr>
            <sz val="8"/>
            <color indexed="81"/>
            <rFont val="Tahoma"/>
            <family val="2"/>
          </rPr>
          <t>This column is based on the forecast regulatory depreciation.</t>
        </r>
      </text>
    </comment>
    <comment ref="G739" authorId="1" shapeId="0" xr:uid="{00000000-0006-0000-0C00-000008000000}">
      <text>
        <r>
          <rPr>
            <sz val="8"/>
            <color indexed="81"/>
            <rFont val="Tahoma"/>
            <family val="2"/>
          </rPr>
          <t>This column is based on the difference in final year capex true-up in the previous access arrangement period.</t>
        </r>
      </text>
    </comment>
    <comment ref="G791" authorId="1" shapeId="0" xr:uid="{00000000-0006-0000-0C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C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D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10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10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<sst xmlns="http://schemas.openxmlformats.org/spreadsheetml/2006/main" count="2844" uniqueCount="1086">
  <si>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</si>
  <si>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</si>
  <si>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</si>
  <si>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</si>
  <si>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</si>
  <si>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</si>
  <si>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</si>
  <si>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</si>
  <si>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</si>
  <si>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</si>
  <si>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</si>
  <si>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</si>
  <si>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</si>
  <si>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</si>
  <si>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</si>
  <si>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</si>
  <si>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</si>
  <si>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</si>
  <si>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</si>
  <si>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</si>
  <si>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</si>
  <si>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</si>
  <si>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</si>
  <si>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</si>
  <si>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</si>
  <si>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</si>
  <si>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</si>
  <si>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</si>
  <si>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</si>
  <si>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</si>
  <si>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</si>
  <si>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</si>
  <si>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</si>
  <si>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</si>
  <si>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</si>
  <si>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</si>
  <si>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</si>
  <si>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</si>
  <si>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</si>
  <si>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</si>
  <si>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</si>
  <si>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</si>
  <si>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</si>
  <si>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</si>
  <si>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</si>
  <si>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</si>
  <si>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</si>
  <si>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</si>
  <si>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</si>
  <si>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</si>
  <si>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</si>
  <si>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</si>
  <si>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</si>
  <si>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</si>
  <si>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</si>
  <si>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</si>
  <si>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</si>
  <si>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</si>
  <si>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</si>
  <si>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</si>
  <si>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</si>
  <si>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</si>
  <si>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</si>
  <si>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</si>
  <si>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</si>
  <si>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</si>
  <si>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</si>
  <si>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</si>
  <si>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</si>
  <si>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</si>
  <si>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</si>
  <si>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</si>
  <si>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</si>
  <si>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</si>
  <si>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</si>
  <si>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</si>
  <si>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</si>
  <si>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</si>
  <si>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</si>
  <si>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</si>
  <si>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</si>
  <si>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</si>
  <si>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</si>
  <si>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</si>
  <si>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</si>
  <si>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</si>
  <si>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</si>
  <si>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</si>
  <si>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</si>
  <si>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</si>
  <si>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</si>
  <si>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</si>
  <si>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</si>
  <si>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</si>
  <si>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</si>
  <si>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</si>
  <si>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</si>
  <si>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</si>
  <si>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</si>
  <si>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</si>
  <si>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</si>
  <si>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</si>
  <si>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</si>
  <si>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</si>
  <si>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</si>
  <si>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</si>
  <si>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</si>
  <si>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</si>
  <si>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</si>
  <si>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</si>
  <si>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</si>
  <si>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</si>
  <si>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</si>
  <si>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</si>
  <si>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</si>
  <si>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</si>
  <si>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</si>
  <si>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</si>
  <si>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</si>
  <si>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</si>
  <si>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</si>
  <si>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</si>
  <si>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</si>
  <si>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</si>
  <si>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</si>
  <si>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</si>
  <si>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</si>
  <si>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</si>
  <si>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</si>
  <si>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</si>
  <si>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</si>
  <si>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</si>
  <si>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</si>
  <si>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</si>
  <si>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</si>
  <si>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</si>
  <si>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</si>
  <si>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</si>
  <si>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</si>
  <si>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</si>
  <si>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</si>
  <si>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</si>
  <si>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</si>
  <si>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</si>
  <si>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</si>
  <si>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</si>
  <si>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</si>
  <si>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</si>
  <si>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</si>
  <si>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</si>
  <si>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</si>
  <si>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</si>
  <si>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</si>
  <si>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</si>
  <si>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</si>
  <si>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</si>
  <si>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</si>
  <si>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</si>
  <si>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</si>
  <si>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</si>
  <si>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</si>
  <si>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</si>
  <si>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</si>
  <si>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</si>
  <si>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</si>
  <si>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</si>
  <si>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</si>
  <si>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</si>
  <si>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</si>
  <si>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</si>
  <si>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</si>
  <si>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</si>
  <si>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</si>
  <si>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</si>
  <si>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</si>
  <si>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</si>
  <si>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</si>
  <si>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</si>
  <si>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</si>
  <si>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</si>
  <si>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</si>
  <si>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</si>
  <si>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</si>
  <si>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</si>
  <si>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</si>
  <si>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</si>
  <si>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</si>
  <si>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</si>
  <si>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</si>
  <si>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</si>
  <si>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</si>
  <si>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</si>
  <si>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</si>
  <si>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</si>
  <si>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</si>
  <si>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</si>
  <si>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</si>
  <si>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</si>
  <si>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</si>
  <si>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</si>
  <si>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</si>
  <si>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</si>
  <si>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</si>
  <si>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</si>
  <si>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</si>
  <si>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</si>
  <si>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</si>
  <si>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</si>
  <si>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</si>
  <si>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</si>
  <si>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</si>
  <si>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</si>
  <si>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</si>
  <si>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</si>
  <si>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</si>
  <si>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</si>
  <si>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</si>
  <si>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</si>
  <si>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</si>
  <si>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</si>
  <si>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</si>
  <si>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</si>
  <si>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</si>
  <si>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</si>
  <si>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</si>
  <si>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</si>
  <si>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</si>
  <si>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</si>
  <si>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</si>
  <si>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</si>
  <si>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</si>
  <si>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</si>
  <si>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</si>
  <si>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</si>
  <si>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</si>
  <si>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</si>
  <si>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</si>
  <si>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</si>
  <si>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</si>
  <si>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</si>
  <si>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</si>
  <si>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</si>
  <si>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</si>
  <si>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</si>
  <si>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</si>
  <si>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</si>
  <si>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</si>
  <si>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</si>
  <si>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</si>
  <si>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</si>
  <si>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</si>
  <si>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</si>
  <si>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</si>
  <si>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</si>
  <si>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</si>
  <si>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</si>
  <si>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</si>
  <si>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</si>
  <si>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</si>
  <si>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</si>
  <si>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</si>
  <si>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</si>
  <si>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</si>
  <si>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</si>
  <si>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</si>
  <si>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</si>
  <si>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</si>
  <si>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</si>
  <si>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</si>
  <si>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</si>
  <si>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</si>
  <si>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</si>
  <si>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</si>
  <si>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</si>
  <si>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</si>
  <si>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</si>
  <si>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</si>
  <si>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</si>
  <si>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</si>
  <si>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</si>
  <si>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</si>
  <si>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</si>
  <si>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</si>
  <si>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</si>
  <si>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</si>
  <si>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</si>
  <si>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</si>
  <si>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</si>
  <si>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</si>
  <si>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</si>
  <si>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</si>
  <si>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</si>
  <si>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</si>
  <si>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</si>
  <si>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</si>
  <si>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</si>
  <si>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</si>
  <si>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</si>
  <si>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</si>
  <si>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</si>
  <si>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</si>
  <si>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</si>
  <si>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</si>
  <si>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</si>
  <si>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</si>
  <si>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</si>
  <si>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</si>
  <si>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</si>
  <si>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</si>
  <si>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</si>
  <si>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</si>
  <si>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</si>
  <si>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</si>
  <si>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</si>
  <si>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</si>
  <si>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</si>
  <si>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</si>
  <si>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</si>
  <si>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</si>
  <si>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</si>
  <si>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</si>
  <si>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</si>
  <si>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</si>
  <si>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</si>
  <si>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</si>
  <si>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</si>
  <si>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</si>
  <si>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</si>
  <si>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</si>
  <si>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</si>
  <si>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</si>
  <si>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</si>
  <si>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</si>
  <si>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</si>
  <si>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</si>
  <si>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</si>
  <si>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</si>
  <si>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</si>
  <si>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</si>
  <si>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</si>
  <si>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</si>
  <si>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</si>
  <si>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</si>
  <si>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</si>
  <si>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</si>
  <si>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</si>
  <si>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</si>
  <si>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</si>
  <si>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</si>
  <si>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</si>
  <si>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</si>
  <si>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</si>
  <si>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</si>
  <si>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</si>
  <si>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</si>
  <si>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</si>
  <si>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</si>
  <si>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</si>
  <si>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</si>
  <si>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</si>
  <si>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</si>
  <si>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</si>
  <si>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</si>
  <si>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</si>
  <si>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</si>
  <si>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</si>
  <si>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</si>
  <si>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</si>
  <si>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</si>
  <si>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</si>
  <si>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</si>
  <si>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</si>
  <si>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</si>
  <si>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</si>
  <si>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</si>
  <si>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</si>
  <si>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</si>
  <si>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</si>
  <si>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</si>
  <si>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</si>
  <si>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</si>
  <si>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</si>
  <si>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</si>
  <si>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</si>
  <si>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</si>
  <si>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</si>
  <si>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</si>
  <si>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</si>
  <si>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</si>
  <si>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</si>
  <si>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</si>
  <si>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</si>
  <si>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</si>
  <si>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</si>
  <si>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</si>
  <si>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</si>
  <si>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</si>
  <si>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</si>
  <si>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</si>
  <si>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</si>
  <si>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</si>
  <si>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</si>
  <si>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</si>
  <si>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</si>
  <si>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</si>
  <si>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</si>
  <si>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</si>
  <si>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</si>
  <si>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</si>
  <si>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</si>
  <si>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</si>
  <si>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</si>
  <si>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</si>
  <si>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</si>
  <si>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</si>
  <si>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</si>
  <si>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</si>
  <si>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</si>
  <si>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</si>
  <si>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</si>
  <si>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</si>
  <si>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</si>
  <si>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</si>
  <si>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</si>
  <si>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</si>
  <si>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</si>
  <si>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</si>
  <si>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</si>
  <si>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</si>
  <si>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</si>
  <si>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</si>
  <si>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</si>
  <si>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</si>
  <si>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</si>
  <si>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</si>
  <si>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</si>
  <si>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</si>
  <si>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</si>
  <si>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</si>
  <si>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</si>
  <si>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</si>
  <si>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</si>
  <si>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</si>
  <si>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</si>
  <si>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</si>
  <si>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</si>
  <si>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</si>
  <si>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</si>
  <si>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</si>
  <si>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</si>
  <si>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</si>
  <si>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</si>
  <si>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</si>
  <si>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</si>
  <si>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</si>
  <si>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</si>
  <si>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</si>
  <si>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</si>
  <si>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</si>
  <si>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</si>
  <si>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</si>
  <si>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</si>
  <si>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</si>
  <si>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</si>
  <si>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</si>
  <si>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</si>
  <si>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</si>
  <si>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</si>
  <si>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</si>
  <si>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</si>
  <si>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</si>
  <si>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</si>
  <si>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</si>
  <si>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</si>
  <si>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</si>
  <si>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</si>
  <si>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</si>
  <si>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</si>
  <si>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</si>
  <si>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</si>
  <si>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</si>
  <si>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</si>
  <si>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</si>
  <si>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</si>
  <si>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</si>
  <si>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</si>
  <si>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</si>
  <si>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</si>
  <si>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</si>
  <si>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</si>
  <si>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</si>
  <si>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</si>
  <si>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</si>
  <si>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</si>
  <si>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</si>
  <si>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</si>
  <si>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</si>
  <si>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</si>
  <si>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</si>
  <si>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</si>
  <si>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</si>
  <si>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</si>
  <si>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</si>
  <si>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</si>
  <si>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</si>
  <si>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</si>
  <si>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</si>
  <si>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</si>
  <si>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</si>
  <si>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</si>
  <si>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</si>
  <si>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</si>
  <si>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</si>
  <si>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</si>
  <si>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</si>
  <si>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</si>
  <si>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</si>
  <si>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</si>
  <si>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</si>
  <si>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</si>
  <si>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</si>
  <si>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</si>
  <si>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</si>
  <si>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</si>
  <si>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</si>
  <si>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</si>
  <si>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</si>
  <si>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</si>
  <si>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</si>
  <si>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</si>
  <si>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</si>
  <si>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</si>
  <si>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</si>
  <si>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</si>
  <si>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</si>
  <si>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</si>
  <si>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</si>
  <si>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</si>
  <si>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</si>
  <si>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</si>
  <si>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</si>
  <si>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</si>
  <si>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</si>
  <si>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</si>
  <si>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</si>
  <si>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</si>
  <si>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</si>
  <si>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</si>
  <si>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</si>
  <si>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</si>
  <si>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</si>
  <si>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</si>
  <si>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</si>
  <si>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</si>
  <si>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</si>
  <si>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</si>
  <si>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</si>
  <si>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</si>
  <si>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</si>
  <si>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</si>
  <si>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</si>
  <si>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</si>
  <si>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</si>
  <si>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</si>
  <si>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</si>
  <si>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</si>
  <si>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</si>
  <si>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</si>
  <si>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</si>
  <si>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</si>
  <si>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</si>
  <si>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</si>
  <si>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</si>
  <si>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</si>
  <si>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</si>
  <si>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</si>
  <si>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</si>
  <si>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</si>
  <si>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</si>
  <si>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</si>
  <si>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</si>
  <si>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</si>
  <si>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</si>
  <si>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</si>
  <si>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</si>
  <si>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</si>
  <si>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</si>
  <si>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</si>
  <si>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</si>
  <si>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</si>
  <si>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</si>
  <si>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</si>
  <si>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</si>
  <si>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</si>
  <si>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</si>
  <si>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</si>
  <si>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</si>
  <si>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</si>
  <si>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</si>
  <si>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</si>
  <si>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</si>
  <si>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</si>
  <si>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</si>
  <si>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</si>
  <si>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</si>
  <si>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</si>
  <si>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</si>
  <si>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</si>
  <si>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</si>
  <si>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</si>
  <si>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</si>
  <si>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</si>
  <si>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</si>
  <si>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</si>
  <si>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</si>
  <si>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</si>
  <si>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</si>
  <si>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</si>
  <si>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</si>
  <si>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</si>
  <si>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</si>
  <si>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</si>
  <si>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</si>
  <si>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</si>
  <si>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</si>
  <si>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</si>
  <si>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</si>
  <si>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</si>
  <si>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</si>
  <si>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</si>
  <si>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</si>
  <si>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</si>
  <si>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</si>
  <si>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</si>
  <si>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</si>
  <si>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</si>
  <si>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</si>
  <si>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</si>
  <si>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</si>
  <si>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</si>
  <si>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</si>
  <si>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</si>
  <si>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</si>
  <si>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</si>
  <si>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</si>
  <si>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</si>
  <si>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</si>
  <si>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</si>
  <si>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</si>
  <si>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</si>
  <si>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</si>
  <si>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</si>
  <si>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</si>
  <si>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</si>
  <si>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</si>
  <si>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</si>
  <si>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</si>
  <si>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</si>
  <si>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</si>
  <si>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</si>
  <si>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</si>
  <si>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</si>
  <si>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</si>
  <si>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</si>
  <si>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</si>
  <si>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</si>
  <si>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</si>
  <si>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</si>
  <si>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</si>
  <si>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</si>
  <si>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</si>
  <si>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</si>
  <si>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</si>
  <si>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</si>
  <si>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</si>
  <si>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</si>
  <si>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</si>
  <si>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</si>
  <si>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</si>
  <si>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</si>
  <si>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</si>
  <si>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</si>
  <si>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</si>
  <si>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</si>
  <si>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</si>
  <si>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</si>
  <si>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</si>
  <si>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</si>
  <si>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</si>
  <si>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</si>
  <si>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</si>
  <si>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</si>
  <si>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</si>
  <si>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</si>
  <si>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</si>
  <si>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</si>
  <si>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</si>
  <si>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</si>
  <si>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</si>
  <si>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</si>
  <si>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</si>
  <si>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</si>
  <si>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</si>
  <si>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</si>
  <si>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</si>
  <si>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</si>
  <si>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</si>
  <si>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</si>
  <si>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</si>
  <si>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</si>
  <si>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</si>
  <si>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</si>
  <si>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</si>
  <si>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</si>
  <si>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</si>
  <si>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</si>
  <si>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</si>
  <si>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</si>
  <si>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</si>
  <si>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</si>
  <si>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</si>
  <si>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</si>
  <si>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</si>
  <si>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</si>
  <si>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</si>
  <si>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</si>
  <si>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</si>
  <si>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</si>
  <si>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</si>
  <si>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</si>
  <si>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</si>
  <si>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</si>
  <si>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</si>
  <si>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</si>
  <si>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</si>
  <si>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</si>
  <si>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</si>
  <si>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</si>
  <si>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</si>
  <si>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</si>
  <si>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</si>
  <si>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</si>
  <si>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</si>
  <si>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</si>
  <si>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</si>
  <si>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</si>
  <si>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</si>
  <si>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</si>
  <si>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</si>
  <si>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</si>
  <si>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</si>
  <si>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</si>
  <si>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</si>
  <si>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</si>
  <si>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</si>
  <si>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</si>
  <si>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</si>
  <si>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</si>
  <si>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</si>
  <si>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</si>
  <si>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</si>
  <si>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</si>
  <si>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</si>
  <si>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</si>
  <si>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</si>
  <si>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</si>
  <si>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</si>
  <si>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</si>
  <si>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</si>
  <si>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</si>
  <si>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</si>
  <si>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</si>
  <si>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</si>
  <si>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</si>
  <si>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</si>
  <si>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</si>
  <si>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</si>
  <si>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</si>
  <si>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</si>
  <si>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</si>
  <si>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</si>
  <si>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</si>
  <si>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</si>
  <si>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</si>
  <si>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</si>
  <si>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</si>
  <si>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</si>
  <si>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</si>
  <si>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</si>
  <si>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</si>
  <si>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</si>
  <si>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</si>
  <si>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</si>
  <si>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</si>
  <si>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</si>
  <si>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</si>
  <si>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</si>
  <si>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</si>
  <si>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</si>
  <si>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</si>
  <si>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</si>
  <si>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</si>
  <si>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</si>
  <si>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</si>
  <si>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</si>
  <si>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</si>
  <si>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</si>
  <si>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</si>
  <si>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</si>
  <si>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</si>
  <si>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</si>
  <si>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</si>
  <si>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</si>
  <si>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</si>
  <si>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</si>
  <si>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</si>
  <si>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</si>
  <si>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</si>
  <si>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</si>
  <si>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</si>
  <si>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</si>
  <si>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</si>
  <si>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</si>
  <si>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</si>
  <si>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</si>
  <si>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</si>
  <si>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</si>
  <si>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</si>
  <si>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</si>
  <si>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</si>
  <si>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</si>
  <si>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</si>
  <si>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</si>
  <si>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</si>
  <si>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</si>
  <si>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</si>
  <si>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</si>
  <si>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</si>
  <si>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</si>
  <si>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</si>
  <si>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</si>
  <si>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</si>
  <si>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</si>
  <si>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</si>
  <si>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</si>
  <si>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</si>
  <si>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</si>
  <si>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</si>
  <si>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</si>
  <si>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</si>
  <si>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</si>
  <si>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</si>
  <si>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</si>
  <si>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</si>
  <si>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</si>
  <si>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</si>
  <si>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</si>
  <si>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</si>
  <si>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</si>
  <si>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</si>
  <si>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</si>
  <si>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</si>
  <si>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</si>
  <si>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</si>
  <si>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</si>
  <si>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</si>
  <si>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</si>
  <si>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</si>
  <si>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</si>
  <si>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</si>
  <si>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</si>
  <si>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</si>
  <si>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</si>
  <si>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</si>
  <si>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</si>
  <si>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</si>
  <si>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</si>
  <si>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</si>
  <si>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</si>
  <si>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</si>
  <si>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</si>
  <si>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</si>
  <si>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</si>
  <si>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</si>
  <si>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</si>
  <si>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</si>
  <si>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</si>
  <si>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</si>
  <si>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</si>
  <si>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</si>
  <si>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</si>
  <si>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</si>
  <si>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</si>
  <si>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</si>
  <si>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</si>
  <si>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</si>
  <si>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</si>
  <si>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</si>
  <si>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</si>
  <si>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</si>
  <si>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</si>
  <si>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</si>
  <si>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</si>
  <si>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</si>
  <si>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</si>
  <si>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</si>
  <si>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</si>
  <si>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</si>
  <si>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</si>
  <si>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</si>
  <si>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</si>
  <si>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</si>
  <si>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</si>
  <si>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</si>
  <si>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</si>
  <si>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</si>
  <si>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</si>
  <si>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</si>
  <si>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</si>
  <si>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</si>
  <si>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</si>
  <si>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</si>
  <si>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</si>
  <si>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</si>
  <si>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</si>
  <si>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</si>
  <si>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</si>
  <si>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</si>
  <si>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</si>
  <si>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</si>
  <si>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</si>
  <si>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</si>
  <si>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</si>
  <si>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</si>
  <si>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</si>
  <si>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</si>
  <si>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</si>
  <si>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</si>
  <si>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</si>
  <si>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</si>
  <si>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</si>
  <si>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</si>
  <si>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</si>
  <si>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</si>
  <si>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</si>
  <si>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</si>
  <si>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</si>
  <si>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</si>
  <si>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</si>
  <si>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</si>
  <si>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</si>
  <si>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</si>
  <si>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</si>
  <si>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</si>
  <si>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</si>
  <si>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</si>
  <si>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</si>
  <si>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</si>
  <si>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</si>
  <si>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</si>
  <si>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</si>
  <si>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</si>
  <si>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</si>
  <si>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</si>
  <si>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</si>
  <si>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</si>
  <si>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</si>
  <si>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</si>
  <si>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</si>
  <si>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</si>
  <si>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</si>
  <si>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</si>
  <si>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</si>
  <si>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</si>
  <si>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</si>
  <si>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</si>
  <si>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</si>
  <si>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</si>
  <si>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</si>
  <si>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</si>
  <si>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</si>
  <si>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</si>
  <si>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</si>
  <si>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</si>
  <si>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</si>
  <si>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</si>
  <si>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</si>
  <si>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</si>
  <si>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</si>
  <si>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</si>
  <si>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</si>
  <si>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</si>
  <si>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</si>
  <si>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</si>
  <si>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</si>
  <si>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</si>
  <si>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</si>
  <si>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</si>
  <si>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</si>
  <si>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</si>
  <si>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</si>
  <si>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</si>
  <si>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</si>
  <si>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</si>
  <si>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</si>
  <si>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</si>
  <si>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</si>
  <si>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</si>
  <si>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</si>
  <si>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</si>
  <si>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</si>
  <si>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</si>
  <si>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</si>
  <si>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</si>
  <si>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</si>
  <si>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</si>
  <si>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</si>
  <si>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</si>
  <si>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</si>
  <si>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</si>
  <si>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</si>
  <si>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</si>
  <si>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</si>
  <si>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</si>
  <si>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</si>
  <si>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</si>
  <si>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</si>
  <si>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</si>
  <si>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</si>
  <si>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</si>
  <si>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</si>
  <si>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</si>
  <si>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</si>
  <si>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</si>
  <si>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</si>
  <si>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</si>
  <si>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</si>
  <si>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</si>
  <si>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</si>
  <si>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</si>
  <si>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</si>
  <si>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</si>
  <si>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</si>
  <si>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</si>
  <si>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</si>
  <si>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</si>
  <si>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</si>
  <si>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</si>
  <si>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</si>
  <si>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</si>
  <si>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</si>
  <si>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</si>
  <si>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</si>
  <si>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</si>
  <si>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</si>
  <si>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</si>
  <si>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</si>
  <si>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</si>
  <si>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</si>
  <si>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</si>
  <si>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</si>
  <si>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</si>
  <si>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</si>
  <si>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</si>
  <si>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</si>
  <si>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</si>
  <si>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</si>
  <si>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</si>
  <si>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</si>
  <si>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</si>
  <si>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</si>
  <si>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</si>
  <si>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</si>
  <si>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</si>
  <si>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</si>
  <si>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</si>
  <si>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</si>
  <si>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</si>
  <si>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</si>
  <si>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</si>
  <si>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</si>
  <si>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</si>
  <si>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</si>
  <si>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N/A</t>
  </si>
  <si>
    <t>Central West Pipeline</t>
  </si>
  <si>
    <t>37 080 842 360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</si>
</sst>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3" t="s">
        <v>698</v>
      </c>
      <c r="C5" s="629" t="s">
        <v>341</v>
      </c>
      <c r="D5" s="629" t="s">
        <v>697</v>
      </c>
      <c r="E5" s="511"/>
      <c r="W5" s="358"/>
      <c r="X5" s="358"/>
      <c r="AA5" s="638"/>
      <c r="AB5" s="638"/>
    </row>
    <row r="6" spans="2:28" ht="15" customHeight="1">
      <c r="B6" s="1413"/>
      <c r="C6" s="639" t="s">
        <v>695</v>
      </c>
      <c r="D6" s="639" t="s">
        <v>695</v>
      </c>
      <c r="E6" s="511"/>
      <c r="W6" s="358"/>
      <c r="X6" s="358"/>
      <c r="AA6" s="638"/>
      <c r="AB6" s="638"/>
    </row>
    <row r="7" spans="2:28" ht="15" customHeight="1">
      <c r="B7" s="1413"/>
      <c r="C7" s="637" t="s">
        <v>342</v>
      </c>
      <c r="D7" s="636" t="s">
        <v>103</v>
      </c>
      <c r="E7" s="362"/>
      <c r="S7" s="358"/>
      <c r="T7" s="358"/>
      <c r="U7" s="358"/>
      <c r="V7" s="358"/>
      <c r="W7" s="358"/>
      <c r="X7" s="358"/>
    </row>
    <row r="8" spans="2:28" ht="15" customHeight="1">
      <c r="B8" s="1413"/>
      <c r="C8" s="635" t="s">
        <v>343</v>
      </c>
      <c r="D8" s="623" t="s">
        <v>696</v>
      </c>
      <c r="E8" s="362"/>
      <c r="S8" s="358"/>
      <c r="T8" s="358"/>
      <c r="U8" s="358"/>
      <c r="V8" s="358"/>
      <c r="W8" s="358"/>
      <c r="X8" s="358"/>
    </row>
    <row r="9" spans="2:28" ht="15" customHeight="1">
      <c r="B9" s="1413"/>
      <c r="C9" s="635" t="s">
        <v>104</v>
      </c>
      <c r="D9" s="634"/>
      <c r="E9" s="362"/>
      <c r="S9" s="358"/>
      <c r="T9" s="358"/>
      <c r="U9" s="358"/>
      <c r="V9" s="358"/>
      <c r="W9" s="358"/>
      <c r="X9" s="358"/>
    </row>
    <row r="10" spans="2:28" ht="15.75" customHeight="1" thickBot="1">
      <c r="B10" s="1413"/>
      <c r="C10" s="633"/>
      <c r="D10" s="632"/>
      <c r="E10" s="362"/>
      <c r="S10" s="358"/>
      <c r="T10" s="358"/>
      <c r="U10" s="358"/>
      <c r="V10" s="358"/>
      <c r="W10" s="358"/>
      <c r="X10" s="358"/>
    </row>
    <row r="11" spans="2:28" ht="15" thickBot="1">
      <c r="B11" s="1413"/>
      <c r="C11" s="360"/>
      <c r="D11" s="631"/>
      <c r="E11" s="362"/>
      <c r="S11" s="358"/>
      <c r="T11" s="358"/>
      <c r="U11" s="358"/>
      <c r="V11" s="358"/>
      <c r="W11" s="358"/>
      <c r="X11" s="358"/>
    </row>
    <row r="12" spans="2:28" ht="83.4" thickBot="1">
      <c r="B12" s="1413"/>
      <c r="C12" s="630" t="s">
        <v>455</v>
      </c>
      <c r="D12" s="630" t="s">
        <v>456</v>
      </c>
      <c r="S12" s="358"/>
      <c r="T12" s="358"/>
      <c r="U12" s="358"/>
      <c r="V12" s="358"/>
      <c r="W12" s="358"/>
      <c r="X12" s="358"/>
    </row>
    <row r="13" spans="2:28" ht="24" customHeight="1" thickBot="1">
      <c r="B13" s="1413"/>
      <c r="C13" s="629" t="s">
        <v>201</v>
      </c>
      <c r="D13" s="629" t="s">
        <v>202</v>
      </c>
      <c r="G13" s="362"/>
      <c r="H13" s="396"/>
      <c r="S13" s="358"/>
      <c r="T13" s="358"/>
      <c r="U13" s="358"/>
      <c r="V13" s="358"/>
      <c r="W13" s="358"/>
      <c r="X13" s="358"/>
    </row>
    <row r="14" spans="2:28">
      <c r="B14" s="1413"/>
      <c r="C14" s="628" t="s">
        <v>695</v>
      </c>
      <c r="D14" s="627" t="s">
        <v>169</v>
      </c>
      <c r="G14" s="362"/>
      <c r="S14" s="358"/>
      <c r="T14" s="358"/>
      <c r="U14" s="358"/>
      <c r="V14" s="358"/>
      <c r="W14" s="358"/>
      <c r="X14" s="358"/>
    </row>
    <row r="15" spans="2:28">
      <c r="B15" s="1413"/>
      <c r="C15" s="623" t="s">
        <v>203</v>
      </c>
      <c r="D15" s="626" t="s">
        <v>205</v>
      </c>
      <c r="H15" s="624"/>
      <c r="S15" s="358"/>
      <c r="T15" s="358"/>
      <c r="U15" s="358"/>
      <c r="V15" s="358"/>
      <c r="W15" s="358"/>
      <c r="X15" s="358"/>
    </row>
    <row r="16" spans="2:28">
      <c r="B16" s="1413"/>
      <c r="C16" s="623" t="s">
        <v>204</v>
      </c>
      <c r="D16" s="626" t="s">
        <v>1063</v>
      </c>
      <c r="H16" s="624"/>
      <c r="S16" s="358"/>
      <c r="T16" s="358"/>
      <c r="U16" s="358"/>
      <c r="V16" s="358"/>
      <c r="W16" s="358"/>
      <c r="X16" s="358"/>
    </row>
    <row r="17" spans="2:89" ht="15" thickBot="1">
      <c r="B17" s="1413"/>
      <c r="C17" s="623" t="s">
        <v>206</v>
      </c>
      <c r="D17" s="625" t="s">
        <v>207</v>
      </c>
      <c r="H17" s="624"/>
      <c r="S17" s="358"/>
      <c r="T17" s="358"/>
      <c r="U17" s="358"/>
      <c r="V17" s="358"/>
      <c r="W17" s="358"/>
      <c r="X17" s="358"/>
    </row>
    <row r="18" spans="2:89">
      <c r="B18" s="1413"/>
      <c r="C18" s="623" t="s">
        <v>99</v>
      </c>
      <c r="D18" s="360"/>
      <c r="G18" s="362"/>
      <c r="H18" s="621"/>
      <c r="J18" s="360"/>
      <c r="L18" s="359"/>
      <c r="O18" s="358"/>
      <c r="P18" s="358"/>
      <c r="Q18" s="358"/>
      <c r="R18" s="358"/>
      <c r="S18" s="358"/>
      <c r="T18" s="358"/>
      <c r="U18" s="358"/>
      <c r="V18" s="358"/>
      <c r="W18" s="358"/>
    </row>
    <row r="19" spans="2:89" ht="15" thickBot="1">
      <c r="B19" s="1413"/>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10"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10"/>
      <c r="C24" s="565" t="s">
        <v>685</v>
      </c>
      <c r="D24" s="564" t="s">
        <v>665</v>
      </c>
      <c r="E24" s="563" t="s">
        <v>664</v>
      </c>
      <c r="F24" s="562" t="s">
        <v>284</v>
      </c>
      <c r="G24" s="614" t="s">
        <v>664</v>
      </c>
      <c r="H24" s="613" t="s">
        <v>362</v>
      </c>
      <c r="I24" s="612" t="s">
        <v>346</v>
      </c>
      <c r="J24" s="611" t="s">
        <v>347</v>
      </c>
      <c r="K24" s="1414" t="s">
        <v>346</v>
      </c>
      <c r="L24" s="610" t="s">
        <v>347</v>
      </c>
      <c r="N24" s="609" t="s">
        <v>684</v>
      </c>
      <c r="R24" s="358"/>
      <c r="S24" s="358"/>
      <c r="T24" s="358"/>
      <c r="U24" s="358"/>
      <c r="V24" s="358"/>
      <c r="W24" s="358"/>
      <c r="AK24" s="1417"/>
      <c r="AL24" s="1417"/>
      <c r="AM24" s="1417"/>
      <c r="AN24" s="1417"/>
      <c r="AO24" s="1417"/>
      <c r="AP24" s="1417"/>
      <c r="AQ24" s="1417"/>
      <c r="AR24" s="1417"/>
      <c r="AS24" s="1417"/>
      <c r="AT24" s="1417"/>
      <c r="AU24" s="1417"/>
      <c r="AV24" s="1417"/>
      <c r="AW24" s="1417"/>
      <c r="AX24" s="1417"/>
      <c r="AY24" s="1417"/>
      <c r="AZ24" s="1417"/>
      <c r="BA24" s="1417"/>
      <c r="BB24" s="1417"/>
      <c r="BC24" s="1417"/>
      <c r="BD24" s="1417"/>
      <c r="BE24" s="1417"/>
      <c r="BF24" s="1417"/>
      <c r="BP24" s="1417"/>
      <c r="BQ24" s="1417"/>
      <c r="BR24" s="1417"/>
      <c r="BS24" s="1417"/>
      <c r="BT24" s="1417"/>
      <c r="BU24" s="1417"/>
      <c r="BV24" s="1417"/>
      <c r="BW24" s="1417"/>
      <c r="BX24" s="1417"/>
      <c r="BY24" s="1417"/>
      <c r="BZ24" s="1417"/>
      <c r="CA24" s="1417"/>
      <c r="CB24" s="1417"/>
      <c r="CC24" s="1417"/>
      <c r="CD24" s="1417"/>
      <c r="CE24" s="1417"/>
      <c r="CF24" s="1417"/>
      <c r="CG24" s="1417"/>
      <c r="CH24" s="1417"/>
      <c r="CI24" s="1417"/>
      <c r="CJ24" s="1417"/>
      <c r="CK24" s="1417"/>
    </row>
    <row r="25" spans="2:89" ht="15" customHeight="1">
      <c r="B25" s="1410"/>
      <c r="C25" s="559" t="s">
        <v>356</v>
      </c>
      <c r="D25" s="558" t="s">
        <v>683</v>
      </c>
      <c r="E25" s="555" t="s">
        <v>661</v>
      </c>
      <c r="F25" s="555" t="s">
        <v>292</v>
      </c>
      <c r="G25" s="608" t="s">
        <v>661</v>
      </c>
      <c r="H25" s="599" t="s">
        <v>447</v>
      </c>
      <c r="I25" s="591" t="s">
        <v>349</v>
      </c>
      <c r="J25" s="590" t="s">
        <v>348</v>
      </c>
      <c r="K25" s="1415"/>
      <c r="L25" s="604" t="s">
        <v>348</v>
      </c>
      <c r="N25" s="597" t="s">
        <v>682</v>
      </c>
      <c r="R25" s="358"/>
      <c r="S25" s="358"/>
      <c r="T25" s="358"/>
      <c r="U25" s="358"/>
      <c r="V25" s="358"/>
      <c r="W25" s="358"/>
      <c r="AK25" s="1417"/>
      <c r="AL25" s="1417"/>
      <c r="AM25" s="1417"/>
      <c r="AN25" s="1417"/>
      <c r="AO25" s="1417"/>
      <c r="AP25" s="1417"/>
      <c r="AQ25" s="1417"/>
      <c r="AR25" s="1417"/>
      <c r="AS25" s="1417"/>
      <c r="AT25" s="1417"/>
      <c r="AU25" s="1417"/>
      <c r="AV25" s="1417"/>
      <c r="AW25" s="1417"/>
      <c r="AX25" s="1417"/>
      <c r="AY25" s="1417"/>
      <c r="AZ25" s="1417"/>
      <c r="BA25" s="1417"/>
      <c r="BB25" s="1417"/>
      <c r="BC25" s="1417"/>
      <c r="BD25" s="1417"/>
      <c r="BE25" s="1417"/>
      <c r="BF25" s="1417"/>
      <c r="BP25" s="1417"/>
      <c r="BQ25" s="1417"/>
      <c r="BR25" s="1417"/>
      <c r="BS25" s="1417"/>
      <c r="BT25" s="1417"/>
      <c r="BU25" s="1417"/>
      <c r="BV25" s="1417"/>
      <c r="BW25" s="1417"/>
      <c r="BX25" s="1417"/>
      <c r="BY25" s="1417"/>
      <c r="BZ25" s="1417"/>
      <c r="CA25" s="1417"/>
      <c r="CB25" s="1417"/>
      <c r="CC25" s="1417"/>
      <c r="CD25" s="1417"/>
      <c r="CE25" s="1417"/>
      <c r="CF25" s="1417"/>
      <c r="CG25" s="1417"/>
      <c r="CH25" s="1417"/>
      <c r="CI25" s="1417"/>
      <c r="CJ25" s="1417"/>
      <c r="CK25" s="1417"/>
    </row>
    <row r="26" spans="2:89" ht="15.75" customHeight="1">
      <c r="B26" s="1410"/>
      <c r="C26" s="559" t="s">
        <v>663</v>
      </c>
      <c r="D26" s="558" t="s">
        <v>681</v>
      </c>
      <c r="E26" s="557" t="s">
        <v>658</v>
      </c>
      <c r="F26" s="555" t="s">
        <v>295</v>
      </c>
      <c r="G26" s="603" t="s">
        <v>658</v>
      </c>
      <c r="H26" s="599" t="s">
        <v>448</v>
      </c>
      <c r="I26" s="591" t="s">
        <v>309</v>
      </c>
      <c r="J26" s="607" t="s">
        <v>309</v>
      </c>
      <c r="K26" s="1416"/>
      <c r="L26" s="601" t="s">
        <v>309</v>
      </c>
      <c r="N26" s="597" t="s">
        <v>680</v>
      </c>
      <c r="R26" s="358"/>
      <c r="S26" s="358"/>
      <c r="T26" s="358"/>
      <c r="U26" s="358"/>
      <c r="V26" s="358"/>
      <c r="W26" s="358"/>
      <c r="AK26" s="1417"/>
      <c r="AL26" s="1417"/>
      <c r="AM26" s="1417"/>
      <c r="AN26" s="1417"/>
      <c r="AO26" s="1417"/>
      <c r="AP26" s="1417"/>
      <c r="AQ26" s="1417"/>
      <c r="AR26" s="1417"/>
      <c r="AS26" s="1417"/>
      <c r="AT26" s="1417"/>
      <c r="AU26" s="1417"/>
      <c r="AV26" s="1417"/>
      <c r="AW26" s="1417"/>
      <c r="AX26" s="1417"/>
      <c r="AY26" s="1417"/>
      <c r="AZ26" s="1417"/>
      <c r="BA26" s="1417"/>
      <c r="BB26" s="1417"/>
      <c r="BC26" s="1417"/>
      <c r="BD26" s="1417"/>
      <c r="BE26" s="1417"/>
      <c r="BF26" s="1417"/>
      <c r="BP26" s="1417"/>
      <c r="BQ26" s="1417"/>
      <c r="BR26" s="1417"/>
      <c r="BS26" s="1417"/>
      <c r="BT26" s="1417"/>
      <c r="BU26" s="1417"/>
      <c r="BV26" s="1417"/>
      <c r="BW26" s="1417"/>
      <c r="BX26" s="1417"/>
      <c r="BY26" s="1417"/>
      <c r="BZ26" s="1417"/>
      <c r="CA26" s="1417"/>
      <c r="CB26" s="1417"/>
      <c r="CC26" s="1417"/>
      <c r="CD26" s="1417"/>
      <c r="CE26" s="1417"/>
      <c r="CF26" s="1417"/>
      <c r="CG26" s="1417"/>
      <c r="CH26" s="1417"/>
      <c r="CI26" s="1417"/>
      <c r="CJ26" s="1417"/>
      <c r="CK26" s="1417"/>
    </row>
    <row r="27" spans="2:89" ht="15.75" customHeight="1">
      <c r="B27" s="1410"/>
      <c r="C27" s="559" t="s">
        <v>309</v>
      </c>
      <c r="D27" s="558" t="s">
        <v>309</v>
      </c>
      <c r="E27" s="557" t="s">
        <v>657</v>
      </c>
      <c r="F27" s="555" t="s">
        <v>300</v>
      </c>
      <c r="G27" s="603" t="s">
        <v>657</v>
      </c>
      <c r="H27" s="599" t="s">
        <v>361</v>
      </c>
      <c r="I27" s="591" t="s">
        <v>351</v>
      </c>
      <c r="J27" s="606" t="s">
        <v>350</v>
      </c>
      <c r="K27" s="1418" t="s">
        <v>349</v>
      </c>
      <c r="L27" s="605" t="s">
        <v>350</v>
      </c>
      <c r="N27" s="597" t="s">
        <v>679</v>
      </c>
      <c r="R27" s="358"/>
      <c r="S27" s="358"/>
      <c r="T27" s="358"/>
      <c r="U27" s="358"/>
      <c r="V27" s="358"/>
      <c r="W27" s="358"/>
    </row>
    <row r="28" spans="2:89" ht="15" customHeight="1">
      <c r="B28" s="1410"/>
      <c r="C28" s="492"/>
      <c r="D28" s="457"/>
      <c r="E28" s="557" t="s">
        <v>654</v>
      </c>
      <c r="F28" s="555" t="s">
        <v>301</v>
      </c>
      <c r="G28" s="603" t="s">
        <v>655</v>
      </c>
      <c r="H28" s="599" t="s">
        <v>449</v>
      </c>
      <c r="I28" s="591" t="s">
        <v>353</v>
      </c>
      <c r="J28" s="584" t="s">
        <v>352</v>
      </c>
      <c r="K28" s="1415"/>
      <c r="L28" s="604" t="s">
        <v>352</v>
      </c>
      <c r="N28" s="597" t="s">
        <v>678</v>
      </c>
      <c r="R28" s="358"/>
      <c r="S28" s="358"/>
      <c r="T28" s="358"/>
      <c r="U28" s="358"/>
      <c r="V28" s="358"/>
      <c r="W28" s="358"/>
    </row>
    <row r="29" spans="2:89" ht="15" customHeight="1">
      <c r="B29" s="1410"/>
      <c r="C29" s="492"/>
      <c r="D29" s="457"/>
      <c r="E29" s="557" t="s">
        <v>653</v>
      </c>
      <c r="F29" s="555" t="s">
        <v>305</v>
      </c>
      <c r="G29" s="603" t="s">
        <v>654</v>
      </c>
      <c r="H29" s="599" t="s">
        <v>450</v>
      </c>
      <c r="I29" s="591" t="s">
        <v>355</v>
      </c>
      <c r="J29" s="584" t="s">
        <v>354</v>
      </c>
      <c r="K29" s="1415"/>
      <c r="L29" s="604" t="s">
        <v>354</v>
      </c>
      <c r="N29" s="597" t="s">
        <v>677</v>
      </c>
      <c r="U29" s="358"/>
      <c r="V29" s="358"/>
      <c r="W29" s="358"/>
    </row>
    <row r="30" spans="2:89" ht="15" customHeight="1">
      <c r="B30" s="1410"/>
      <c r="C30" s="492"/>
      <c r="D30" s="457"/>
      <c r="E30" s="557" t="s">
        <v>651</v>
      </c>
      <c r="F30" s="555" t="s">
        <v>308</v>
      </c>
      <c r="G30" s="603" t="s">
        <v>653</v>
      </c>
      <c r="H30" s="599" t="s">
        <v>452</v>
      </c>
      <c r="I30" s="591" t="s">
        <v>357</v>
      </c>
      <c r="J30" s="584" t="s">
        <v>356</v>
      </c>
      <c r="K30" s="1415"/>
      <c r="L30" s="604" t="s">
        <v>356</v>
      </c>
      <c r="N30" s="597" t="s">
        <v>676</v>
      </c>
      <c r="R30" s="358"/>
      <c r="S30" s="358"/>
      <c r="T30" s="358"/>
      <c r="U30" s="358"/>
      <c r="V30" s="358"/>
      <c r="W30" s="358"/>
    </row>
    <row r="31" spans="2:89" ht="15.75" customHeight="1">
      <c r="B31" s="1410"/>
      <c r="C31" s="492"/>
      <c r="D31" s="457"/>
      <c r="E31" s="593"/>
      <c r="F31" s="555" t="s">
        <v>652</v>
      </c>
      <c r="G31" s="603" t="s">
        <v>651</v>
      </c>
      <c r="H31" s="599" t="s">
        <v>453</v>
      </c>
      <c r="I31" s="591" t="s">
        <v>359</v>
      </c>
      <c r="J31" s="602" t="s">
        <v>358</v>
      </c>
      <c r="K31" s="1416"/>
      <c r="L31" s="601" t="s">
        <v>358</v>
      </c>
      <c r="N31" s="597" t="s">
        <v>675</v>
      </c>
      <c r="R31" s="358"/>
      <c r="S31" s="358"/>
      <c r="T31" s="358"/>
      <c r="U31" s="358"/>
      <c r="V31" s="358"/>
      <c r="W31" s="358"/>
    </row>
    <row r="32" spans="2:89" ht="15" customHeight="1">
      <c r="B32" s="1410"/>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10"/>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10"/>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10"/>
      <c r="C35" s="492"/>
      <c r="D35" s="594"/>
      <c r="E35" s="593"/>
      <c r="F35" s="555" t="s">
        <v>647</v>
      </c>
      <c r="G35" s="583"/>
      <c r="H35" s="492"/>
      <c r="I35" s="591" t="s">
        <v>365</v>
      </c>
      <c r="J35" s="596" t="s">
        <v>368</v>
      </c>
      <c r="K35" s="1418" t="s">
        <v>355</v>
      </c>
      <c r="L35" s="595" t="s">
        <v>364</v>
      </c>
      <c r="N35" s="457"/>
      <c r="R35" s="358"/>
      <c r="S35" s="358"/>
      <c r="T35" s="358"/>
      <c r="U35" s="358"/>
      <c r="V35" s="358"/>
      <c r="W35" s="358"/>
    </row>
    <row r="36" spans="2:23" ht="15.75" customHeight="1">
      <c r="B36" s="1410"/>
      <c r="C36" s="492"/>
      <c r="D36" s="594"/>
      <c r="E36" s="593"/>
      <c r="F36" s="555" t="s">
        <v>309</v>
      </c>
      <c r="G36" s="583"/>
      <c r="H36" s="492"/>
      <c r="I36" s="591" t="s">
        <v>367</v>
      </c>
      <c r="J36" s="584" t="s">
        <v>309</v>
      </c>
      <c r="K36" s="1416"/>
      <c r="L36" s="575" t="s">
        <v>366</v>
      </c>
      <c r="N36" s="457"/>
      <c r="R36" s="358"/>
      <c r="S36" s="358"/>
      <c r="T36" s="358"/>
      <c r="U36" s="358"/>
      <c r="V36" s="358"/>
      <c r="W36" s="358"/>
    </row>
    <row r="37" spans="2:23">
      <c r="B37" s="1410"/>
      <c r="C37" s="492"/>
      <c r="D37" s="457"/>
      <c r="E37" s="457"/>
      <c r="F37" s="457"/>
      <c r="G37" s="583"/>
      <c r="H37" s="492"/>
      <c r="I37" s="591" t="s">
        <v>369</v>
      </c>
      <c r="J37" s="584" t="s">
        <v>371</v>
      </c>
      <c r="K37" s="588" t="s">
        <v>357</v>
      </c>
      <c r="L37" s="592" t="s">
        <v>368</v>
      </c>
      <c r="N37" s="457"/>
    </row>
    <row r="38" spans="2:23">
      <c r="B38" s="1410"/>
      <c r="C38" s="492"/>
      <c r="D38" s="457"/>
      <c r="E38" s="457"/>
      <c r="F38" s="457"/>
      <c r="G38" s="583"/>
      <c r="H38" s="492"/>
      <c r="I38" s="591" t="s">
        <v>370</v>
      </c>
      <c r="J38" s="584" t="s">
        <v>373</v>
      </c>
      <c r="K38" s="588"/>
      <c r="L38" s="580" t="s">
        <v>309</v>
      </c>
      <c r="N38" s="457"/>
    </row>
    <row r="39" spans="2:23">
      <c r="B39" s="1410"/>
      <c r="C39" s="492"/>
      <c r="D39" s="457"/>
      <c r="E39" s="457"/>
      <c r="F39" s="457"/>
      <c r="G39" s="583"/>
      <c r="H39" s="492"/>
      <c r="I39" s="591" t="s">
        <v>372</v>
      </c>
      <c r="J39" s="590" t="s">
        <v>374</v>
      </c>
      <c r="K39" s="588"/>
      <c r="L39" s="580" t="s">
        <v>371</v>
      </c>
      <c r="N39" s="457"/>
    </row>
    <row r="40" spans="2:23">
      <c r="B40" s="1410"/>
      <c r="C40" s="492"/>
      <c r="D40" s="457"/>
      <c r="E40" s="457"/>
      <c r="F40" s="457"/>
      <c r="G40" s="583"/>
      <c r="H40" s="492"/>
      <c r="I40" s="457"/>
      <c r="J40" s="589" t="s">
        <v>359</v>
      </c>
      <c r="K40" s="588"/>
      <c r="L40" s="580" t="s">
        <v>373</v>
      </c>
      <c r="N40" s="457"/>
    </row>
    <row r="41" spans="2:23">
      <c r="B41" s="1410"/>
      <c r="C41" s="492"/>
      <c r="D41" s="457"/>
      <c r="E41" s="457"/>
      <c r="F41" s="457"/>
      <c r="G41" s="583"/>
      <c r="H41" s="492"/>
      <c r="I41" s="457"/>
      <c r="J41" s="587" t="s">
        <v>375</v>
      </c>
      <c r="K41" s="573"/>
      <c r="L41" s="575" t="s">
        <v>374</v>
      </c>
      <c r="N41" s="457"/>
    </row>
    <row r="42" spans="2:23">
      <c r="B42" s="1410"/>
      <c r="C42" s="492"/>
      <c r="D42" s="457"/>
      <c r="E42" s="457"/>
      <c r="F42" s="457"/>
      <c r="G42" s="583"/>
      <c r="H42" s="492"/>
      <c r="I42" s="457"/>
      <c r="J42" s="584" t="s">
        <v>376</v>
      </c>
      <c r="K42" s="573" t="s">
        <v>359</v>
      </c>
      <c r="L42" s="586" t="s">
        <v>359</v>
      </c>
      <c r="N42" s="457"/>
    </row>
    <row r="43" spans="2:23">
      <c r="B43" s="1410"/>
      <c r="C43" s="492"/>
      <c r="D43" s="457"/>
      <c r="E43" s="457"/>
      <c r="F43" s="457"/>
      <c r="G43" s="583"/>
      <c r="H43" s="492"/>
      <c r="I43" s="579"/>
      <c r="J43" s="584" t="s">
        <v>377</v>
      </c>
      <c r="K43" s="581" t="s">
        <v>361</v>
      </c>
      <c r="L43" s="585" t="s">
        <v>375</v>
      </c>
      <c r="N43" s="579"/>
      <c r="Q43" s="358"/>
      <c r="R43" s="358"/>
      <c r="S43" s="358"/>
      <c r="T43" s="358"/>
      <c r="U43" s="358"/>
      <c r="V43" s="358"/>
    </row>
    <row r="44" spans="2:23">
      <c r="B44" s="1410"/>
      <c r="C44" s="492"/>
      <c r="D44" s="457"/>
      <c r="E44" s="457"/>
      <c r="F44" s="457"/>
      <c r="G44" s="583"/>
      <c r="H44" s="492"/>
      <c r="I44" s="579"/>
      <c r="J44" s="584" t="s">
        <v>378</v>
      </c>
      <c r="K44" s="581"/>
      <c r="L44" s="580" t="s">
        <v>376</v>
      </c>
      <c r="N44" s="579"/>
      <c r="Q44" s="358"/>
      <c r="R44" s="358"/>
      <c r="S44" s="358"/>
      <c r="T44" s="358"/>
      <c r="U44" s="358"/>
      <c r="V44" s="358"/>
    </row>
    <row r="45" spans="2:23">
      <c r="B45" s="1410"/>
      <c r="C45" s="492"/>
      <c r="D45" s="457"/>
      <c r="E45" s="457"/>
      <c r="F45" s="457"/>
      <c r="G45" s="583"/>
      <c r="H45" s="492"/>
      <c r="I45" s="579"/>
      <c r="J45" s="582"/>
      <c r="K45" s="581"/>
      <c r="L45" s="580" t="s">
        <v>377</v>
      </c>
      <c r="N45" s="579"/>
      <c r="Q45" s="358"/>
      <c r="R45" s="358"/>
      <c r="S45" s="358"/>
      <c r="T45" s="358"/>
      <c r="U45" s="358"/>
      <c r="V45" s="358"/>
    </row>
    <row r="46" spans="2:23" ht="15" thickBot="1">
      <c r="B46" s="1410"/>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9"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10"/>
      <c r="C57" s="565" t="s">
        <v>666</v>
      </c>
      <c r="D57" s="564" t="s">
        <v>665</v>
      </c>
      <c r="E57" s="563" t="s">
        <v>664</v>
      </c>
      <c r="F57" s="562" t="s">
        <v>284</v>
      </c>
      <c r="G57" s="561" t="s">
        <v>664</v>
      </c>
    </row>
    <row r="58" spans="2:23">
      <c r="B58" s="1410"/>
      <c r="C58" s="559" t="s">
        <v>663</v>
      </c>
      <c r="D58" s="558" t="s">
        <v>662</v>
      </c>
      <c r="E58" s="555" t="s">
        <v>661</v>
      </c>
      <c r="F58" s="555" t="s">
        <v>292</v>
      </c>
      <c r="G58" s="560" t="s">
        <v>661</v>
      </c>
    </row>
    <row r="59" spans="2:23">
      <c r="B59" s="1410"/>
      <c r="C59" s="559" t="s">
        <v>660</v>
      </c>
      <c r="D59" s="558" t="s">
        <v>659</v>
      </c>
      <c r="E59" s="557" t="s">
        <v>658</v>
      </c>
      <c r="F59" s="555" t="s">
        <v>295</v>
      </c>
      <c r="G59" s="556" t="s">
        <v>658</v>
      </c>
    </row>
    <row r="60" spans="2:23">
      <c r="B60" s="1410"/>
      <c r="C60" s="559" t="s">
        <v>309</v>
      </c>
      <c r="D60" s="558" t="s">
        <v>309</v>
      </c>
      <c r="E60" s="557" t="s">
        <v>657</v>
      </c>
      <c r="F60" s="555" t="s">
        <v>300</v>
      </c>
      <c r="G60" s="556" t="s">
        <v>657</v>
      </c>
    </row>
    <row r="61" spans="2:23">
      <c r="B61" s="1410"/>
      <c r="C61" s="492"/>
      <c r="D61" s="457"/>
      <c r="E61" s="557" t="s">
        <v>656</v>
      </c>
      <c r="F61" s="555" t="s">
        <v>301</v>
      </c>
      <c r="G61" s="556" t="s">
        <v>655</v>
      </c>
    </row>
    <row r="62" spans="2:23">
      <c r="B62" s="1410"/>
      <c r="C62" s="492"/>
      <c r="D62" s="457"/>
      <c r="E62" s="557" t="s">
        <v>654</v>
      </c>
      <c r="F62" s="555" t="s">
        <v>305</v>
      </c>
      <c r="G62" s="556" t="s">
        <v>654</v>
      </c>
    </row>
    <row r="63" spans="2:23">
      <c r="B63" s="1410"/>
      <c r="C63" s="492"/>
      <c r="D63" s="457"/>
      <c r="E63" s="557" t="s">
        <v>653</v>
      </c>
      <c r="F63" s="555" t="s">
        <v>308</v>
      </c>
      <c r="G63" s="556" t="s">
        <v>653</v>
      </c>
    </row>
    <row r="64" spans="2:23">
      <c r="B64" s="1410"/>
      <c r="C64" s="492"/>
      <c r="D64" s="457"/>
      <c r="E64" s="557" t="s">
        <v>651</v>
      </c>
      <c r="F64" s="555" t="s">
        <v>652</v>
      </c>
      <c r="G64" s="556" t="s">
        <v>651</v>
      </c>
    </row>
    <row r="65" spans="2:21">
      <c r="B65" s="1410"/>
      <c r="C65" s="492"/>
      <c r="D65" s="457"/>
      <c r="E65" s="457"/>
      <c r="F65" s="555" t="s">
        <v>650</v>
      </c>
      <c r="G65" s="554"/>
    </row>
    <row r="66" spans="2:21">
      <c r="B66" s="1410"/>
      <c r="C66" s="492"/>
      <c r="D66" s="457"/>
      <c r="E66" s="457"/>
      <c r="F66" s="555" t="s">
        <v>649</v>
      </c>
      <c r="G66" s="554"/>
    </row>
    <row r="67" spans="2:21">
      <c r="B67" s="1410"/>
      <c r="C67" s="492"/>
      <c r="D67" s="457"/>
      <c r="E67" s="457"/>
      <c r="F67" s="555" t="s">
        <v>648</v>
      </c>
      <c r="G67" s="554"/>
    </row>
    <row r="68" spans="2:21">
      <c r="B68" s="1410"/>
      <c r="C68" s="492"/>
      <c r="D68" s="457"/>
      <c r="E68" s="457"/>
      <c r="F68" s="555" t="s">
        <v>647</v>
      </c>
      <c r="G68" s="554"/>
    </row>
    <row r="69" spans="2:21" ht="15" thickBot="1">
      <c r="B69" s="1410"/>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9"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10"/>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10"/>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10"/>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10"/>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10"/>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10"/>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10"/>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10"/>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10"/>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10"/>
      <c r="C85" s="527"/>
      <c r="D85" s="526" t="s">
        <v>286</v>
      </c>
      <c r="E85" s="525"/>
      <c r="F85" s="526" t="s">
        <v>297</v>
      </c>
      <c r="G85" s="525"/>
      <c r="H85" s="525"/>
      <c r="I85" s="525"/>
      <c r="J85" s="525"/>
      <c r="K85" s="524"/>
      <c r="L85" s="523"/>
      <c r="M85" s="522"/>
      <c r="N85" s="521"/>
      <c r="O85" s="520"/>
      <c r="P85" s="520"/>
      <c r="Q85" s="520"/>
      <c r="U85" s="358"/>
    </row>
    <row r="86" spans="2:23" ht="15" customHeight="1">
      <c r="B86" s="1410"/>
      <c r="C86" s="527"/>
      <c r="D86" s="526" t="s">
        <v>286</v>
      </c>
      <c r="E86" s="525"/>
      <c r="F86" s="525"/>
      <c r="G86" s="525"/>
      <c r="H86" s="525"/>
      <c r="I86" s="525"/>
      <c r="J86" s="525"/>
      <c r="K86" s="524"/>
      <c r="L86" s="523"/>
      <c r="M86" s="522"/>
      <c r="N86" s="521"/>
      <c r="O86" s="520"/>
      <c r="P86" s="520"/>
      <c r="Q86" s="520"/>
      <c r="U86" s="358"/>
    </row>
    <row r="87" spans="2:23" ht="15" customHeight="1">
      <c r="B87" s="1410"/>
      <c r="C87" s="527"/>
      <c r="D87" s="526" t="s">
        <v>286</v>
      </c>
      <c r="E87" s="525"/>
      <c r="F87" s="525"/>
      <c r="G87" s="525"/>
      <c r="H87" s="525"/>
      <c r="I87" s="525"/>
      <c r="J87" s="525"/>
      <c r="K87" s="524"/>
      <c r="L87" s="523"/>
      <c r="M87" s="522"/>
      <c r="N87" s="521"/>
      <c r="O87" s="520"/>
      <c r="P87" s="520"/>
      <c r="Q87" s="520"/>
      <c r="U87" s="358"/>
    </row>
    <row r="88" spans="2:23" ht="15" thickBot="1">
      <c r="B88" s="1410"/>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10" t="s">
        <v>627</v>
      </c>
      <c r="C91" s="509" t="s">
        <v>443</v>
      </c>
    </row>
    <row r="92" spans="2:23" ht="15" customHeight="1">
      <c r="B92" s="1410"/>
      <c r="C92" s="508" t="s">
        <v>291</v>
      </c>
    </row>
    <row r="93" spans="2:23" ht="15" customHeight="1">
      <c r="B93" s="1410"/>
      <c r="C93" s="507" t="s">
        <v>286</v>
      </c>
    </row>
    <row r="94" spans="2:23" ht="15" customHeight="1">
      <c r="B94" s="1410"/>
      <c r="C94" s="507" t="s">
        <v>291</v>
      </c>
    </row>
    <row r="95" spans="2:23" ht="15" customHeight="1">
      <c r="B95" s="1410"/>
      <c r="C95" s="507" t="s">
        <v>286</v>
      </c>
    </row>
    <row r="96" spans="2:23" ht="15" customHeight="1">
      <c r="B96" s="1410"/>
      <c r="C96" s="507" t="s">
        <v>291</v>
      </c>
    </row>
    <row r="97" spans="2:7" ht="15" customHeight="1">
      <c r="B97" s="1410"/>
      <c r="C97" s="507" t="s">
        <v>626</v>
      </c>
    </row>
    <row r="98" spans="2:7" ht="15.75" customHeight="1" thickBot="1">
      <c r="B98" s="1410"/>
      <c r="C98" s="506" t="s">
        <v>451</v>
      </c>
    </row>
    <row r="99" spans="2:7" ht="15" customHeight="1"/>
    <row r="100" spans="2:7" ht="15" customHeight="1" thickBot="1"/>
    <row r="101" spans="2:7" ht="15" customHeight="1" thickBot="1">
      <c r="B101" s="1410" t="s">
        <v>625</v>
      </c>
      <c r="C101" s="505" t="s">
        <v>275</v>
      </c>
    </row>
    <row r="102" spans="2:7" ht="15" customHeight="1">
      <c r="B102" s="1410"/>
      <c r="C102" s="504" t="s">
        <v>286</v>
      </c>
    </row>
    <row r="103" spans="2:7" ht="15" customHeight="1">
      <c r="B103" s="1410"/>
      <c r="C103" s="503" t="s">
        <v>286</v>
      </c>
    </row>
    <row r="104" spans="2:7" ht="15" customHeight="1">
      <c r="B104" s="1410"/>
      <c r="C104" s="503" t="s">
        <v>286</v>
      </c>
    </row>
    <row r="105" spans="2:7" ht="15" customHeight="1">
      <c r="B105" s="1410"/>
      <c r="C105" s="503" t="s">
        <v>286</v>
      </c>
    </row>
    <row r="106" spans="2:7" ht="15" customHeight="1" thickBot="1">
      <c r="B106" s="1410"/>
      <c r="C106" s="502" t="s">
        <v>304</v>
      </c>
    </row>
    <row r="107" spans="2:7" ht="15" customHeight="1"/>
    <row r="108" spans="2:7" ht="28.8">
      <c r="B108" s="501"/>
    </row>
    <row r="109" spans="2:7" ht="15.75" customHeight="1" thickBot="1">
      <c r="B109" s="1411" t="s">
        <v>624</v>
      </c>
      <c r="C109" s="500" t="s">
        <v>278</v>
      </c>
      <c r="D109" s="499" t="s">
        <v>279</v>
      </c>
      <c r="E109" s="499" t="s">
        <v>280</v>
      </c>
      <c r="F109" s="499" t="s">
        <v>281</v>
      </c>
      <c r="G109" s="498" t="s">
        <v>282</v>
      </c>
    </row>
    <row r="110" spans="2:7" ht="26.25" customHeight="1">
      <c r="B110" s="1412"/>
      <c r="C110" s="497" t="s">
        <v>288</v>
      </c>
      <c r="D110" s="496" t="s">
        <v>288</v>
      </c>
      <c r="E110" s="480" t="s">
        <v>289</v>
      </c>
      <c r="F110" s="480" t="s">
        <v>290</v>
      </c>
      <c r="G110" s="495" t="s">
        <v>291</v>
      </c>
    </row>
    <row r="111" spans="2:7" ht="15.75" customHeight="1">
      <c r="B111" s="1412"/>
      <c r="C111" s="494" t="s">
        <v>288</v>
      </c>
      <c r="D111" s="477" t="s">
        <v>288</v>
      </c>
      <c r="E111" s="477" t="s">
        <v>293</v>
      </c>
      <c r="F111" s="477" t="s">
        <v>294</v>
      </c>
      <c r="G111" s="491"/>
    </row>
    <row r="112" spans="2:7" ht="15" customHeight="1">
      <c r="B112" s="1412"/>
      <c r="C112" s="494" t="s">
        <v>298</v>
      </c>
      <c r="D112" s="477" t="s">
        <v>298</v>
      </c>
      <c r="E112" s="477" t="s">
        <v>299</v>
      </c>
      <c r="F112" s="477" t="s">
        <v>294</v>
      </c>
      <c r="G112" s="491"/>
    </row>
    <row r="113" spans="2:7" ht="15" customHeight="1">
      <c r="B113" s="1412"/>
      <c r="C113" s="494" t="s">
        <v>298</v>
      </c>
      <c r="D113" s="477" t="s">
        <v>298</v>
      </c>
      <c r="E113" s="457"/>
      <c r="F113" s="477" t="s">
        <v>294</v>
      </c>
      <c r="G113" s="491"/>
    </row>
    <row r="114" spans="2:7" ht="15" customHeight="1">
      <c r="B114" s="1412"/>
      <c r="C114" s="493"/>
      <c r="D114" s="457"/>
      <c r="E114" s="457"/>
      <c r="F114" s="477" t="s">
        <v>294</v>
      </c>
      <c r="G114" s="491"/>
    </row>
    <row r="115" spans="2:7" ht="15" customHeight="1">
      <c r="B115" s="1412"/>
      <c r="C115" s="493"/>
      <c r="D115" s="457"/>
      <c r="E115" s="457"/>
      <c r="F115" s="477" t="s">
        <v>307</v>
      </c>
      <c r="G115" s="491"/>
    </row>
    <row r="116" spans="2:7" ht="15" customHeight="1">
      <c r="B116" s="1412"/>
      <c r="C116" s="493"/>
      <c r="D116" s="457"/>
      <c r="E116" s="457"/>
      <c r="F116" s="477" t="s">
        <v>307</v>
      </c>
      <c r="G116" s="491"/>
    </row>
    <row r="117" spans="2:7" ht="15" customHeight="1">
      <c r="B117" s="1412"/>
      <c r="C117" s="492"/>
      <c r="D117" s="457"/>
      <c r="E117" s="457"/>
      <c r="F117" s="477" t="s">
        <v>310</v>
      </c>
      <c r="G117" s="491"/>
    </row>
    <row r="118" spans="2:7" ht="15" customHeight="1">
      <c r="B118" s="1412"/>
      <c r="C118" s="492"/>
      <c r="D118" s="457"/>
      <c r="E118" s="457"/>
      <c r="F118" s="477" t="s">
        <v>310</v>
      </c>
      <c r="G118" s="491"/>
    </row>
    <row r="119" spans="2:7" ht="15.75" customHeight="1">
      <c r="B119" s="1412"/>
      <c r="C119" s="492"/>
      <c r="D119" s="457"/>
      <c r="E119" s="457"/>
      <c r="F119" s="477" t="s">
        <v>311</v>
      </c>
      <c r="G119" s="491"/>
    </row>
    <row r="120" spans="2:7" ht="15" customHeight="1">
      <c r="B120" s="1412"/>
      <c r="C120" s="492"/>
      <c r="D120" s="457"/>
      <c r="E120" s="457"/>
      <c r="F120" s="477" t="s">
        <v>311</v>
      </c>
      <c r="G120" s="491"/>
    </row>
    <row r="121" spans="2:7" ht="15" customHeight="1">
      <c r="B121" s="1412"/>
      <c r="C121" s="492"/>
      <c r="D121" s="457"/>
      <c r="E121" s="457"/>
      <c r="F121" s="477" t="s">
        <v>312</v>
      </c>
      <c r="G121" s="491"/>
    </row>
    <row r="122" spans="2:7" ht="15" customHeight="1">
      <c r="B122" s="1412"/>
      <c r="C122" s="492"/>
      <c r="D122" s="457"/>
      <c r="E122" s="457"/>
      <c r="F122" s="477" t="s">
        <v>291</v>
      </c>
      <c r="G122" s="491"/>
    </row>
    <row r="123" spans="2:7" ht="15.75" customHeight="1" thickBot="1">
      <c r="B123" s="1412"/>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1" t="s">
        <v>622</v>
      </c>
      <c r="C126" s="485" t="s">
        <v>278</v>
      </c>
      <c r="D126" s="484"/>
      <c r="E126" s="484" t="s">
        <v>280</v>
      </c>
      <c r="F126" s="483" t="s">
        <v>281</v>
      </c>
      <c r="G126" s="474"/>
    </row>
    <row r="127" spans="2:7" ht="15" customHeight="1">
      <c r="B127" s="1402"/>
      <c r="C127" s="482" t="s">
        <v>290</v>
      </c>
      <c r="D127" s="481"/>
      <c r="E127" s="480" t="s">
        <v>294</v>
      </c>
      <c r="F127" s="479" t="s">
        <v>291</v>
      </c>
      <c r="G127" s="474"/>
    </row>
    <row r="128" spans="2:7" ht="15" customHeight="1">
      <c r="B128" s="1402"/>
      <c r="C128" s="476" t="s">
        <v>318</v>
      </c>
      <c r="D128" s="457"/>
      <c r="E128" s="477" t="s">
        <v>307</v>
      </c>
      <c r="F128" s="478" t="s">
        <v>290</v>
      </c>
      <c r="G128" s="474"/>
    </row>
    <row r="129" spans="2:7" ht="15" customHeight="1">
      <c r="B129" s="1402"/>
      <c r="C129" s="476" t="s">
        <v>318</v>
      </c>
      <c r="D129" s="457"/>
      <c r="E129" s="477" t="s">
        <v>310</v>
      </c>
      <c r="F129" s="478" t="s">
        <v>291</v>
      </c>
      <c r="G129" s="474"/>
    </row>
    <row r="130" spans="2:7" ht="15" customHeight="1">
      <c r="B130" s="1402"/>
      <c r="C130" s="476" t="s">
        <v>290</v>
      </c>
      <c r="D130" s="457"/>
      <c r="E130" s="477" t="s">
        <v>311</v>
      </c>
      <c r="F130" s="478" t="s">
        <v>318</v>
      </c>
      <c r="G130" s="474"/>
    </row>
    <row r="131" spans="2:7" ht="15" customHeight="1">
      <c r="B131" s="1402"/>
      <c r="C131" s="476" t="s">
        <v>318</v>
      </c>
      <c r="D131" s="457"/>
      <c r="E131" s="477" t="s">
        <v>294</v>
      </c>
      <c r="F131" s="475"/>
      <c r="G131" s="474"/>
    </row>
    <row r="132" spans="2:7" ht="15.75" customHeight="1">
      <c r="B132" s="1402"/>
      <c r="C132" s="476" t="s">
        <v>318</v>
      </c>
      <c r="D132" s="457"/>
      <c r="E132" s="477" t="s">
        <v>291</v>
      </c>
      <c r="F132" s="475"/>
      <c r="G132" s="474"/>
    </row>
    <row r="133" spans="2:7" ht="15" customHeight="1">
      <c r="B133" s="1402"/>
      <c r="C133" s="476" t="s">
        <v>290</v>
      </c>
      <c r="D133" s="457"/>
      <c r="E133" s="477" t="s">
        <v>291</v>
      </c>
      <c r="F133" s="475"/>
      <c r="G133" s="474"/>
    </row>
    <row r="134" spans="2:7" ht="15" customHeight="1">
      <c r="B134" s="1402"/>
      <c r="C134" s="476" t="s">
        <v>318</v>
      </c>
      <c r="D134" s="457"/>
      <c r="E134" s="477" t="s">
        <v>294</v>
      </c>
      <c r="F134" s="475"/>
      <c r="G134" s="474"/>
    </row>
    <row r="135" spans="2:7" ht="15" customHeight="1">
      <c r="B135" s="1402"/>
      <c r="C135" s="476" t="s">
        <v>318</v>
      </c>
      <c r="D135" s="457"/>
      <c r="E135" s="457"/>
      <c r="F135" s="475"/>
      <c r="G135" s="474"/>
    </row>
    <row r="136" spans="2:7" ht="15" customHeight="1">
      <c r="B136" s="1402"/>
      <c r="C136" s="476" t="s">
        <v>290</v>
      </c>
      <c r="D136" s="457"/>
      <c r="E136" s="457"/>
      <c r="F136" s="475"/>
      <c r="G136" s="474"/>
    </row>
    <row r="137" spans="2:7" ht="15" customHeight="1">
      <c r="B137" s="1402"/>
      <c r="C137" s="476" t="s">
        <v>318</v>
      </c>
      <c r="D137" s="457"/>
      <c r="E137" s="457"/>
      <c r="F137" s="475"/>
      <c r="G137" s="474"/>
    </row>
    <row r="138" spans="2:7" ht="15" customHeight="1">
      <c r="B138" s="1402"/>
      <c r="C138" s="476" t="s">
        <v>290</v>
      </c>
      <c r="D138" s="457"/>
      <c r="E138" s="457"/>
      <c r="F138" s="475"/>
      <c r="G138" s="474"/>
    </row>
    <row r="139" spans="2:7" ht="15" customHeight="1">
      <c r="B139" s="1402"/>
      <c r="C139" s="476" t="s">
        <v>318</v>
      </c>
      <c r="D139" s="457"/>
      <c r="E139" s="457"/>
      <c r="F139" s="475"/>
      <c r="G139" s="474"/>
    </row>
    <row r="140" spans="2:7" ht="15" customHeight="1">
      <c r="B140" s="1402"/>
      <c r="C140" s="476" t="s">
        <v>290</v>
      </c>
      <c r="D140" s="457"/>
      <c r="E140" s="457"/>
      <c r="F140" s="475"/>
      <c r="G140" s="474"/>
    </row>
    <row r="141" spans="2:7" ht="27" customHeight="1">
      <c r="B141" s="1403"/>
      <c r="C141" s="473" t="s">
        <v>318</v>
      </c>
      <c r="D141" s="472"/>
      <c r="E141" s="472"/>
      <c r="F141" s="471"/>
      <c r="G141" s="470"/>
    </row>
    <row r="142" spans="2:7" ht="29.4" thickBot="1">
      <c r="B142" s="432"/>
    </row>
    <row r="143" spans="2:7" ht="15.75" customHeight="1" thickBot="1">
      <c r="B143" s="1404" t="s">
        <v>621</v>
      </c>
      <c r="C143" s="469" t="s">
        <v>620</v>
      </c>
    </row>
    <row r="144" spans="2:7" ht="15" customHeight="1">
      <c r="B144" s="1404"/>
      <c r="C144" s="468" t="s">
        <v>607</v>
      </c>
    </row>
    <row r="145" spans="2:6" ht="15" customHeight="1">
      <c r="B145" s="1404"/>
      <c r="C145" s="468" t="s">
        <v>606</v>
      </c>
    </row>
    <row r="146" spans="2:6" ht="15" customHeight="1">
      <c r="B146" s="1404"/>
      <c r="C146" s="468" t="s">
        <v>606</v>
      </c>
    </row>
    <row r="147" spans="2:6" ht="15" customHeight="1">
      <c r="B147" s="1404"/>
      <c r="C147" s="468" t="s">
        <v>606</v>
      </c>
    </row>
    <row r="148" spans="2:6" ht="15" customHeight="1">
      <c r="B148" s="1404"/>
      <c r="C148" s="468" t="s">
        <v>606</v>
      </c>
    </row>
    <row r="149" spans="2:6" ht="15.75" customHeight="1" thickBot="1">
      <c r="B149" s="1404"/>
      <c r="C149" s="467" t="s">
        <v>606</v>
      </c>
    </row>
    <row r="150" spans="2:6" ht="29.4" thickBot="1">
      <c r="B150" s="432"/>
    </row>
    <row r="151" spans="2:6" ht="15" thickBot="1">
      <c r="B151" s="1405" t="s">
        <v>619</v>
      </c>
      <c r="C151" s="466" t="s">
        <v>445</v>
      </c>
      <c r="D151" s="465" t="s">
        <v>446</v>
      </c>
      <c r="E151" s="465" t="s">
        <v>618</v>
      </c>
      <c r="F151" s="464" t="s">
        <v>617</v>
      </c>
    </row>
    <row r="152" spans="2:6">
      <c r="B152" s="1406"/>
      <c r="C152" s="463" t="s">
        <v>318</v>
      </c>
      <c r="D152" s="462" t="s">
        <v>318</v>
      </c>
      <c r="E152" s="461" t="s">
        <v>616</v>
      </c>
      <c r="F152" s="460"/>
    </row>
    <row r="153" spans="2:6" ht="15" customHeight="1">
      <c r="B153" s="1406"/>
      <c r="C153" s="458" t="s">
        <v>318</v>
      </c>
      <c r="D153" s="459" t="s">
        <v>318</v>
      </c>
      <c r="E153" s="457" t="s">
        <v>615</v>
      </c>
      <c r="F153" s="456"/>
    </row>
    <row r="154" spans="2:6" ht="15" customHeight="1">
      <c r="B154" s="1406"/>
      <c r="C154" s="458" t="s">
        <v>318</v>
      </c>
      <c r="D154" s="459" t="s">
        <v>318</v>
      </c>
      <c r="E154" s="457"/>
      <c r="F154" s="456"/>
    </row>
    <row r="155" spans="2:6" ht="15" customHeight="1">
      <c r="B155" s="1406"/>
      <c r="C155" s="458" t="s">
        <v>318</v>
      </c>
      <c r="D155" s="459" t="s">
        <v>318</v>
      </c>
      <c r="E155" s="457"/>
      <c r="F155" s="456"/>
    </row>
    <row r="156" spans="2:6" ht="15" customHeight="1">
      <c r="B156" s="1406"/>
      <c r="C156" s="458" t="s">
        <v>318</v>
      </c>
      <c r="D156" s="459" t="s">
        <v>304</v>
      </c>
      <c r="E156" s="457"/>
      <c r="F156" s="456"/>
    </row>
    <row r="157" spans="2:6" ht="15" customHeight="1">
      <c r="B157" s="1406"/>
      <c r="C157" s="458" t="s">
        <v>318</v>
      </c>
      <c r="D157" s="457"/>
      <c r="E157" s="457"/>
      <c r="F157" s="456"/>
    </row>
    <row r="158" spans="2:6" ht="15" customHeight="1">
      <c r="B158" s="1406"/>
      <c r="C158" s="458" t="s">
        <v>318</v>
      </c>
      <c r="D158" s="457"/>
      <c r="E158" s="457"/>
      <c r="F158" s="456"/>
    </row>
    <row r="159" spans="2:6" ht="15" customHeight="1">
      <c r="B159" s="1406"/>
      <c r="C159" s="458" t="s">
        <v>318</v>
      </c>
      <c r="D159" s="457"/>
      <c r="E159" s="457"/>
      <c r="F159" s="456"/>
    </row>
    <row r="160" spans="2:6" ht="15" customHeight="1">
      <c r="B160" s="1406"/>
      <c r="C160" s="458" t="s">
        <v>318</v>
      </c>
      <c r="D160" s="457"/>
      <c r="E160" s="457"/>
      <c r="F160" s="456"/>
    </row>
    <row r="161" spans="2:6" ht="15" customHeight="1">
      <c r="B161" s="1406"/>
      <c r="C161" s="458" t="s">
        <v>318</v>
      </c>
      <c r="D161" s="457"/>
      <c r="E161" s="457"/>
      <c r="F161" s="456"/>
    </row>
    <row r="162" spans="2:6" ht="15" customHeight="1">
      <c r="B162" s="1406"/>
      <c r="C162" s="458" t="s">
        <v>318</v>
      </c>
      <c r="D162" s="457"/>
      <c r="E162" s="457"/>
      <c r="F162" s="456"/>
    </row>
    <row r="163" spans="2:6" ht="15" customHeight="1">
      <c r="B163" s="1406"/>
      <c r="C163" s="458" t="s">
        <v>318</v>
      </c>
      <c r="D163" s="457"/>
      <c r="E163" s="457"/>
      <c r="F163" s="456"/>
    </row>
    <row r="164" spans="2:6" ht="15" customHeight="1">
      <c r="B164" s="1406"/>
      <c r="C164" s="458" t="s">
        <v>304</v>
      </c>
      <c r="D164" s="457"/>
      <c r="E164" s="457"/>
      <c r="F164" s="456"/>
    </row>
    <row r="165" spans="2:6" ht="15.75" customHeight="1" thickBot="1">
      <c r="B165" s="1406"/>
      <c r="C165" s="455" t="s">
        <v>304</v>
      </c>
      <c r="D165" s="454" t="s">
        <v>313</v>
      </c>
      <c r="E165" s="454"/>
      <c r="F165" s="453"/>
    </row>
    <row r="166" spans="2:6" ht="29.4" thickBot="1">
      <c r="B166" s="432"/>
    </row>
    <row r="167" spans="2:6" ht="15.75" customHeight="1" thickBot="1">
      <c r="B167" s="1407" t="s">
        <v>111</v>
      </c>
      <c r="C167" s="452" t="s">
        <v>614</v>
      </c>
      <c r="D167" s="451" t="s">
        <v>613</v>
      </c>
      <c r="E167" s="450" t="s">
        <v>612</v>
      </c>
    </row>
    <row r="168" spans="2:6" ht="15.75" customHeight="1" thickBot="1">
      <c r="B168" s="1408"/>
      <c r="C168" s="449" t="s">
        <v>607</v>
      </c>
      <c r="D168" s="448" t="s">
        <v>611</v>
      </c>
      <c r="E168" s="447" t="s">
        <v>610</v>
      </c>
    </row>
    <row r="169" spans="2:6" ht="29.4" thickBot="1">
      <c r="B169" s="432"/>
      <c r="C169" s="446"/>
      <c r="D169" s="379"/>
      <c r="E169" s="445"/>
    </row>
    <row r="170" spans="2:6" ht="15.75" customHeight="1" thickBot="1">
      <c r="B170" s="1407" t="s">
        <v>179</v>
      </c>
      <c r="C170" s="444" t="s">
        <v>609</v>
      </c>
      <c r="D170" s="443" t="s">
        <v>608</v>
      </c>
      <c r="E170" s="442" t="s">
        <v>457</v>
      </c>
    </row>
    <row r="171" spans="2:6" ht="15" customHeight="1">
      <c r="B171" s="1407"/>
      <c r="C171" s="441" t="s">
        <v>607</v>
      </c>
      <c r="D171" s="440" t="s">
        <v>607</v>
      </c>
      <c r="E171" s="439" t="s">
        <v>458</v>
      </c>
    </row>
    <row r="172" spans="2:6" ht="26.25" customHeight="1">
      <c r="B172" s="1407"/>
      <c r="C172" s="438" t="s">
        <v>606</v>
      </c>
      <c r="D172" s="437" t="s">
        <v>606</v>
      </c>
      <c r="E172" s="436"/>
    </row>
    <row r="173" spans="2:6" ht="26.25" customHeight="1">
      <c r="B173" s="1407"/>
      <c r="C173" s="438" t="s">
        <v>606</v>
      </c>
      <c r="D173" s="437" t="s">
        <v>606</v>
      </c>
      <c r="E173" s="436"/>
    </row>
    <row r="174" spans="2:6" ht="26.25" customHeight="1">
      <c r="B174" s="1407"/>
      <c r="C174" s="438" t="s">
        <v>606</v>
      </c>
      <c r="D174" s="437" t="s">
        <v>606</v>
      </c>
      <c r="E174" s="436"/>
    </row>
    <row r="175" spans="2:6" ht="27" customHeight="1" thickBot="1">
      <c r="B175" s="1407"/>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400" t="s">
        <v>603</v>
      </c>
      <c r="C182" s="424" t="s">
        <v>602</v>
      </c>
      <c r="D182" s="423" t="s">
        <v>601</v>
      </c>
      <c r="E182" s="423" t="s">
        <v>600</v>
      </c>
      <c r="F182" s="422" t="s">
        <v>599</v>
      </c>
      <c r="G182" s="421"/>
      <c r="Q182" s="358"/>
      <c r="R182" s="358"/>
      <c r="S182" s="358"/>
      <c r="T182" s="358"/>
      <c r="U182" s="358"/>
      <c r="V182" s="358"/>
      <c r="W182" s="358"/>
    </row>
    <row r="183" spans="1:23" ht="45.75" customHeight="1" thickBot="1">
      <c r="B183" s="1400"/>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400" t="s">
        <v>594</v>
      </c>
      <c r="C186" s="416" t="s">
        <v>593</v>
      </c>
      <c r="D186" s="415" t="s">
        <v>592</v>
      </c>
      <c r="E186" s="414" t="s">
        <v>591</v>
      </c>
      <c r="G186" s="379"/>
      <c r="Q186" s="358"/>
      <c r="R186" s="358"/>
      <c r="S186" s="358"/>
      <c r="T186" s="358"/>
      <c r="U186" s="358"/>
      <c r="V186" s="358"/>
      <c r="W186" s="358"/>
    </row>
    <row r="187" spans="1:23" ht="40.200000000000003" thickBot="1">
      <c r="B187" s="1400"/>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400" t="s">
        <v>588</v>
      </c>
      <c r="C190" s="412" t="s">
        <v>587</v>
      </c>
      <c r="D190" s="411" t="s">
        <v>586</v>
      </c>
      <c r="E190" s="411" t="s">
        <v>585</v>
      </c>
      <c r="F190" s="410" t="s">
        <v>584</v>
      </c>
      <c r="Q190" s="358"/>
      <c r="R190" s="358"/>
      <c r="S190" s="358"/>
      <c r="T190" s="358"/>
      <c r="U190" s="358"/>
      <c r="V190" s="358"/>
      <c r="W190" s="358"/>
    </row>
    <row r="191" spans="1:23" ht="22.5" customHeight="1" thickBot="1">
      <c r="A191" s="364"/>
      <c r="B191" s="1400"/>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400"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400"/>
      <c r="C200" s="391"/>
      <c r="D200" s="390"/>
      <c r="F200" s="362"/>
      <c r="N200" s="389"/>
      <c r="P200" s="358"/>
      <c r="Q200" s="358"/>
      <c r="R200" s="358"/>
      <c r="S200" s="358"/>
      <c r="T200" s="358"/>
      <c r="U200" s="358"/>
      <c r="V200" s="358"/>
      <c r="W200" s="358"/>
    </row>
    <row r="201" spans="1:23" ht="27" thickBot="1">
      <c r="B201" s="1400"/>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00"/>
      <c r="C202" s="379"/>
      <c r="D202" s="384" t="s">
        <v>568</v>
      </c>
      <c r="F202" s="362"/>
      <c r="P202" s="358"/>
      <c r="Q202" s="358"/>
      <c r="R202" s="358"/>
      <c r="S202" s="358"/>
      <c r="T202" s="358"/>
      <c r="U202" s="358"/>
      <c r="V202" s="358"/>
      <c r="W202" s="358"/>
    </row>
    <row r="203" spans="1:23" ht="15" thickBot="1">
      <c r="A203" s="364"/>
      <c r="B203" s="1400"/>
      <c r="C203" s="379"/>
      <c r="F203" s="362"/>
      <c r="P203" s="358"/>
      <c r="Q203" s="358"/>
      <c r="R203" s="358"/>
      <c r="S203" s="358"/>
      <c r="T203" s="358"/>
      <c r="U203" s="358"/>
      <c r="V203" s="358"/>
      <c r="W203" s="358"/>
    </row>
    <row r="204" spans="1:23" ht="15" thickBot="1">
      <c r="A204" s="364"/>
      <c r="B204" s="1400"/>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1" t="s">
        <v>435</v>
      </c>
      <c r="AA11" s="1421"/>
      <c r="AB11" s="1421"/>
      <c r="AC11" s="1421"/>
      <c r="AD11" s="1421"/>
      <c r="AE11" s="1421"/>
      <c r="AF11" s="1421"/>
      <c r="AG11" s="1421"/>
      <c r="AH11" s="1421"/>
      <c r="AI11" s="1421"/>
      <c r="AJ11" s="1421"/>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2" t="s">
        <v>222</v>
      </c>
      <c r="AA12" s="1423"/>
      <c r="AB12" s="1423"/>
      <c r="AC12" s="1423"/>
      <c r="AD12" s="758" t="s">
        <v>197</v>
      </c>
      <c r="AE12" s="1424" t="s">
        <v>223</v>
      </c>
      <c r="AF12" s="1425"/>
      <c r="AG12" s="1425"/>
      <c r="AH12" s="1425"/>
      <c r="AI12" s="1426"/>
      <c r="AJ12" s="1427"/>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8"/>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9"/>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9" t="s">
        <v>440</v>
      </c>
      <c r="C24" s="1420"/>
      <c r="D24" s="1420"/>
      <c r="E24" s="1420"/>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4" t="s">
        <v>1027</v>
      </c>
      <c r="B12" s="1128" t="s">
        <v>98</v>
      </c>
      <c r="C12" s="1127" t="s">
        <v>99</v>
      </c>
      <c r="D12" s="1126" t="s">
        <v>1026</v>
      </c>
      <c r="E12" s="1131"/>
      <c r="F12" s="1130"/>
      <c r="G12" s="1130"/>
      <c r="H12" s="1130"/>
      <c r="I12" s="1129"/>
    </row>
    <row r="13" spans="1:51" s="357" customFormat="1">
      <c r="A13" s="1435"/>
      <c r="B13" s="1128" t="s">
        <v>1025</v>
      </c>
      <c r="C13" s="1127" t="s">
        <v>104</v>
      </c>
      <c r="D13" s="1126" t="s">
        <v>1024</v>
      </c>
      <c r="E13" s="1437"/>
      <c r="F13" s="1437"/>
      <c r="G13" s="1437"/>
      <c r="H13" s="1437"/>
      <c r="I13" s="1438"/>
    </row>
    <row r="14" spans="1:51" s="357" customFormat="1">
      <c r="A14" s="1435"/>
      <c r="B14" s="1128" t="s">
        <v>1023</v>
      </c>
      <c r="C14" s="1127" t="s">
        <v>103</v>
      </c>
      <c r="D14" s="1126" t="s">
        <v>1022</v>
      </c>
      <c r="E14" s="1123"/>
      <c r="F14" s="1123"/>
      <c r="G14" s="1123"/>
      <c r="H14" s="1123"/>
      <c r="I14" s="1122"/>
    </row>
    <row r="15" spans="1:51" s="357" customFormat="1" ht="39" customHeight="1">
      <c r="A15" s="1435"/>
      <c r="B15" s="1125" t="s">
        <v>1021</v>
      </c>
      <c r="C15" s="1439" t="str">
        <f>dms_Amendment_Text</f>
        <v>.</v>
      </c>
      <c r="D15" s="1439"/>
      <c r="E15" s="1439"/>
      <c r="F15" s="1124" t="s">
        <v>1020</v>
      </c>
      <c r="G15" s="1123"/>
      <c r="H15" s="1123"/>
      <c r="I15" s="1122"/>
    </row>
    <row r="16" spans="1:51" s="357" customFormat="1" ht="15" customHeight="1" thickBot="1">
      <c r="A16" s="1436"/>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40" t="s">
        <v>1017</v>
      </c>
      <c r="B19" s="1109" t="s">
        <v>1016</v>
      </c>
      <c r="C19" s="849" t="s">
        <v>104</v>
      </c>
      <c r="D19" s="848" t="s">
        <v>1015</v>
      </c>
      <c r="E19" s="1108" t="s">
        <v>1014</v>
      </c>
      <c r="F19" s="1107"/>
      <c r="G19" s="1107"/>
      <c r="H19" s="1107"/>
      <c r="I19" s="1107"/>
      <c r="J19" s="1106"/>
      <c r="K19" s="1105"/>
    </row>
    <row r="20" spans="1:11" s="683" customFormat="1">
      <c r="A20" s="1441"/>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1"/>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1"/>
      <c r="B22" s="1101" t="s">
        <v>100</v>
      </c>
      <c r="C22" s="1104" t="e">
        <f ca="1">dms_RYE_result</f>
        <v>#N/A</v>
      </c>
      <c r="D22" s="819" t="s">
        <v>175</v>
      </c>
      <c r="E22" s="1103" t="s">
        <v>388</v>
      </c>
      <c r="F22" s="915"/>
      <c r="G22" s="915"/>
      <c r="H22" s="915"/>
      <c r="I22" s="915"/>
      <c r="J22" s="1100"/>
      <c r="K22" s="1099"/>
    </row>
    <row r="23" spans="1:11" s="357" customFormat="1">
      <c r="A23" s="1441"/>
      <c r="B23" s="1101" t="s">
        <v>101</v>
      </c>
      <c r="C23" s="844" t="e">
        <f>INDEX(dms_RPT_List,MATCH(dms_TradingName,dms_TradingName_List))</f>
        <v>#N/A</v>
      </c>
      <c r="D23" s="819" t="s">
        <v>389</v>
      </c>
      <c r="E23" s="1103" t="s">
        <v>390</v>
      </c>
      <c r="F23" s="915"/>
      <c r="G23" s="915"/>
      <c r="H23" s="915"/>
      <c r="I23" s="915"/>
      <c r="J23" s="1100"/>
      <c r="K23" s="1099"/>
    </row>
    <row r="24" spans="1:11" s="357" customFormat="1">
      <c r="A24" s="1441"/>
      <c r="B24" s="1101" t="s">
        <v>420</v>
      </c>
      <c r="C24" s="945" t="s">
        <v>297</v>
      </c>
      <c r="D24" s="819" t="s">
        <v>421</v>
      </c>
      <c r="E24" s="1102" t="s">
        <v>1013</v>
      </c>
      <c r="F24" s="817"/>
      <c r="G24" s="817"/>
      <c r="H24" s="817"/>
      <c r="I24" s="817"/>
      <c r="J24" s="817"/>
      <c r="K24" s="816"/>
    </row>
    <row r="25" spans="1:11" s="357" customFormat="1">
      <c r="A25" s="1441"/>
      <c r="B25" s="1101" t="s">
        <v>102</v>
      </c>
      <c r="C25" s="844" t="s">
        <v>103</v>
      </c>
      <c r="D25" s="843" t="s">
        <v>392</v>
      </c>
      <c r="E25" s="888" t="s">
        <v>393</v>
      </c>
      <c r="F25" s="915"/>
      <c r="G25" s="915"/>
      <c r="H25" s="915"/>
      <c r="I25" s="915"/>
      <c r="J25" s="1100"/>
      <c r="K25" s="1099"/>
    </row>
    <row r="26" spans="1:11" s="357" customFormat="1" ht="15.75" customHeight="1" thickBot="1">
      <c r="A26" s="1442"/>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3" t="s">
        <v>1012</v>
      </c>
      <c r="B27" s="1092" t="s">
        <v>1011</v>
      </c>
      <c r="C27" s="1091"/>
      <c r="D27" s="1091"/>
      <c r="E27" s="1068"/>
      <c r="F27" s="1067"/>
      <c r="G27" s="1067"/>
      <c r="H27" s="1067"/>
      <c r="I27" s="1067"/>
      <c r="J27" s="1067"/>
      <c r="K27" s="1066"/>
    </row>
    <row r="28" spans="1:11" s="358" customFormat="1" ht="22.5" customHeight="1">
      <c r="A28" s="1444"/>
      <c r="B28" s="1090" t="s">
        <v>1010</v>
      </c>
      <c r="C28" s="1089" t="str">
        <f>IFERROR(CRY,"NO")</f>
        <v>NO</v>
      </c>
      <c r="D28" s="1088"/>
      <c r="E28" s="1087"/>
      <c r="F28" s="1087"/>
      <c r="G28" s="1087"/>
      <c r="H28" s="1087"/>
      <c r="I28" s="1087"/>
      <c r="J28" s="1087"/>
      <c r="K28" s="1086"/>
    </row>
    <row r="29" spans="1:11" s="357" customFormat="1">
      <c r="A29" s="1444"/>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4"/>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4"/>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5"/>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7"/>
      <c r="AM34" s="1417"/>
      <c r="AN34" s="1417"/>
      <c r="AO34" s="1417"/>
      <c r="AP34" s="1417"/>
      <c r="AQ34" s="1417"/>
      <c r="AR34" s="1417"/>
      <c r="AS34" s="1417"/>
      <c r="AT34" s="1417"/>
      <c r="AU34" s="1417"/>
      <c r="AV34" s="1417"/>
      <c r="AW34" s="1417"/>
      <c r="AX34" s="1417"/>
      <c r="AY34" s="1417"/>
      <c r="AZ34" s="1417"/>
      <c r="BA34" s="1417"/>
      <c r="BB34" s="1417"/>
      <c r="BC34" s="1417"/>
      <c r="BD34" s="1417"/>
      <c r="BE34" s="1417"/>
      <c r="BF34" s="1417"/>
      <c r="BG34" s="1417"/>
      <c r="BQ34" s="1417"/>
      <c r="BR34" s="1417"/>
      <c r="BS34" s="1417"/>
      <c r="BT34" s="1417"/>
      <c r="BU34" s="1417"/>
      <c r="BV34" s="1417"/>
      <c r="BW34" s="1417"/>
      <c r="BX34" s="1417"/>
      <c r="BY34" s="1417"/>
      <c r="BZ34" s="1417"/>
      <c r="CA34" s="1417"/>
      <c r="CB34" s="1417"/>
      <c r="CC34" s="1417"/>
      <c r="CD34" s="1417"/>
      <c r="CE34" s="1417"/>
      <c r="CF34" s="1417"/>
      <c r="CG34" s="1417"/>
      <c r="CH34" s="1417"/>
      <c r="CI34" s="1417"/>
      <c r="CJ34" s="1417"/>
      <c r="CK34" s="1417"/>
      <c r="CL34" s="1417"/>
    </row>
    <row r="35" spans="1:90" s="357" customFormat="1" ht="24" customHeight="1" thickBot="1">
      <c r="A35" s="1430" t="s">
        <v>1004</v>
      </c>
      <c r="B35" s="866" t="s">
        <v>1003</v>
      </c>
      <c r="C35" s="865"/>
      <c r="D35" s="1068"/>
      <c r="E35" s="1068"/>
      <c r="F35" s="1067"/>
      <c r="G35" s="1067"/>
      <c r="H35" s="1067"/>
      <c r="I35" s="1067"/>
      <c r="J35" s="1067"/>
      <c r="K35" s="1066"/>
      <c r="AL35" s="1417"/>
      <c r="AM35" s="1417"/>
      <c r="AN35" s="1417"/>
      <c r="AO35" s="1417"/>
      <c r="AP35" s="1417"/>
      <c r="AQ35" s="1417"/>
      <c r="AR35" s="1417"/>
      <c r="AS35" s="1417"/>
      <c r="AT35" s="1417"/>
      <c r="AU35" s="1417"/>
      <c r="AV35" s="1417"/>
      <c r="AW35" s="1417"/>
      <c r="AX35" s="1417"/>
      <c r="AY35" s="1417"/>
      <c r="AZ35" s="1417"/>
      <c r="BA35" s="1417"/>
      <c r="BB35" s="1417"/>
      <c r="BC35" s="1417"/>
      <c r="BD35" s="1417"/>
      <c r="BE35" s="1417"/>
      <c r="BF35" s="1417"/>
      <c r="BG35" s="1417"/>
      <c r="BQ35" s="1417"/>
      <c r="BR35" s="1417"/>
      <c r="BS35" s="1417"/>
      <c r="BT35" s="1417"/>
      <c r="BU35" s="1417"/>
      <c r="BV35" s="1417"/>
      <c r="BW35" s="1417"/>
      <c r="BX35" s="1417"/>
      <c r="BY35" s="1417"/>
      <c r="BZ35" s="1417"/>
      <c r="CA35" s="1417"/>
      <c r="CB35" s="1417"/>
      <c r="CC35" s="1417"/>
      <c r="CD35" s="1417"/>
      <c r="CE35" s="1417"/>
      <c r="CF35" s="1417"/>
      <c r="CG35" s="1417"/>
      <c r="CH35" s="1417"/>
      <c r="CI35" s="1417"/>
      <c r="CJ35" s="1417"/>
      <c r="CK35" s="1417"/>
      <c r="CL35" s="1417"/>
    </row>
    <row r="36" spans="1:90" s="357" customFormat="1">
      <c r="A36" s="1431"/>
      <c r="B36" s="1065" t="s">
        <v>1002</v>
      </c>
      <c r="C36" s="1064" t="str">
        <f>FRCP_y1</f>
        <v>2020-21</v>
      </c>
      <c r="D36" s="1063" t="s">
        <v>1001</v>
      </c>
      <c r="E36" s="1062" t="s">
        <v>1000</v>
      </c>
      <c r="F36" s="1061"/>
      <c r="G36" s="1061"/>
      <c r="H36" s="1061"/>
      <c r="I36" s="1061"/>
      <c r="J36" s="1061"/>
      <c r="K36" s="1060"/>
    </row>
    <row r="37" spans="1:90" s="357" customFormat="1">
      <c r="A37" s="1431"/>
      <c r="B37" s="1045" t="s">
        <v>999</v>
      </c>
      <c r="C37" s="1059" t="e">
        <f ca="1">IFERROR(CRY,CRCP_y4)</f>
        <v>#N/A</v>
      </c>
      <c r="D37" s="1043" t="s">
        <v>998</v>
      </c>
      <c r="E37" s="1058"/>
      <c r="F37" s="1057"/>
      <c r="G37" s="1057"/>
      <c r="H37" s="1057"/>
      <c r="I37" s="1057"/>
      <c r="J37" s="1057"/>
      <c r="K37" s="1056"/>
    </row>
    <row r="38" spans="1:90" s="357" customFormat="1">
      <c r="A38" s="1431"/>
      <c r="B38" s="1045" t="s">
        <v>997</v>
      </c>
      <c r="C38" s="1059">
        <f ca="1">IFERROR(MATCH(dms_CRY_start_year,INDIRECT(dms_RPT),0),0)</f>
        <v>0</v>
      </c>
      <c r="D38" s="1043" t="s">
        <v>996</v>
      </c>
      <c r="E38" s="1058"/>
      <c r="F38" s="1057"/>
      <c r="G38" s="1057"/>
      <c r="H38" s="1057"/>
      <c r="I38" s="1057"/>
      <c r="J38" s="1057"/>
      <c r="K38" s="1056"/>
    </row>
    <row r="39" spans="1:90" s="357" customFormat="1">
      <c r="A39" s="1431"/>
      <c r="B39" s="1049" t="s">
        <v>995</v>
      </c>
      <c r="C39" s="1055" t="e">
        <f ca="1">MATCH(dms_start_year,INDIRECT(dms_RPT),0)</f>
        <v>#N/A</v>
      </c>
      <c r="D39" s="1047" t="s">
        <v>994</v>
      </c>
      <c r="E39" s="1036" t="s">
        <v>993</v>
      </c>
      <c r="F39" s="1051"/>
      <c r="G39" s="1051"/>
      <c r="H39" s="1051"/>
      <c r="I39" s="1051"/>
      <c r="J39" s="1051"/>
      <c r="K39" s="1050"/>
    </row>
    <row r="40" spans="1:90" s="357" customFormat="1">
      <c r="A40" s="1431"/>
      <c r="B40" s="1025" t="s">
        <v>992</v>
      </c>
      <c r="C40" s="1024" t="e">
        <f ca="1">dms_FRCP_start_row-dms_CRCPlength_Num</f>
        <v>#N/A</v>
      </c>
      <c r="D40" s="1023" t="s">
        <v>991</v>
      </c>
      <c r="E40" s="1022" t="s">
        <v>990</v>
      </c>
      <c r="F40" s="1021"/>
      <c r="G40" s="1021"/>
      <c r="H40" s="1021"/>
      <c r="I40" s="1021"/>
      <c r="J40" s="1021"/>
      <c r="K40" s="1020"/>
    </row>
    <row r="41" spans="1:90" s="357" customFormat="1">
      <c r="A41" s="1431"/>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1"/>
      <c r="B42" s="1054" t="s">
        <v>986</v>
      </c>
      <c r="C42" s="1053" t="e">
        <f ca="1">dms_FRCP_start_row+(dms_FRCPlength_Num-1)</f>
        <v>#N/A</v>
      </c>
      <c r="D42" s="1052" t="s">
        <v>985</v>
      </c>
      <c r="E42" s="1032" t="s">
        <v>984</v>
      </c>
      <c r="F42" s="1031"/>
      <c r="G42" s="1031"/>
      <c r="H42" s="1031"/>
      <c r="I42" s="1031"/>
      <c r="J42" s="1031"/>
      <c r="K42" s="1030"/>
    </row>
    <row r="43" spans="1:90" s="357" customFormat="1">
      <c r="A43" s="1431"/>
      <c r="B43" s="1049" t="s">
        <v>983</v>
      </c>
      <c r="C43" s="1048" t="e">
        <f ca="1">INDEX(INDIRECT(dms_RPT),dms_FRCP_start_row)</f>
        <v>#N/A</v>
      </c>
      <c r="D43" s="1047" t="s">
        <v>982</v>
      </c>
      <c r="E43" s="1036" t="s">
        <v>981</v>
      </c>
      <c r="F43" s="1051"/>
      <c r="G43" s="1051"/>
      <c r="H43" s="1051"/>
      <c r="I43" s="1051"/>
      <c r="J43" s="1051"/>
      <c r="K43" s="1050"/>
    </row>
    <row r="44" spans="1:90" s="357" customFormat="1">
      <c r="A44" s="1431"/>
      <c r="B44" s="1025" t="s">
        <v>980</v>
      </c>
      <c r="C44" s="1024" t="e">
        <f ca="1">INDEX(INDIRECT(dms_RPT),dms_CRCP_start_row)</f>
        <v>#N/A</v>
      </c>
      <c r="D44" s="1023" t="s">
        <v>979</v>
      </c>
      <c r="E44" s="1022" t="s">
        <v>978</v>
      </c>
      <c r="F44" s="1021"/>
      <c r="G44" s="1021"/>
      <c r="H44" s="1021"/>
      <c r="I44" s="1021"/>
      <c r="J44" s="1021"/>
      <c r="K44" s="1020"/>
    </row>
    <row r="45" spans="1:90" s="357" customFormat="1">
      <c r="A45" s="1431"/>
      <c r="B45" s="1035" t="s">
        <v>977</v>
      </c>
      <c r="C45" s="1034" t="e">
        <f ca="1">INDEX(INDIRECT(dms_RPT),dms_PRCP_start_row)</f>
        <v>#N/A</v>
      </c>
      <c r="D45" s="1033" t="s">
        <v>976</v>
      </c>
      <c r="E45" s="1032" t="s">
        <v>975</v>
      </c>
      <c r="F45" s="1031"/>
      <c r="G45" s="1031"/>
      <c r="H45" s="1031"/>
      <c r="I45" s="1031"/>
      <c r="J45" s="1031"/>
      <c r="K45" s="1030"/>
    </row>
    <row r="46" spans="1:90" s="357" customFormat="1">
      <c r="A46" s="1431"/>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1"/>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1"/>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1"/>
      <c r="B49" s="1049" t="s">
        <v>965</v>
      </c>
      <c r="C49" s="1048" t="e">
        <f ca="1">INDEX(INDIRECT(dms_RPT),dms_RYE_start_row)</f>
        <v>#N/A</v>
      </c>
      <c r="D49" s="1047" t="s">
        <v>964</v>
      </c>
      <c r="E49" s="1022" t="s">
        <v>963</v>
      </c>
      <c r="F49" s="1021"/>
      <c r="G49" s="1021"/>
      <c r="H49" s="1021"/>
      <c r="I49" s="1021"/>
      <c r="J49" s="1021"/>
      <c r="K49" s="1020"/>
    </row>
    <row r="50" spans="1:11" s="357" customFormat="1">
      <c r="A50" s="1431"/>
      <c r="B50" s="1035" t="s">
        <v>962</v>
      </c>
      <c r="C50" s="1046" t="e">
        <f>FRY</f>
        <v>#NAME?</v>
      </c>
      <c r="D50" s="1033" t="s">
        <v>961</v>
      </c>
      <c r="E50" s="1032" t="s">
        <v>960</v>
      </c>
      <c r="F50" s="1031"/>
      <c r="G50" s="1031"/>
      <c r="H50" s="1031"/>
      <c r="I50" s="1031"/>
      <c r="J50" s="1031"/>
      <c r="K50" s="1030"/>
    </row>
    <row r="51" spans="1:11" s="357" customFormat="1">
      <c r="A51" s="1431"/>
      <c r="B51" s="1045" t="s">
        <v>959</v>
      </c>
      <c r="C51" s="1044" t="e">
        <f ca="1">LEFT(CRCP_final_year,2)&amp;RIGHT(CRCP_final_year,2)</f>
        <v>#N/A</v>
      </c>
      <c r="D51" s="1043" t="s">
        <v>958</v>
      </c>
      <c r="E51" s="1042" t="s">
        <v>957</v>
      </c>
      <c r="F51" s="1041"/>
      <c r="G51" s="1041"/>
      <c r="H51" s="1041"/>
      <c r="I51" s="1041"/>
      <c r="J51" s="1041"/>
      <c r="K51" s="1040"/>
    </row>
    <row r="52" spans="1:11" s="357" customFormat="1">
      <c r="A52" s="1431"/>
      <c r="B52" s="1039" t="s">
        <v>956</v>
      </c>
      <c r="C52" s="1038" t="e">
        <f ca="1">LEFT(PRCP_final_year,2)&amp;RIGHT(PRCP_final_year,2)</f>
        <v>#N/A</v>
      </c>
      <c r="D52" s="1037" t="s">
        <v>955</v>
      </c>
      <c r="E52" s="1032" t="s">
        <v>954</v>
      </c>
      <c r="F52" s="1031"/>
      <c r="G52" s="1031"/>
      <c r="H52" s="1031"/>
      <c r="I52" s="1031"/>
      <c r="J52" s="1031"/>
      <c r="K52" s="1030"/>
    </row>
    <row r="53" spans="1:11" s="357" customFormat="1">
      <c r="A53" s="1431"/>
      <c r="B53" s="1029" t="s">
        <v>953</v>
      </c>
      <c r="C53" s="1028">
        <f>IFERROR(LEFT(CRY,2)&amp;RIGHT(CRY,2),0)</f>
        <v>0</v>
      </c>
      <c r="D53" s="1027" t="s">
        <v>952</v>
      </c>
      <c r="E53" s="1036" t="s">
        <v>951</v>
      </c>
      <c r="F53" s="1021"/>
      <c r="G53" s="1021"/>
      <c r="H53" s="1021"/>
      <c r="I53" s="1021"/>
      <c r="J53" s="1021"/>
      <c r="K53" s="1020"/>
    </row>
    <row r="54" spans="1:11" s="357" customFormat="1">
      <c r="A54" s="1431"/>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1"/>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1"/>
      <c r="B56" s="1025" t="s">
        <v>944</v>
      </c>
      <c r="C56" s="1024">
        <f>INDEX(dms_Model_Span_List,MATCH(dms_Model,dms_Model_List))</f>
        <v>5</v>
      </c>
      <c r="D56" s="1023" t="s">
        <v>943</v>
      </c>
      <c r="E56" s="1022" t="s">
        <v>942</v>
      </c>
      <c r="F56" s="1021"/>
      <c r="G56" s="1021"/>
      <c r="H56" s="1021"/>
      <c r="I56" s="1021"/>
      <c r="J56" s="1021"/>
      <c r="K56" s="1020"/>
    </row>
    <row r="57" spans="1:11" s="357" customFormat="1">
      <c r="A57" s="1431"/>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1"/>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1"/>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1"/>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2" t="s">
        <v>915</v>
      </c>
      <c r="C72" s="980">
        <f>IF(dms_Model="EB",1,0)</f>
        <v>0</v>
      </c>
      <c r="D72" s="979" t="s">
        <v>404</v>
      </c>
      <c r="E72" s="978"/>
      <c r="F72" s="948"/>
      <c r="G72" s="948"/>
      <c r="H72" s="948"/>
      <c r="I72" s="948"/>
      <c r="J72" s="977"/>
      <c r="K72" s="976"/>
    </row>
    <row r="73" spans="2:11" s="357" customFormat="1">
      <c r="B73" s="1432"/>
      <c r="C73" s="975">
        <f>IF(dms_Model="CA",1,0)</f>
        <v>0</v>
      </c>
      <c r="D73" s="974" t="s">
        <v>405</v>
      </c>
      <c r="E73" s="971" t="s">
        <v>406</v>
      </c>
      <c r="F73" s="969"/>
      <c r="G73" s="969"/>
      <c r="H73" s="969"/>
      <c r="I73" s="969"/>
      <c r="J73" s="968"/>
      <c r="K73" s="967"/>
    </row>
    <row r="74" spans="2:11" s="357" customFormat="1">
      <c r="B74" s="1433"/>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8"/>
      <c r="I1" s="1468"/>
      <c r="J1" s="1468"/>
      <c r="K1" s="1468"/>
      <c r="L1" s="1468"/>
      <c r="M1" s="1468"/>
      <c r="N1" s="1468"/>
      <c r="O1" s="1468"/>
      <c r="P1" s="1468"/>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8"/>
      <c r="I2" s="1468"/>
      <c r="J2" s="1468"/>
      <c r="K2" s="1468"/>
      <c r="L2" s="1468"/>
      <c r="M2" s="1468"/>
      <c r="N2" s="1468"/>
      <c r="O2" s="1468"/>
      <c r="P2" s="1468"/>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8"/>
      <c r="I3" s="1468"/>
      <c r="J3" s="1468"/>
      <c r="K3" s="1468"/>
      <c r="L3" s="1468"/>
      <c r="M3" s="1468"/>
      <c r="N3" s="1468"/>
      <c r="O3" s="1468"/>
      <c r="P3" s="1468"/>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9" t="s">
        <v>172</v>
      </c>
      <c r="W4" s="1469"/>
      <c r="X4" s="1469"/>
      <c r="Y4" s="1469"/>
      <c r="Z4" s="1469"/>
      <c r="AA4" s="1469"/>
      <c r="AB4" s="1469"/>
      <c r="AC4" s="1469"/>
      <c r="AD4" s="1469"/>
      <c r="AE4" s="1469"/>
      <c r="AF4" s="1469"/>
      <c r="AG4" s="1469"/>
      <c r="AH4" s="1469"/>
      <c r="AI4" s="1469"/>
      <c r="AJ4" s="1469"/>
      <c r="AK4" s="1469"/>
      <c r="AL4" s="1469"/>
      <c r="AM4" s="1469"/>
      <c r="AN4" s="1469"/>
      <c r="AO4" s="1469"/>
      <c r="AP4" s="1469"/>
      <c r="AQ4" s="1469"/>
      <c r="AR4" s="1469"/>
      <c r="AS4" s="1469"/>
      <c r="AT4" s="1469"/>
      <c r="AU4" s="1469"/>
      <c r="AV4" s="1469"/>
      <c r="AW4" s="1469"/>
      <c r="AX4" s="1469"/>
      <c r="AY4" s="1469"/>
      <c r="AZ4" s="1469"/>
      <c r="BA4" s="1469"/>
      <c r="BB4" s="1469"/>
      <c r="BC4" s="1469"/>
      <c r="BD4" s="1469"/>
      <c r="BE4" s="1469"/>
      <c r="BF4" s="1469"/>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70" t="s">
        <v>1061</v>
      </c>
      <c r="W7" s="1470"/>
      <c r="X7" s="1470"/>
      <c r="Y7" s="1470"/>
      <c r="Z7" s="1470"/>
      <c r="AA7" s="1470"/>
      <c r="AB7" s="1470"/>
      <c r="AC7" s="1470"/>
      <c r="AD7" s="1470"/>
      <c r="AE7" s="1470"/>
      <c r="AF7" s="1470"/>
      <c r="AG7" s="1470"/>
      <c r="AH7" s="1470"/>
      <c r="AI7" s="1470"/>
      <c r="AJ7" s="1470"/>
      <c r="AK7" s="1470"/>
      <c r="AL7" s="1470"/>
      <c r="AM7" s="1470"/>
      <c r="AN7" s="1470"/>
      <c r="AO7" s="1470"/>
      <c r="AP7" s="1470"/>
      <c r="AQ7" s="1470"/>
      <c r="AR7" s="1470"/>
      <c r="AS7" s="1470"/>
      <c r="AT7" s="1470"/>
      <c r="AU7" s="1470"/>
      <c r="AV7" s="1470"/>
      <c r="AW7" s="1470"/>
      <c r="AX7" s="1470"/>
      <c r="AY7" s="1470"/>
      <c r="AZ7" s="1470"/>
      <c r="BA7" s="1470"/>
      <c r="BB7" s="1470"/>
      <c r="BC7" s="1470"/>
      <c r="BD7" s="1470"/>
      <c r="BE7" s="1470"/>
      <c r="BF7" s="1470"/>
      <c r="BG7" s="1470"/>
      <c r="BH7" s="1470"/>
      <c r="BI7" s="1470"/>
      <c r="BJ7" s="1470"/>
      <c r="BK7" s="1470"/>
      <c r="BL7" s="1470"/>
      <c r="BM7" s="1470"/>
      <c r="BN7" s="1470"/>
      <c r="BO7" s="1470"/>
      <c r="BP7" s="1470"/>
      <c r="BQ7" s="1470"/>
      <c r="BR7" s="1470"/>
      <c r="BS7" s="1470"/>
      <c r="BT7" s="1470"/>
      <c r="BU7" s="1470"/>
      <c r="BV7" s="1470"/>
      <c r="BW7" s="1470"/>
      <c r="BX7" s="1470"/>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1" t="s">
        <v>1060</v>
      </c>
      <c r="R9" s="1471"/>
      <c r="S9" s="1471"/>
      <c r="T9" s="1471"/>
      <c r="U9" s="1471"/>
      <c r="V9" s="1471"/>
      <c r="W9" s="1471"/>
      <c r="X9" s="1471"/>
      <c r="Y9" s="1471"/>
      <c r="Z9" s="1471"/>
      <c r="AA9" s="1471"/>
      <c r="AB9" s="1471"/>
      <c r="AC9" s="1471"/>
      <c r="AD9" s="1471"/>
      <c r="AE9" s="1471"/>
      <c r="AF9" s="1471"/>
      <c r="AG9" s="1471"/>
      <c r="AH9" s="1471"/>
      <c r="AI9" s="1471"/>
      <c r="AJ9" s="1471"/>
      <c r="AK9" s="1471"/>
      <c r="AL9" s="1471"/>
      <c r="AM9" s="1471"/>
      <c r="AN9" s="1471"/>
      <c r="AO9" s="1471"/>
      <c r="AP9" s="1471"/>
      <c r="AQ9" s="1471"/>
      <c r="AR9" s="1471"/>
      <c r="AS9" s="1471"/>
      <c r="AT9" s="1471"/>
      <c r="AU9" s="1471"/>
      <c r="AV9" s="1471"/>
      <c r="AW9" s="1471"/>
      <c r="AX9" s="1471"/>
      <c r="AY9" s="1471"/>
      <c r="AZ9" s="1471"/>
      <c r="BA9" s="1471"/>
      <c r="BB9" s="1471"/>
      <c r="BC9" s="1471"/>
      <c r="BD9" s="1471"/>
      <c r="BE9" s="1471"/>
      <c r="BF9" s="1471"/>
      <c r="BG9" s="1471"/>
      <c r="BH9" s="1471"/>
      <c r="BI9" s="1471"/>
      <c r="BJ9" s="1471"/>
      <c r="BK9" s="1471"/>
      <c r="BL9" s="1471"/>
      <c r="BM9" s="1471"/>
      <c r="BN9" s="1471"/>
      <c r="BO9" s="1471"/>
      <c r="BP9" s="1471"/>
      <c r="BQ9" s="1471"/>
      <c r="BR9" s="1471"/>
      <c r="BS9" s="1471"/>
      <c r="BT9" s="1471"/>
      <c r="BU9" s="1471"/>
      <c r="BV9" s="1471"/>
      <c r="BW9" s="1471"/>
      <c r="BX9" s="1471"/>
      <c r="BY9" s="1471"/>
      <c r="BZ9" s="1471"/>
      <c r="CA9" s="1471"/>
      <c r="CB9" s="1471"/>
      <c r="CC9" s="1471"/>
      <c r="CD9" s="1471"/>
      <c r="CE9" s="1471"/>
      <c r="CF9" s="1471"/>
      <c r="CG9" s="1471"/>
      <c r="CH9" s="1471"/>
      <c r="CI9" s="1471"/>
      <c r="CJ9" s="1471"/>
      <c r="CK9" s="1471"/>
      <c r="CL9" s="1471"/>
      <c r="CM9" s="1471"/>
      <c r="CN9" s="1471"/>
      <c r="CO9" s="1471"/>
      <c r="CP9" s="1471"/>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2" t="s">
        <v>380</v>
      </c>
      <c r="W16" s="1472"/>
      <c r="X16" s="1472"/>
      <c r="Y16" s="1472"/>
      <c r="Z16" s="1472"/>
      <c r="AA16" s="1472"/>
      <c r="AB16" s="1472"/>
      <c r="AC16" s="1472"/>
      <c r="AD16" s="1472"/>
      <c r="AE16" s="1472"/>
      <c r="AF16" s="1472"/>
      <c r="AG16" s="1472"/>
      <c r="AH16" s="1472"/>
      <c r="AI16" s="1472"/>
      <c r="AJ16" s="1472"/>
      <c r="AK16" s="1205"/>
      <c r="AL16" s="1473">
        <f>dms_InputTradingName</f>
        <v>0</v>
      </c>
      <c r="AM16" s="1473"/>
      <c r="AN16" s="1473"/>
      <c r="AO16" s="1473"/>
      <c r="AP16" s="1473"/>
      <c r="AQ16" s="1473"/>
      <c r="AR16" s="1473"/>
      <c r="AS16" s="1473"/>
      <c r="AT16" s="1473"/>
      <c r="AU16" s="1473"/>
      <c r="AV16" s="1473"/>
      <c r="AW16" s="1473"/>
      <c r="AX16" s="1473"/>
      <c r="AY16" s="1473"/>
      <c r="AZ16" s="1473"/>
      <c r="BA16" s="1473"/>
      <c r="BB16" s="1473"/>
      <c r="BC16" s="1473"/>
      <c r="BD16" s="1473"/>
      <c r="BE16" s="1473"/>
      <c r="BF16" s="1473"/>
      <c r="BG16" s="1473"/>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5" t="s">
        <v>1058</v>
      </c>
      <c r="W17" s="1466"/>
      <c r="X17" s="1466"/>
      <c r="Y17" s="1466"/>
      <c r="Z17" s="1466"/>
      <c r="AA17" s="1466"/>
      <c r="AB17" s="1466"/>
      <c r="AC17" s="1466"/>
      <c r="AD17" s="1466"/>
      <c r="AE17" s="1466"/>
      <c r="AF17" s="1466"/>
      <c r="AG17" s="1466"/>
      <c r="AH17" s="1466"/>
      <c r="AI17" s="1466"/>
      <c r="AJ17" s="1466"/>
      <c r="AK17" s="1202"/>
      <c r="AL17" s="1467" t="e">
        <f>INDEX(dms_ABN_List,MATCH(dms_TradingName,dms_TradingName_List))</f>
        <v>#N/A</v>
      </c>
      <c r="AM17" s="1467"/>
      <c r="AN17" s="1467"/>
      <c r="AO17" s="1467"/>
      <c r="AP17" s="1467"/>
      <c r="AQ17" s="1467"/>
      <c r="AR17" s="1467"/>
      <c r="AS17" s="1467"/>
      <c r="AT17" s="1467"/>
      <c r="AU17" s="1467"/>
      <c r="AV17" s="1467"/>
      <c r="AW17" s="1467"/>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5" t="s">
        <v>87</v>
      </c>
      <c r="W23" s="1455"/>
      <c r="X23" s="1455"/>
      <c r="Y23" s="1455"/>
      <c r="Z23" s="1455"/>
      <c r="AA23" s="1455"/>
      <c r="AB23" s="1455"/>
      <c r="AC23" s="1455"/>
      <c r="AD23" s="1455"/>
      <c r="AE23" s="1455"/>
      <c r="AF23" s="1455"/>
      <c r="AG23" s="1455"/>
      <c r="AH23" s="1455"/>
      <c r="AI23" s="1455"/>
      <c r="AJ23" s="1455"/>
      <c r="AK23" s="1159"/>
      <c r="AL23" s="1462" t="e">
        <f>INDEX(dms_Addr1_List,MATCH(dms_TradingName,dms_TradingName_List))</f>
        <v>#N/A</v>
      </c>
      <c r="AM23" s="1463"/>
      <c r="AN23" s="1463"/>
      <c r="AO23" s="1463"/>
      <c r="AP23" s="1463"/>
      <c r="AQ23" s="1463"/>
      <c r="AR23" s="1463"/>
      <c r="AS23" s="1463"/>
      <c r="AT23" s="1463"/>
      <c r="AU23" s="1463"/>
      <c r="AV23" s="1463"/>
      <c r="AW23" s="1463"/>
      <c r="AX23" s="1463"/>
      <c r="AY23" s="1463"/>
      <c r="AZ23" s="1463"/>
      <c r="BA23" s="1463"/>
      <c r="BB23" s="1463"/>
      <c r="BC23" s="1463"/>
      <c r="BD23" s="1463"/>
      <c r="BE23" s="1463"/>
      <c r="BF23" s="1463"/>
      <c r="BG23" s="1464"/>
      <c r="BH23" s="1158"/>
      <c r="BI23" s="1455" t="s">
        <v>87</v>
      </c>
      <c r="BJ23" s="1455"/>
      <c r="BK23" s="1455"/>
      <c r="BL23" s="1455"/>
      <c r="BM23" s="1455"/>
      <c r="BN23" s="1455"/>
      <c r="BO23" s="1455"/>
      <c r="BP23" s="1190"/>
      <c r="BQ23" s="1462" t="e">
        <f>INDEX(dms_PAddr1_List,MATCH(dms_TradingName,dms_TradingName_List))</f>
        <v>#N/A</v>
      </c>
      <c r="BR23" s="1463"/>
      <c r="BS23" s="1463"/>
      <c r="BT23" s="1463"/>
      <c r="BU23" s="1463"/>
      <c r="BV23" s="1463"/>
      <c r="BW23" s="1463"/>
      <c r="BX23" s="1463"/>
      <c r="BY23" s="1463"/>
      <c r="BZ23" s="1463"/>
      <c r="CA23" s="1463"/>
      <c r="CB23" s="1463"/>
      <c r="CC23" s="1463"/>
      <c r="CD23" s="1463"/>
      <c r="CE23" s="1463"/>
      <c r="CF23" s="1463"/>
      <c r="CG23" s="1463"/>
      <c r="CH23" s="1463"/>
      <c r="CI23" s="1463"/>
      <c r="CJ23" s="1463"/>
      <c r="CK23" s="1463"/>
      <c r="CL23" s="1464"/>
      <c r="CM23" s="1159"/>
      <c r="CN23" s="1159"/>
      <c r="CO23" s="1159"/>
      <c r="CP23" s="1159"/>
    </row>
    <row r="24" spans="1:99">
      <c r="H24" s="1161"/>
      <c r="I24" s="1161"/>
      <c r="J24" s="1161"/>
      <c r="K24" s="1161"/>
      <c r="L24" s="1161"/>
      <c r="M24" s="1161"/>
      <c r="N24" s="1161"/>
      <c r="O24" s="1161"/>
      <c r="P24" s="1161"/>
      <c r="Q24" s="1159"/>
      <c r="R24" s="1159"/>
      <c r="S24" s="1159"/>
      <c r="T24" s="1159"/>
      <c r="U24" s="1158"/>
      <c r="V24" s="1455" t="s">
        <v>89</v>
      </c>
      <c r="W24" s="1455"/>
      <c r="X24" s="1455"/>
      <c r="Y24" s="1455"/>
      <c r="Z24" s="1455"/>
      <c r="AA24" s="1455"/>
      <c r="AB24" s="1455"/>
      <c r="AC24" s="1455"/>
      <c r="AD24" s="1455"/>
      <c r="AE24" s="1455"/>
      <c r="AF24" s="1455"/>
      <c r="AG24" s="1455"/>
      <c r="AH24" s="1455"/>
      <c r="AI24" s="1455"/>
      <c r="AJ24" s="1455"/>
      <c r="AK24" s="1159"/>
      <c r="AL24" s="1462" t="e">
        <f>IF(ISBLANK(INDEX(dms_Addr2_List,MATCH(dms_TradingName,dms_TradingName_List))),"",(INDEX(dms_Addr2_List,MATCH(dms_TradingName,dms_TradingName_List))))</f>
        <v>#N/A</v>
      </c>
      <c r="AM24" s="1463"/>
      <c r="AN24" s="1463"/>
      <c r="AO24" s="1463"/>
      <c r="AP24" s="1463"/>
      <c r="AQ24" s="1463"/>
      <c r="AR24" s="1463"/>
      <c r="AS24" s="1463"/>
      <c r="AT24" s="1463"/>
      <c r="AU24" s="1463"/>
      <c r="AV24" s="1463"/>
      <c r="AW24" s="1463"/>
      <c r="AX24" s="1463"/>
      <c r="AY24" s="1463"/>
      <c r="AZ24" s="1463"/>
      <c r="BA24" s="1463"/>
      <c r="BB24" s="1463"/>
      <c r="BC24" s="1463"/>
      <c r="BD24" s="1463"/>
      <c r="BE24" s="1463"/>
      <c r="BF24" s="1463"/>
      <c r="BG24" s="1464"/>
      <c r="BH24" s="1158"/>
      <c r="BI24" s="1455" t="s">
        <v>89</v>
      </c>
      <c r="BJ24" s="1455"/>
      <c r="BK24" s="1455"/>
      <c r="BL24" s="1455"/>
      <c r="BM24" s="1455"/>
      <c r="BN24" s="1455"/>
      <c r="BO24" s="1455"/>
      <c r="BP24" s="1190"/>
      <c r="BQ24" s="1462" t="e">
        <f>IF(ISBLANK(INDEX(dms_PAddr2_List,MATCH(dms_TradingName,dms_TradingName_List))),"",(INDEX(dms_PAddr2_List,MATCH(dms_TradingName,dms_TradingName_List))))</f>
        <v>#N/A</v>
      </c>
      <c r="BR24" s="1463"/>
      <c r="BS24" s="1463"/>
      <c r="BT24" s="1463"/>
      <c r="BU24" s="1463"/>
      <c r="BV24" s="1463"/>
      <c r="BW24" s="1463"/>
      <c r="BX24" s="1463"/>
      <c r="BY24" s="1463"/>
      <c r="BZ24" s="1463"/>
      <c r="CA24" s="1463"/>
      <c r="CB24" s="1463"/>
      <c r="CC24" s="1463"/>
      <c r="CD24" s="1463"/>
      <c r="CE24" s="1463"/>
      <c r="CF24" s="1463"/>
      <c r="CG24" s="1463"/>
      <c r="CH24" s="1463"/>
      <c r="CI24" s="1463"/>
      <c r="CJ24" s="1463"/>
      <c r="CK24" s="1463"/>
      <c r="CL24" s="1464"/>
      <c r="CM24" s="1159"/>
      <c r="CN24" s="1159"/>
      <c r="CO24" s="1159"/>
      <c r="CP24" s="1159"/>
    </row>
    <row r="25" spans="1:99">
      <c r="H25" s="1161"/>
      <c r="I25" s="1161"/>
      <c r="J25" s="1161"/>
      <c r="K25" s="1161"/>
      <c r="L25" s="1161"/>
      <c r="M25" s="1161"/>
      <c r="N25" s="1161"/>
      <c r="O25" s="1161"/>
      <c r="P25" s="1161"/>
      <c r="Q25" s="1159"/>
      <c r="R25" s="1159"/>
      <c r="S25" s="1159"/>
      <c r="T25" s="1159"/>
      <c r="U25" s="1158"/>
      <c r="V25" s="1455" t="s">
        <v>90</v>
      </c>
      <c r="W25" s="1455"/>
      <c r="X25" s="1455"/>
      <c r="Y25" s="1455"/>
      <c r="Z25" s="1455"/>
      <c r="AA25" s="1455"/>
      <c r="AB25" s="1455"/>
      <c r="AC25" s="1455"/>
      <c r="AD25" s="1455"/>
      <c r="AE25" s="1455"/>
      <c r="AF25" s="1455"/>
      <c r="AG25" s="1455"/>
      <c r="AH25" s="1455"/>
      <c r="AI25" s="1455"/>
      <c r="AJ25" s="1455"/>
      <c r="AK25" s="1159"/>
      <c r="AL25" s="1459" t="e">
        <f>INDEX(dms_Suburb_List,MATCH(dms_TradingName,dms_TradingName_List))</f>
        <v>#N/A</v>
      </c>
      <c r="AM25" s="1459"/>
      <c r="AN25" s="1459"/>
      <c r="AO25" s="1459"/>
      <c r="AP25" s="1459"/>
      <c r="AQ25" s="1459"/>
      <c r="AR25" s="1459"/>
      <c r="AS25" s="1459"/>
      <c r="AT25" s="1459"/>
      <c r="AU25" s="1459"/>
      <c r="AV25" s="1459"/>
      <c r="AW25" s="1459"/>
      <c r="AX25" s="1459"/>
      <c r="AY25" s="1459"/>
      <c r="AZ25" s="1459"/>
      <c r="BA25" s="1195"/>
      <c r="BB25" s="1195"/>
      <c r="BC25" s="1195"/>
      <c r="BD25" s="1195"/>
      <c r="BE25" s="1195"/>
      <c r="BF25" s="1195"/>
      <c r="BG25" s="1195"/>
      <c r="BH25" s="1158"/>
      <c r="BI25" s="1455" t="s">
        <v>90</v>
      </c>
      <c r="BJ25" s="1455"/>
      <c r="BK25" s="1455"/>
      <c r="BL25" s="1455"/>
      <c r="BM25" s="1455"/>
      <c r="BN25" s="1455"/>
      <c r="BO25" s="1455"/>
      <c r="BP25" s="1190"/>
      <c r="BQ25" s="1459" t="e">
        <f>INDEX(dms_PSuburb_List,MATCH(dms_TradingName,dms_TradingName_List))</f>
        <v>#N/A</v>
      </c>
      <c r="BR25" s="1459"/>
      <c r="BS25" s="1459"/>
      <c r="BT25" s="1459"/>
      <c r="BU25" s="1459"/>
      <c r="BV25" s="1459"/>
      <c r="BW25" s="1459"/>
      <c r="BX25" s="1459"/>
      <c r="BY25" s="1459"/>
      <c r="BZ25" s="1459"/>
      <c r="CA25" s="1459"/>
      <c r="CB25" s="1459"/>
      <c r="CC25" s="1459"/>
      <c r="CD25" s="1459"/>
      <c r="CE25" s="1459"/>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5" t="s">
        <v>91</v>
      </c>
      <c r="W26" s="1455"/>
      <c r="X26" s="1455"/>
      <c r="Y26" s="1455"/>
      <c r="Z26" s="1455"/>
      <c r="AA26" s="1455"/>
      <c r="AB26" s="1455"/>
      <c r="AC26" s="1455"/>
      <c r="AD26" s="1455"/>
      <c r="AE26" s="1455"/>
      <c r="AF26" s="1455"/>
      <c r="AG26" s="1455"/>
      <c r="AH26" s="1455"/>
      <c r="AI26" s="1455"/>
      <c r="AJ26" s="1455"/>
      <c r="AK26" s="1159"/>
      <c r="AL26" s="1460" t="e">
        <f>INDEX(dms_State_List,MATCH(dms_TradingName,dms_TradingName_List))</f>
        <v>#N/A</v>
      </c>
      <c r="AM26" s="1460"/>
      <c r="AN26" s="1460"/>
      <c r="AO26" s="1460"/>
      <c r="AP26" s="1159"/>
      <c r="AQ26" s="1193"/>
      <c r="AR26" s="1159"/>
      <c r="AS26" s="1159"/>
      <c r="AT26" s="1159"/>
      <c r="AU26" s="1159"/>
      <c r="AV26" s="1193" t="s">
        <v>1055</v>
      </c>
      <c r="AW26" s="1193"/>
      <c r="AX26" s="1461"/>
      <c r="AY26" s="1461"/>
      <c r="AZ26" s="1461"/>
      <c r="BA26" s="1159"/>
      <c r="BB26" s="1159"/>
      <c r="BC26" s="1159"/>
      <c r="BD26" s="1159"/>
      <c r="BE26" s="1159"/>
      <c r="BF26" s="1159"/>
      <c r="BG26" s="1159"/>
      <c r="BH26" s="1158"/>
      <c r="BI26" s="1455" t="s">
        <v>91</v>
      </c>
      <c r="BJ26" s="1455"/>
      <c r="BK26" s="1455"/>
      <c r="BL26" s="1455"/>
      <c r="BM26" s="1455"/>
      <c r="BN26" s="1455"/>
      <c r="BO26" s="1455"/>
      <c r="BP26" s="1190"/>
      <c r="BQ26" s="1460" t="e">
        <f>INDEX(dms_PState_List,MATCH(dms_TradingName,dms_TradingName_List))</f>
        <v>#N/A</v>
      </c>
      <c r="BR26" s="1460"/>
      <c r="BS26" s="1460"/>
      <c r="BT26" s="1460"/>
      <c r="BU26" s="1159"/>
      <c r="BV26" s="1159"/>
      <c r="BW26" s="1194"/>
      <c r="BX26" s="1159"/>
      <c r="BY26" s="1159"/>
      <c r="BZ26" s="1159"/>
      <c r="CA26" s="1193" t="s">
        <v>1055</v>
      </c>
      <c r="CB26" s="1159"/>
      <c r="CC26" s="1461"/>
      <c r="CD26" s="1461"/>
      <c r="CE26" s="1461"/>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5" t="s">
        <v>805</v>
      </c>
      <c r="W32" s="1455"/>
      <c r="X32" s="1455"/>
      <c r="Y32" s="1455"/>
      <c r="Z32" s="1455"/>
      <c r="AA32" s="1455"/>
      <c r="AB32" s="1455"/>
      <c r="AC32" s="1455"/>
      <c r="AD32" s="1455"/>
      <c r="AE32" s="1455"/>
      <c r="AF32" s="1455"/>
      <c r="AG32" s="1455"/>
      <c r="AH32" s="1455"/>
      <c r="AI32" s="1455"/>
      <c r="AJ32" s="1455"/>
      <c r="AK32" s="1159"/>
      <c r="AL32" s="1456" t="s">
        <v>1053</v>
      </c>
      <c r="AM32" s="1456"/>
      <c r="AN32" s="1456"/>
      <c r="AO32" s="1456"/>
      <c r="AP32" s="1456"/>
      <c r="AQ32" s="1456"/>
      <c r="AR32" s="1456"/>
      <c r="AS32" s="1456"/>
      <c r="AT32" s="1456"/>
      <c r="AU32" s="1456"/>
      <c r="AV32" s="1456"/>
      <c r="AW32" s="1456"/>
      <c r="AX32" s="1456"/>
      <c r="AY32" s="1456"/>
      <c r="AZ32" s="1456"/>
      <c r="BA32" s="1456"/>
      <c r="BB32" s="1456"/>
      <c r="BC32" s="1456"/>
      <c r="BD32" s="1456"/>
      <c r="BE32" s="1456"/>
      <c r="BF32" s="1456"/>
      <c r="BG32" s="1456"/>
      <c r="BH32" s="1159"/>
      <c r="BI32" s="1455" t="s">
        <v>805</v>
      </c>
      <c r="BJ32" s="1455"/>
      <c r="BK32" s="1455"/>
      <c r="BL32" s="1455"/>
      <c r="BM32" s="1455"/>
      <c r="BN32" s="1455"/>
      <c r="BO32" s="1455"/>
      <c r="BP32" s="1190"/>
      <c r="BQ32" s="1456" t="s">
        <v>1053</v>
      </c>
      <c r="BR32" s="1456"/>
      <c r="BS32" s="1456"/>
      <c r="BT32" s="1456"/>
      <c r="BU32" s="1456"/>
      <c r="BV32" s="1456"/>
      <c r="BW32" s="1456"/>
      <c r="BX32" s="1456"/>
      <c r="BY32" s="1456"/>
      <c r="BZ32" s="1456"/>
      <c r="CA32" s="1456"/>
      <c r="CB32" s="1456"/>
      <c r="CC32" s="1456"/>
      <c r="CD32" s="1456"/>
      <c r="CE32" s="1456"/>
      <c r="CF32" s="1456"/>
      <c r="CG32" s="1456"/>
      <c r="CH32" s="1456"/>
      <c r="CI32" s="1456"/>
      <c r="CJ32" s="1456"/>
      <c r="CK32" s="1456"/>
      <c r="CL32" s="1456"/>
      <c r="CM32" s="1159"/>
      <c r="CN32" s="1159"/>
      <c r="CO32" s="1159"/>
      <c r="CP32" s="1159"/>
    </row>
    <row r="33" spans="2:94">
      <c r="H33" s="1161"/>
      <c r="I33" s="1161"/>
      <c r="J33" s="1161"/>
      <c r="K33" s="1161"/>
      <c r="L33" s="1161"/>
      <c r="M33" s="1161"/>
      <c r="N33" s="1161"/>
      <c r="O33" s="1161"/>
      <c r="P33" s="1161"/>
      <c r="Q33" s="1159"/>
      <c r="R33" s="1159"/>
      <c r="S33" s="1159"/>
      <c r="T33" s="1159"/>
      <c r="U33" s="1158"/>
      <c r="V33" s="1455" t="s">
        <v>1052</v>
      </c>
      <c r="W33" s="1455"/>
      <c r="X33" s="1455"/>
      <c r="Y33" s="1455"/>
      <c r="Z33" s="1455"/>
      <c r="AA33" s="1455"/>
      <c r="AB33" s="1455"/>
      <c r="AC33" s="1455"/>
      <c r="AD33" s="1455"/>
      <c r="AE33" s="1455"/>
      <c r="AF33" s="1455"/>
      <c r="AG33" s="1455"/>
      <c r="AH33" s="1455"/>
      <c r="AI33" s="1455"/>
      <c r="AJ33" s="1455"/>
      <c r="AK33" s="1159"/>
      <c r="AL33" s="1458" t="s">
        <v>1051</v>
      </c>
      <c r="AM33" s="1458"/>
      <c r="AN33" s="1458"/>
      <c r="AO33" s="1458"/>
      <c r="AP33" s="1458"/>
      <c r="AQ33" s="1458"/>
      <c r="AR33" s="1458"/>
      <c r="AS33" s="1458"/>
      <c r="AT33" s="1458"/>
      <c r="AU33" s="1458"/>
      <c r="AV33" s="1458"/>
      <c r="AW33" s="1458"/>
      <c r="AX33" s="1458"/>
      <c r="AY33" s="1458"/>
      <c r="AZ33" s="1458"/>
      <c r="BA33" s="1458"/>
      <c r="BB33" s="1458"/>
      <c r="BC33" s="1458"/>
      <c r="BD33" s="1458"/>
      <c r="BE33" s="1458"/>
      <c r="BF33" s="1458"/>
      <c r="BG33" s="1458"/>
      <c r="BH33" s="1191"/>
      <c r="BI33" s="1455" t="s">
        <v>1052</v>
      </c>
      <c r="BJ33" s="1455"/>
      <c r="BK33" s="1455"/>
      <c r="BL33" s="1455"/>
      <c r="BM33" s="1455"/>
      <c r="BN33" s="1455"/>
      <c r="BO33" s="1455"/>
      <c r="BP33" s="1190"/>
      <c r="BQ33" s="1458" t="s">
        <v>1051</v>
      </c>
      <c r="BR33" s="1458"/>
      <c r="BS33" s="1458"/>
      <c r="BT33" s="1458"/>
      <c r="BU33" s="1458"/>
      <c r="BV33" s="1458"/>
      <c r="BW33" s="1458"/>
      <c r="BX33" s="1458"/>
      <c r="BY33" s="1458"/>
      <c r="BZ33" s="1458"/>
      <c r="CA33" s="1458"/>
      <c r="CB33" s="1458"/>
      <c r="CC33" s="1458"/>
      <c r="CD33" s="1458"/>
      <c r="CE33" s="1458"/>
      <c r="CF33" s="1458"/>
      <c r="CG33" s="1458"/>
      <c r="CH33" s="1458"/>
      <c r="CI33" s="1458"/>
      <c r="CJ33" s="1458"/>
      <c r="CK33" s="1458"/>
      <c r="CL33" s="1458"/>
      <c r="CM33" s="1159"/>
      <c r="CN33" s="1159"/>
      <c r="CO33" s="1159"/>
      <c r="CP33" s="1159"/>
    </row>
    <row r="34" spans="2:94">
      <c r="H34" s="1161"/>
      <c r="I34" s="1161"/>
      <c r="J34" s="1161"/>
      <c r="K34" s="1161"/>
      <c r="L34" s="1161"/>
      <c r="M34" s="1161"/>
      <c r="N34" s="1161"/>
      <c r="O34" s="1161"/>
      <c r="P34" s="1161"/>
      <c r="Q34" s="1159"/>
      <c r="R34" s="1159"/>
      <c r="S34" s="1159"/>
      <c r="T34" s="1159"/>
      <c r="U34" s="1158"/>
      <c r="V34" s="1455" t="s">
        <v>1050</v>
      </c>
      <c r="W34" s="1455"/>
      <c r="X34" s="1455"/>
      <c r="Y34" s="1455"/>
      <c r="Z34" s="1455"/>
      <c r="AA34" s="1455"/>
      <c r="AB34" s="1455"/>
      <c r="AC34" s="1455"/>
      <c r="AD34" s="1455"/>
      <c r="AE34" s="1455"/>
      <c r="AF34" s="1455"/>
      <c r="AG34" s="1455"/>
      <c r="AH34" s="1455"/>
      <c r="AI34" s="1455"/>
      <c r="AJ34" s="1455"/>
      <c r="AK34" s="1159"/>
      <c r="AL34" s="1456" t="s">
        <v>1049</v>
      </c>
      <c r="AM34" s="1456"/>
      <c r="AN34" s="1456"/>
      <c r="AO34" s="1456"/>
      <c r="AP34" s="1456"/>
      <c r="AQ34" s="1456"/>
      <c r="AR34" s="1456"/>
      <c r="AS34" s="1456"/>
      <c r="AT34" s="1456"/>
      <c r="AU34" s="1456"/>
      <c r="AV34" s="1456"/>
      <c r="AW34" s="1456"/>
      <c r="AX34" s="1456"/>
      <c r="AY34" s="1456"/>
      <c r="AZ34" s="1456"/>
      <c r="BA34" s="1456"/>
      <c r="BB34" s="1456"/>
      <c r="BC34" s="1456"/>
      <c r="BD34" s="1456"/>
      <c r="BE34" s="1456"/>
      <c r="BF34" s="1456"/>
      <c r="BG34" s="1456"/>
      <c r="BH34" s="1159"/>
      <c r="BI34" s="1455" t="s">
        <v>1050</v>
      </c>
      <c r="BJ34" s="1455"/>
      <c r="BK34" s="1455"/>
      <c r="BL34" s="1455"/>
      <c r="BM34" s="1455"/>
      <c r="BN34" s="1455"/>
      <c r="BO34" s="1455"/>
      <c r="BP34" s="1190"/>
      <c r="BQ34" s="1456" t="s">
        <v>1049</v>
      </c>
      <c r="BR34" s="1456"/>
      <c r="BS34" s="1456"/>
      <c r="BT34" s="1456"/>
      <c r="BU34" s="1456"/>
      <c r="BV34" s="1456"/>
      <c r="BW34" s="1456"/>
      <c r="BX34" s="1456"/>
      <c r="BY34" s="1456"/>
      <c r="BZ34" s="1456"/>
      <c r="CA34" s="1456"/>
      <c r="CB34" s="1456"/>
      <c r="CC34" s="1456"/>
      <c r="CD34" s="1456"/>
      <c r="CE34" s="1456"/>
      <c r="CF34" s="1456"/>
      <c r="CG34" s="1456"/>
      <c r="CH34" s="1456"/>
      <c r="CI34" s="1456"/>
      <c r="CJ34" s="1456"/>
      <c r="CK34" s="1456"/>
      <c r="CL34" s="1456"/>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6" t="s">
        <v>1048</v>
      </c>
      <c r="AA42" s="1446"/>
      <c r="AB42" s="1446"/>
      <c r="AC42" s="1446"/>
      <c r="AD42" s="1446"/>
      <c r="AE42" s="1446"/>
      <c r="AF42" s="1446"/>
      <c r="AG42" s="1446"/>
      <c r="AH42" s="1446"/>
      <c r="AI42" s="1446"/>
      <c r="AJ42" s="1162"/>
      <c r="AK42" s="1162"/>
      <c r="AL42" s="1457" t="s">
        <v>428</v>
      </c>
      <c r="AM42" s="1457"/>
      <c r="AN42" s="1457"/>
      <c r="AO42" s="1457"/>
      <c r="AP42" s="1457"/>
      <c r="AQ42" s="1457"/>
      <c r="AR42" s="1457"/>
      <c r="AS42" s="1457"/>
      <c r="AT42" s="1177"/>
      <c r="AU42" s="1453" t="e">
        <f ca="1">FRCP_y2</f>
        <v>#N/A</v>
      </c>
      <c r="AV42" s="1453"/>
      <c r="AW42" s="1453"/>
      <c r="AX42" s="1453"/>
      <c r="AY42" s="1453"/>
      <c r="AZ42" s="1453"/>
      <c r="BA42" s="1453"/>
      <c r="BB42" s="1453"/>
      <c r="BC42" s="1177"/>
      <c r="BD42" s="1453" t="e">
        <f ca="1">FRCP_y3</f>
        <v>#N/A</v>
      </c>
      <c r="BE42" s="1453"/>
      <c r="BF42" s="1453"/>
      <c r="BG42" s="1453"/>
      <c r="BH42" s="1453"/>
      <c r="BI42" s="1453"/>
      <c r="BJ42" s="1453"/>
      <c r="BK42" s="1453"/>
      <c r="BL42" s="1177"/>
      <c r="BM42" s="1453" t="e">
        <f ca="1">FRCP_y4</f>
        <v>#N/A</v>
      </c>
      <c r="BN42" s="1453"/>
      <c r="BO42" s="1453"/>
      <c r="BP42" s="1453"/>
      <c r="BQ42" s="1453"/>
      <c r="BR42" s="1453"/>
      <c r="BS42" s="1453"/>
      <c r="BT42" s="1453"/>
      <c r="BU42" s="1177"/>
      <c r="BV42" s="1454" t="e">
        <f ca="1">FRCP_y5</f>
        <v>#N/A</v>
      </c>
      <c r="BW42" s="1454"/>
      <c r="BX42" s="1454"/>
      <c r="BY42" s="1454"/>
      <c r="BZ42" s="1454"/>
      <c r="CA42" s="1454"/>
      <c r="CB42" s="1454"/>
      <c r="CC42" s="1454"/>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4" t="e">
        <f ca="1">FRCP_y6</f>
        <v>#N/A</v>
      </c>
      <c r="AM43" s="1454"/>
      <c r="AN43" s="1454"/>
      <c r="AO43" s="1454"/>
      <c r="AP43" s="1454"/>
      <c r="AQ43" s="1454"/>
      <c r="AR43" s="1454"/>
      <c r="AS43" s="1454"/>
      <c r="AT43" s="1184"/>
      <c r="AU43" s="1454" t="e">
        <f ca="1">FRCP_y7</f>
        <v>#N/A</v>
      </c>
      <c r="AV43" s="1454"/>
      <c r="AW43" s="1454"/>
      <c r="AX43" s="1454"/>
      <c r="AY43" s="1454"/>
      <c r="AZ43" s="1454"/>
      <c r="BA43" s="1454"/>
      <c r="BB43" s="1454"/>
      <c r="BC43" s="1184"/>
      <c r="BD43" s="1454" t="e">
        <f ca="1">FRCP_y8</f>
        <v>#N/A</v>
      </c>
      <c r="BE43" s="1454"/>
      <c r="BF43" s="1454"/>
      <c r="BG43" s="1454"/>
      <c r="BH43" s="1454"/>
      <c r="BI43" s="1454"/>
      <c r="BJ43" s="1454"/>
      <c r="BK43" s="1454"/>
      <c r="BL43" s="1179"/>
      <c r="BM43" s="1454" t="e">
        <f ca="1">FRCP_y9</f>
        <v>#N/A</v>
      </c>
      <c r="BN43" s="1454"/>
      <c r="BO43" s="1454"/>
      <c r="BP43" s="1454"/>
      <c r="BQ43" s="1454"/>
      <c r="BR43" s="1454"/>
      <c r="BS43" s="1454"/>
      <c r="BT43" s="1454"/>
      <c r="BU43" s="1179"/>
      <c r="BV43" s="1454" t="e">
        <f ca="1">FRCP_y10</f>
        <v>#N/A</v>
      </c>
      <c r="BW43" s="1454"/>
      <c r="BX43" s="1454"/>
      <c r="BY43" s="1454"/>
      <c r="BZ43" s="1454"/>
      <c r="CA43" s="1454"/>
      <c r="CB43" s="1454"/>
      <c r="CC43" s="1454"/>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4" t="e">
        <f ca="1">FRCP_y11</f>
        <v>#N/A</v>
      </c>
      <c r="AM44" s="1454"/>
      <c r="AN44" s="1454"/>
      <c r="AO44" s="1454"/>
      <c r="AP44" s="1454"/>
      <c r="AQ44" s="1454"/>
      <c r="AR44" s="1454"/>
      <c r="AS44" s="1454"/>
      <c r="AT44" s="1181"/>
      <c r="AU44" s="1454" t="e">
        <f ca="1">FRCP_y12</f>
        <v>#N/A</v>
      </c>
      <c r="AV44" s="1454"/>
      <c r="AW44" s="1454"/>
      <c r="AX44" s="1454"/>
      <c r="AY44" s="1454"/>
      <c r="AZ44" s="1454"/>
      <c r="BA44" s="1454"/>
      <c r="BB44" s="1454"/>
      <c r="BC44" s="1181"/>
      <c r="BD44" s="1454" t="e">
        <f ca="1">FRCP_y13</f>
        <v>#N/A</v>
      </c>
      <c r="BE44" s="1454"/>
      <c r="BF44" s="1454"/>
      <c r="BG44" s="1454"/>
      <c r="BH44" s="1454"/>
      <c r="BI44" s="1454"/>
      <c r="BJ44" s="1454"/>
      <c r="BK44" s="1454"/>
      <c r="BL44" s="1181"/>
      <c r="BM44" s="1454" t="e">
        <f ca="1">FRCP_y14</f>
        <v>#N/A</v>
      </c>
      <c r="BN44" s="1454"/>
      <c r="BO44" s="1454"/>
      <c r="BP44" s="1454"/>
      <c r="BQ44" s="1454"/>
      <c r="BR44" s="1454"/>
      <c r="BS44" s="1454"/>
      <c r="BT44" s="1454"/>
      <c r="BU44" s="1181"/>
      <c r="BV44" s="1454" t="e">
        <f ca="1">FRCP_y15</f>
        <v>#N/A</v>
      </c>
      <c r="BW44" s="1454"/>
      <c r="BX44" s="1454"/>
      <c r="BY44" s="1454"/>
      <c r="BZ44" s="1454"/>
      <c r="CA44" s="1454"/>
      <c r="CB44" s="1454"/>
      <c r="CC44" s="1454"/>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6" t="s">
        <v>1046</v>
      </c>
      <c r="AA46" s="1446"/>
      <c r="AB46" s="1446"/>
      <c r="AC46" s="1446"/>
      <c r="AD46" s="1446"/>
      <c r="AE46" s="1446"/>
      <c r="AF46" s="1446"/>
      <c r="AG46" s="1446"/>
      <c r="AH46" s="1446"/>
      <c r="AI46" s="1446"/>
      <c r="AJ46" s="1162"/>
      <c r="AK46" s="1162"/>
      <c r="AL46" s="1453" t="e">
        <f ca="1">CRCP_y1</f>
        <v>#N/A</v>
      </c>
      <c r="AM46" s="1453"/>
      <c r="AN46" s="1453"/>
      <c r="AO46" s="1453"/>
      <c r="AP46" s="1453"/>
      <c r="AQ46" s="1453"/>
      <c r="AR46" s="1453"/>
      <c r="AS46" s="1453"/>
      <c r="AT46" s="1177"/>
      <c r="AU46" s="1453" t="e">
        <f ca="1">CRCP_y2</f>
        <v>#N/A</v>
      </c>
      <c r="AV46" s="1453"/>
      <c r="AW46" s="1453"/>
      <c r="AX46" s="1453"/>
      <c r="AY46" s="1453"/>
      <c r="AZ46" s="1453"/>
      <c r="BA46" s="1453"/>
      <c r="BB46" s="1453"/>
      <c r="BC46" s="1177"/>
      <c r="BD46" s="1453" t="e">
        <f ca="1">CRCP_y3</f>
        <v>#N/A</v>
      </c>
      <c r="BE46" s="1453"/>
      <c r="BF46" s="1453"/>
      <c r="BG46" s="1453"/>
      <c r="BH46" s="1453"/>
      <c r="BI46" s="1453"/>
      <c r="BJ46" s="1453"/>
      <c r="BK46" s="1453"/>
      <c r="BL46" s="1177"/>
      <c r="BM46" s="1453" t="e">
        <f ca="1">CRCP_y4</f>
        <v>#N/A</v>
      </c>
      <c r="BN46" s="1453"/>
      <c r="BO46" s="1453"/>
      <c r="BP46" s="1453"/>
      <c r="BQ46" s="1453"/>
      <c r="BR46" s="1453"/>
      <c r="BS46" s="1453"/>
      <c r="BT46" s="1453"/>
      <c r="BU46" s="1177"/>
      <c r="BV46" s="1453" t="e">
        <f ca="1">CRCP_y5</f>
        <v>#N/A</v>
      </c>
      <c r="BW46" s="1453"/>
      <c r="BX46" s="1453"/>
      <c r="BY46" s="1453"/>
      <c r="BZ46" s="1453"/>
      <c r="CA46" s="1453"/>
      <c r="CB46" s="1453"/>
      <c r="CC46" s="1453"/>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4" t="e">
        <f ca="1">CRCP_y6</f>
        <v>#N/A</v>
      </c>
      <c r="AM47" s="1454"/>
      <c r="AN47" s="1454"/>
      <c r="AO47" s="1454"/>
      <c r="AP47" s="1454"/>
      <c r="AQ47" s="1454"/>
      <c r="AR47" s="1454"/>
      <c r="AS47" s="1454"/>
      <c r="AT47" s="1176"/>
      <c r="AU47" s="1454" t="e">
        <f ca="1">CRCP_y7</f>
        <v>#N/A</v>
      </c>
      <c r="AV47" s="1454"/>
      <c r="AW47" s="1454"/>
      <c r="AX47" s="1454"/>
      <c r="AY47" s="1454"/>
      <c r="AZ47" s="1454"/>
      <c r="BA47" s="1454"/>
      <c r="BB47" s="1454"/>
      <c r="BC47" s="1175"/>
      <c r="BD47" s="1454" t="e">
        <f ca="1">CRCP_y8</f>
        <v>#N/A</v>
      </c>
      <c r="BE47" s="1454"/>
      <c r="BF47" s="1454"/>
      <c r="BG47" s="1454"/>
      <c r="BH47" s="1454"/>
      <c r="BI47" s="1454"/>
      <c r="BJ47" s="1454"/>
      <c r="BK47" s="1454"/>
      <c r="BL47" s="1175"/>
      <c r="BM47" s="1454" t="e">
        <f ca="1">CRCP_y9</f>
        <v>#N/A</v>
      </c>
      <c r="BN47" s="1454"/>
      <c r="BO47" s="1454"/>
      <c r="BP47" s="1454"/>
      <c r="BQ47" s="1454"/>
      <c r="BR47" s="1454"/>
      <c r="BS47" s="1454"/>
      <c r="BT47" s="1454"/>
      <c r="BU47" s="1175"/>
      <c r="BV47" s="1454" t="e">
        <f ca="1">CRCP_y10</f>
        <v>#N/A</v>
      </c>
      <c r="BW47" s="1454"/>
      <c r="BX47" s="1454"/>
      <c r="BY47" s="1454"/>
      <c r="BZ47" s="1454"/>
      <c r="CA47" s="1454"/>
      <c r="CB47" s="1454"/>
      <c r="CC47" s="1454"/>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4" t="e">
        <f ca="1">CRCP_y11</f>
        <v>#N/A</v>
      </c>
      <c r="AM48" s="1454"/>
      <c r="AN48" s="1454"/>
      <c r="AO48" s="1454"/>
      <c r="AP48" s="1454"/>
      <c r="AQ48" s="1454"/>
      <c r="AR48" s="1454"/>
      <c r="AS48" s="1454"/>
      <c r="AT48" s="1176"/>
      <c r="AU48" s="1454" t="e">
        <f ca="1">CRCP_y12</f>
        <v>#N/A</v>
      </c>
      <c r="AV48" s="1454"/>
      <c r="AW48" s="1454"/>
      <c r="AX48" s="1454"/>
      <c r="AY48" s="1454"/>
      <c r="AZ48" s="1454"/>
      <c r="BA48" s="1454"/>
      <c r="BB48" s="1454"/>
      <c r="BC48" s="1175"/>
      <c r="BD48" s="1454" t="e">
        <f ca="1">CRCP_y13</f>
        <v>#N/A</v>
      </c>
      <c r="BE48" s="1454"/>
      <c r="BF48" s="1454"/>
      <c r="BG48" s="1454"/>
      <c r="BH48" s="1454"/>
      <c r="BI48" s="1454"/>
      <c r="BJ48" s="1454"/>
      <c r="BK48" s="1454"/>
      <c r="BL48" s="1175"/>
      <c r="BM48" s="1454" t="e">
        <f ca="1">CRCP_y14</f>
        <v>#N/A</v>
      </c>
      <c r="BN48" s="1454"/>
      <c r="BO48" s="1454"/>
      <c r="BP48" s="1454"/>
      <c r="BQ48" s="1454"/>
      <c r="BR48" s="1454"/>
      <c r="BS48" s="1454"/>
      <c r="BT48" s="1454"/>
      <c r="BU48" s="1175"/>
      <c r="BV48" s="1454" t="e">
        <f ca="1">CRCP_y15</f>
        <v>#N/A</v>
      </c>
      <c r="BW48" s="1454"/>
      <c r="BX48" s="1454"/>
      <c r="BY48" s="1454"/>
      <c r="BZ48" s="1454"/>
      <c r="CA48" s="1454"/>
      <c r="CB48" s="1454"/>
      <c r="CC48" s="1454"/>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6" t="s">
        <v>1045</v>
      </c>
      <c r="AA50" s="1446"/>
      <c r="AB50" s="1446"/>
      <c r="AC50" s="1446"/>
      <c r="AD50" s="1446"/>
      <c r="AE50" s="1446"/>
      <c r="AF50" s="1446"/>
      <c r="AG50" s="1446"/>
      <c r="AH50" s="1446"/>
      <c r="AI50" s="1446"/>
      <c r="AJ50" s="1162"/>
      <c r="AK50" s="1162"/>
      <c r="AL50" s="1453" t="e">
        <f ca="1">PRCP_y1</f>
        <v>#N/A</v>
      </c>
      <c r="AM50" s="1453"/>
      <c r="AN50" s="1453"/>
      <c r="AO50" s="1453"/>
      <c r="AP50" s="1453"/>
      <c r="AQ50" s="1453"/>
      <c r="AR50" s="1453"/>
      <c r="AS50" s="1453"/>
      <c r="AT50" s="1177"/>
      <c r="AU50" s="1453" t="e">
        <f ca="1">PRCP_y2</f>
        <v>#N/A</v>
      </c>
      <c r="AV50" s="1453"/>
      <c r="AW50" s="1453"/>
      <c r="AX50" s="1453"/>
      <c r="AY50" s="1453"/>
      <c r="AZ50" s="1453"/>
      <c r="BA50" s="1453"/>
      <c r="BB50" s="1453"/>
      <c r="BC50" s="1177"/>
      <c r="BD50" s="1453" t="e">
        <f ca="1">PRCP_y3</f>
        <v>#N/A</v>
      </c>
      <c r="BE50" s="1453"/>
      <c r="BF50" s="1453"/>
      <c r="BG50" s="1453"/>
      <c r="BH50" s="1453"/>
      <c r="BI50" s="1453"/>
      <c r="BJ50" s="1453"/>
      <c r="BK50" s="1453"/>
      <c r="BL50" s="1177"/>
      <c r="BM50" s="1453" t="e">
        <f ca="1">PRCP_y4</f>
        <v>#N/A</v>
      </c>
      <c r="BN50" s="1453"/>
      <c r="BO50" s="1453"/>
      <c r="BP50" s="1453"/>
      <c r="BQ50" s="1453"/>
      <c r="BR50" s="1453"/>
      <c r="BS50" s="1453"/>
      <c r="BT50" s="1453"/>
      <c r="BU50" s="1177"/>
      <c r="BV50" s="1453" t="e">
        <f ca="1">PRCP_y5</f>
        <v>#N/A</v>
      </c>
      <c r="BW50" s="1453"/>
      <c r="BX50" s="1453"/>
      <c r="BY50" s="1453"/>
      <c r="BZ50" s="1453"/>
      <c r="CA50" s="1453"/>
      <c r="CB50" s="1453"/>
      <c r="CC50" s="1453"/>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4" t="e">
        <f ca="1">PRCP_y6</f>
        <v>#N/A</v>
      </c>
      <c r="AM51" s="1454"/>
      <c r="AN51" s="1454"/>
      <c r="AO51" s="1454"/>
      <c r="AP51" s="1454"/>
      <c r="AQ51" s="1454"/>
      <c r="AR51" s="1454"/>
      <c r="AS51" s="1454"/>
      <c r="AT51" s="1176"/>
      <c r="AU51" s="1454" t="e">
        <f ca="1">PRCP_y7</f>
        <v>#N/A</v>
      </c>
      <c r="AV51" s="1454"/>
      <c r="AW51" s="1454"/>
      <c r="AX51" s="1454"/>
      <c r="AY51" s="1454"/>
      <c r="AZ51" s="1454"/>
      <c r="BA51" s="1454"/>
      <c r="BB51" s="1454"/>
      <c r="BC51" s="1175"/>
      <c r="BD51" s="1454" t="e">
        <f ca="1">PRCP_y8</f>
        <v>#N/A</v>
      </c>
      <c r="BE51" s="1454"/>
      <c r="BF51" s="1454"/>
      <c r="BG51" s="1454"/>
      <c r="BH51" s="1454"/>
      <c r="BI51" s="1454"/>
      <c r="BJ51" s="1454"/>
      <c r="BK51" s="1454"/>
      <c r="BL51" s="1175"/>
      <c r="BM51" s="1454" t="e">
        <f ca="1">PRCP_y9</f>
        <v>#N/A</v>
      </c>
      <c r="BN51" s="1454"/>
      <c r="BO51" s="1454"/>
      <c r="BP51" s="1454"/>
      <c r="BQ51" s="1454"/>
      <c r="BR51" s="1454"/>
      <c r="BS51" s="1454"/>
      <c r="BT51" s="1454"/>
      <c r="BU51" s="1175"/>
      <c r="BV51" s="1454" t="e">
        <f ca="1">PRCP_y10</f>
        <v>#N/A</v>
      </c>
      <c r="BW51" s="1454"/>
      <c r="BX51" s="1454"/>
      <c r="BY51" s="1454"/>
      <c r="BZ51" s="1454"/>
      <c r="CA51" s="1454"/>
      <c r="CB51" s="1454"/>
      <c r="CC51" s="1454"/>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6" t="s">
        <v>1043</v>
      </c>
      <c r="AA56" s="1446"/>
      <c r="AB56" s="1446"/>
      <c r="AC56" s="1446"/>
      <c r="AD56" s="1446"/>
      <c r="AE56" s="1446"/>
      <c r="AF56" s="1446"/>
      <c r="AG56" s="1446"/>
      <c r="AH56" s="1446"/>
      <c r="AI56" s="1446"/>
      <c r="AJ56" s="1164"/>
      <c r="AK56" s="1164"/>
      <c r="AL56" s="1447" t="str">
        <f ca="1">INDIRECT(dms_Model)</f>
        <v>Roll Forward Model</v>
      </c>
      <c r="AM56" s="1447"/>
      <c r="AN56" s="1447"/>
      <c r="AO56" s="1447"/>
      <c r="AP56" s="1447"/>
      <c r="AQ56" s="1447"/>
      <c r="AR56" s="1447"/>
      <c r="AS56" s="1447"/>
      <c r="AT56" s="1447"/>
      <c r="AU56" s="1447"/>
      <c r="AV56" s="1447"/>
      <c r="AW56" s="1447"/>
      <c r="AX56" s="1447"/>
      <c r="AY56" s="1447"/>
      <c r="AZ56" s="1447"/>
      <c r="BA56" s="1447"/>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6" t="s">
        <v>98</v>
      </c>
      <c r="AA58" s="1446"/>
      <c r="AB58" s="1446"/>
      <c r="AC58" s="1446"/>
      <c r="AD58" s="1446"/>
      <c r="AE58" s="1446"/>
      <c r="AF58" s="1446"/>
      <c r="AG58" s="1446"/>
      <c r="AH58" s="1446"/>
      <c r="AI58" s="1446"/>
      <c r="AJ58" s="1164"/>
      <c r="AK58" s="1164"/>
      <c r="AL58" s="1452">
        <f>dms_InputSource</f>
        <v>0</v>
      </c>
      <c r="AM58" s="1452"/>
      <c r="AN58" s="1452"/>
      <c r="AO58" s="1452"/>
      <c r="AP58" s="1452"/>
      <c r="AQ58" s="1452"/>
      <c r="AR58" s="1452"/>
      <c r="AS58" s="1452"/>
      <c r="AT58" s="1452"/>
      <c r="AU58" s="1452"/>
      <c r="AV58" s="1452"/>
      <c r="AW58" s="1452"/>
      <c r="AX58" s="1452"/>
      <c r="AY58" s="1452"/>
      <c r="AZ58" s="1452"/>
      <c r="BA58" s="1452"/>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6" t="s">
        <v>1041</v>
      </c>
      <c r="AA60" s="1446"/>
      <c r="AB60" s="1446"/>
      <c r="AC60" s="1446"/>
      <c r="AD60" s="1446"/>
      <c r="AE60" s="1446"/>
      <c r="AF60" s="1446"/>
      <c r="AG60" s="1446"/>
      <c r="AH60" s="1446"/>
      <c r="AI60" s="1446"/>
      <c r="AJ60" s="1164"/>
      <c r="AK60" s="1164"/>
      <c r="AL60" s="1452" t="s">
        <v>104</v>
      </c>
      <c r="AM60" s="1452"/>
      <c r="AN60" s="1452"/>
      <c r="AO60" s="1452"/>
      <c r="AP60" s="1452"/>
      <c r="AQ60" s="1452"/>
      <c r="AR60" s="1452"/>
      <c r="AS60" s="1452"/>
      <c r="AT60" s="1452"/>
      <c r="AU60" s="1452"/>
      <c r="AV60" s="1452"/>
      <c r="AW60" s="1452"/>
      <c r="AX60" s="1452"/>
      <c r="AY60" s="1452"/>
      <c r="AZ60" s="1452"/>
      <c r="BA60" s="1452"/>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6" t="s">
        <v>1040</v>
      </c>
      <c r="AA62" s="1446"/>
      <c r="AB62" s="1446"/>
      <c r="AC62" s="1446"/>
      <c r="AD62" s="1446"/>
      <c r="AE62" s="1446"/>
      <c r="AF62" s="1446"/>
      <c r="AG62" s="1446"/>
      <c r="AH62" s="1446"/>
      <c r="AI62" s="1446"/>
      <c r="AJ62" s="1164"/>
      <c r="AK62" s="1164"/>
      <c r="AL62" s="1452" t="s">
        <v>103</v>
      </c>
      <c r="AM62" s="1452"/>
      <c r="AN62" s="1452"/>
      <c r="AO62" s="1452"/>
      <c r="AP62" s="1452"/>
      <c r="AQ62" s="1452"/>
      <c r="AR62" s="1452"/>
      <c r="AS62" s="1452"/>
      <c r="AT62" s="1452"/>
      <c r="AU62" s="1452"/>
      <c r="AV62" s="1452"/>
      <c r="AW62" s="1452"/>
      <c r="AX62" s="1452"/>
      <c r="AY62" s="1452"/>
      <c r="AZ62" s="1452"/>
      <c r="BA62" s="1452"/>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8" t="s">
        <v>1039</v>
      </c>
      <c r="AA64" s="1448"/>
      <c r="AB64" s="1448"/>
      <c r="AC64" s="1448"/>
      <c r="AD64" s="1448"/>
      <c r="AE64" s="1448"/>
      <c r="AF64" s="1448"/>
      <c r="AG64" s="1448"/>
      <c r="AH64" s="1448"/>
      <c r="AI64" s="1448"/>
      <c r="AJ64" s="1164"/>
      <c r="AK64" s="1164"/>
      <c r="AL64" s="1449" t="s">
        <v>1038</v>
      </c>
      <c r="AM64" s="1449"/>
      <c r="AN64" s="1449"/>
      <c r="AO64" s="1449"/>
      <c r="AP64" s="1449"/>
      <c r="AQ64" s="1449"/>
      <c r="AR64" s="1449"/>
      <c r="AS64" s="1449"/>
      <c r="AT64" s="1449"/>
      <c r="AU64" s="1449"/>
      <c r="AV64" s="1449"/>
      <c r="AW64" s="1449"/>
      <c r="AX64" s="1449"/>
      <c r="AY64" s="1449"/>
      <c r="AZ64" s="1449"/>
      <c r="BA64" s="1449"/>
      <c r="BB64" s="1449"/>
      <c r="BC64" s="1449"/>
      <c r="BD64" s="1449"/>
      <c r="BE64" s="1449"/>
      <c r="BF64" s="1449"/>
      <c r="BG64" s="1449"/>
      <c r="BH64" s="1449"/>
      <c r="BI64" s="1449"/>
      <c r="BJ64" s="1449"/>
      <c r="BK64" s="1449"/>
      <c r="BL64" s="1449"/>
      <c r="BM64" s="1449"/>
      <c r="BN64" s="1449"/>
      <c r="BO64" s="1449"/>
      <c r="BP64" s="1449"/>
      <c r="BQ64" s="1449"/>
      <c r="BR64" s="1449"/>
      <c r="BS64" s="1449"/>
      <c r="BT64" s="1449"/>
      <c r="BU64" s="1449"/>
      <c r="BV64" s="1449"/>
      <c r="BW64" s="1449"/>
      <c r="BX64" s="1449"/>
      <c r="BY64" s="1449"/>
      <c r="BZ64" s="1449"/>
      <c r="CA64" s="1449"/>
      <c r="CB64" s="1449"/>
      <c r="CC64" s="1449"/>
      <c r="CD64" s="1449"/>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8"/>
      <c r="AA65" s="1448"/>
      <c r="AB65" s="1448"/>
      <c r="AC65" s="1448"/>
      <c r="AD65" s="1448"/>
      <c r="AE65" s="1448"/>
      <c r="AF65" s="1448"/>
      <c r="AG65" s="1448"/>
      <c r="AH65" s="1448"/>
      <c r="AI65" s="1448"/>
      <c r="AJ65" s="1164"/>
      <c r="AK65" s="1164"/>
      <c r="AL65" s="1449"/>
      <c r="AM65" s="1449"/>
      <c r="AN65" s="1449"/>
      <c r="AO65" s="1449"/>
      <c r="AP65" s="1449"/>
      <c r="AQ65" s="1449"/>
      <c r="AR65" s="1449"/>
      <c r="AS65" s="1449"/>
      <c r="AT65" s="1449"/>
      <c r="AU65" s="1449"/>
      <c r="AV65" s="1449"/>
      <c r="AW65" s="1449"/>
      <c r="AX65" s="1449"/>
      <c r="AY65" s="1449"/>
      <c r="AZ65" s="1449"/>
      <c r="BA65" s="1449"/>
      <c r="BB65" s="1449"/>
      <c r="BC65" s="1449"/>
      <c r="BD65" s="1449"/>
      <c r="BE65" s="1449"/>
      <c r="BF65" s="1449"/>
      <c r="BG65" s="1449"/>
      <c r="BH65" s="1449"/>
      <c r="BI65" s="1449"/>
      <c r="BJ65" s="1449"/>
      <c r="BK65" s="1449"/>
      <c r="BL65" s="1449"/>
      <c r="BM65" s="1449"/>
      <c r="BN65" s="1449"/>
      <c r="BO65" s="1449"/>
      <c r="BP65" s="1449"/>
      <c r="BQ65" s="1449"/>
      <c r="BR65" s="1449"/>
      <c r="BS65" s="1449"/>
      <c r="BT65" s="1449"/>
      <c r="BU65" s="1449"/>
      <c r="BV65" s="1449"/>
      <c r="BW65" s="1449"/>
      <c r="BX65" s="1449"/>
      <c r="BY65" s="1449"/>
      <c r="BZ65" s="1449"/>
      <c r="CA65" s="1449"/>
      <c r="CB65" s="1449"/>
      <c r="CC65" s="1449"/>
      <c r="CD65" s="1449"/>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8"/>
      <c r="AA66" s="1448"/>
      <c r="AB66" s="1448"/>
      <c r="AC66" s="1448"/>
      <c r="AD66" s="1448"/>
      <c r="AE66" s="1448"/>
      <c r="AF66" s="1448"/>
      <c r="AG66" s="1448"/>
      <c r="AH66" s="1448"/>
      <c r="AI66" s="1448"/>
      <c r="AJ66" s="1164"/>
      <c r="AK66" s="1164"/>
      <c r="AL66" s="1449"/>
      <c r="AM66" s="1449"/>
      <c r="AN66" s="1449"/>
      <c r="AO66" s="1449"/>
      <c r="AP66" s="1449"/>
      <c r="AQ66" s="1449"/>
      <c r="AR66" s="1449"/>
      <c r="AS66" s="1449"/>
      <c r="AT66" s="1449"/>
      <c r="AU66" s="1449"/>
      <c r="AV66" s="1449"/>
      <c r="AW66" s="1449"/>
      <c r="AX66" s="1449"/>
      <c r="AY66" s="1449"/>
      <c r="AZ66" s="1449"/>
      <c r="BA66" s="1449"/>
      <c r="BB66" s="1449"/>
      <c r="BC66" s="1449"/>
      <c r="BD66" s="1449"/>
      <c r="BE66" s="1449"/>
      <c r="BF66" s="1449"/>
      <c r="BG66" s="1449"/>
      <c r="BH66" s="1449"/>
      <c r="BI66" s="1449"/>
      <c r="BJ66" s="1449"/>
      <c r="BK66" s="1449"/>
      <c r="BL66" s="1449"/>
      <c r="BM66" s="1449"/>
      <c r="BN66" s="1449"/>
      <c r="BO66" s="1449"/>
      <c r="BP66" s="1449"/>
      <c r="BQ66" s="1449"/>
      <c r="BR66" s="1449"/>
      <c r="BS66" s="1449"/>
      <c r="BT66" s="1449"/>
      <c r="BU66" s="1449"/>
      <c r="BV66" s="1449"/>
      <c r="BW66" s="1449"/>
      <c r="BX66" s="1449"/>
      <c r="BY66" s="1449"/>
      <c r="BZ66" s="1449"/>
      <c r="CA66" s="1449"/>
      <c r="CB66" s="1449"/>
      <c r="CC66" s="1449"/>
      <c r="CD66" s="1449"/>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6" t="s">
        <v>382</v>
      </c>
      <c r="AA68" s="1446"/>
      <c r="AB68" s="1446"/>
      <c r="AC68" s="1446"/>
      <c r="AD68" s="1446"/>
      <c r="AE68" s="1446"/>
      <c r="AF68" s="1446"/>
      <c r="AG68" s="1446"/>
      <c r="AH68" s="1446"/>
      <c r="AI68" s="1446"/>
      <c r="AJ68" s="1164"/>
      <c r="AK68" s="1164"/>
      <c r="AL68" s="1450" t="s">
        <v>1037</v>
      </c>
      <c r="AM68" s="1451"/>
      <c r="AN68" s="1451"/>
      <c r="AO68" s="1451"/>
      <c r="AP68" s="1451"/>
      <c r="AQ68" s="1451"/>
      <c r="AR68" s="1451"/>
      <c r="AS68" s="1451"/>
      <c r="AT68" s="1451"/>
      <c r="AU68" s="1451"/>
      <c r="AV68" s="1451"/>
      <c r="AW68" s="1451"/>
      <c r="AX68" s="1451"/>
      <c r="AY68" s="1451"/>
      <c r="AZ68" s="1451"/>
      <c r="BA68" s="1451"/>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A1:Y86"/>
  <sheetViews>
    <sheetView showGridLines="0" zoomScaleNormal="100"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8" t="str">
        <f>$C$16&amp;" - DMS Input"&amp;" - TNSP RFM - version "&amp;Intro!$M$4</f>
        <v>Central West Pipeline - DMS Input - TNSP RFM - version 1</v>
      </c>
      <c r="C2" s="1478"/>
      <c r="D2" s="175"/>
      <c r="E2" s="175"/>
      <c r="F2" s="175"/>
      <c r="G2" s="1479" t="s">
        <v>42</v>
      </c>
      <c r="H2" s="1480"/>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1"/>
      <c r="D14" s="1482"/>
      <c r="E14" s="1482"/>
      <c r="F14" s="1482"/>
      <c r="G14" s="1482"/>
      <c r="H14" s="1482"/>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3" t="s">
        <v>1085</v>
      </c>
      <c r="D15" s="1484"/>
      <c r="E15" s="1484"/>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5" t="s">
        <v>1084</v>
      </c>
      <c r="D16" s="1486"/>
      <c r="E16" s="1486"/>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4"/>
      <c r="D22" s="1475"/>
      <c r="E22" s="1475"/>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6"/>
      <c r="D23" s="1477"/>
      <c r="E23" s="1477"/>
      <c r="F23" s="1477"/>
      <c r="G23" s="1477"/>
      <c r="H23" s="1477"/>
      <c r="I23" s="1477"/>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8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8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8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8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8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8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8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8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8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8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8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8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8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8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8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8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800-000010000000}">
      <formula1>150</formula1>
    </dataValidation>
    <dataValidation type="list" allowBlank="1" showInputMessage="1" showErrorMessage="1" promptTitle="Trading Name" prompt="Use drop down to select business name. ABN will auto populate once business name is selected." sqref="C14:H14" xr:uid="{00000000-0002-0000-08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pageSetUpPr fitToPage="1"/>
  </sheetPr>
  <dimension ref="A1:AJ643"/>
  <sheetViews>
    <sheetView showGridLines="0" zoomScale="80" zoomScaleNormal="80"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8" t="str">
        <f>'DMS input'!$C$16&amp;" - RFM Input"&amp;" - TNSP RFM - version "&amp;Intro!$M$4</f>
        <v>Central West Pipeline - RFM Input - TNSP RFM - version 1</v>
      </c>
      <c r="F2" s="1478"/>
      <c r="G2" s="1497" t="s">
        <v>42</v>
      </c>
      <c r="H2" s="149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2009-10 and Opening Tax Asset Base for 2010-11 ($m Nominal)</v>
      </c>
      <c r="F5" s="1489"/>
      <c r="G5" s="1489"/>
      <c r="H5" s="1489"/>
      <c r="I5" s="1489"/>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66">
      <c r="A6" s="4"/>
      <c r="B6" s="4"/>
      <c r="C6" s="4"/>
      <c r="D6" s="4"/>
      <c r="E6" s="4"/>
      <c r="F6" s="1499" t="s">
        <v>47</v>
      </c>
      <c r="G6" s="1499"/>
      <c r="H6" s="1499"/>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500" t="s">
        <v>523</v>
      </c>
      <c r="G7" s="1501"/>
      <c r="H7" s="1501"/>
      <c r="I7" s="284">
        <v>33.469202260406348</v>
      </c>
      <c r="J7" s="284">
        <v>33.469202260406348</v>
      </c>
      <c r="K7" s="1385">
        <v>70.098590866578306</v>
      </c>
      <c r="L7" s="299">
        <v>80</v>
      </c>
      <c r="M7" s="1254">
        <v>0.3272949139240654</v>
      </c>
      <c r="N7" s="1254">
        <v>0.3272949139240654</v>
      </c>
      <c r="O7" s="1254">
        <v>-0.53568664524172771</v>
      </c>
      <c r="P7" s="1254">
        <v>-0.53568664524172771</v>
      </c>
      <c r="Q7" s="1254"/>
      <c r="R7" s="1254"/>
      <c r="S7" s="1254"/>
      <c r="T7" s="1254"/>
      <c r="U7" s="1254"/>
      <c r="V7" s="1254"/>
      <c r="W7" s="284">
        <v>14.566358250000006</v>
      </c>
      <c r="X7" s="296">
        <v>10.218764786318504</v>
      </c>
      <c r="Y7" s="299">
        <v>20</v>
      </c>
      <c r="Z7" s="207" t="s">
        <v>328</v>
      </c>
      <c r="AA7" s="200">
        <v>10</v>
      </c>
      <c r="AB7" s="170"/>
      <c r="AC7" s="170"/>
      <c r="AD7" s="170"/>
      <c r="AE7" s="170"/>
      <c r="AF7" s="170"/>
      <c r="AG7" s="170"/>
      <c r="AH7" s="170"/>
      <c r="AI7" s="170"/>
      <c r="AJ7" s="170"/>
    </row>
    <row r="8" spans="1:36" customFormat="1">
      <c r="A8" s="4"/>
      <c r="B8" s="4"/>
      <c r="C8" s="4"/>
      <c r="D8" s="4"/>
      <c r="E8" s="117" t="s">
        <v>1</v>
      </c>
      <c r="F8" s="1490" t="s">
        <v>524</v>
      </c>
      <c r="G8" s="1491"/>
      <c r="H8" s="1491"/>
      <c r="I8" s="285">
        <v>0</v>
      </c>
      <c r="J8" s="285">
        <v>0</v>
      </c>
      <c r="K8" s="231">
        <v>0</v>
      </c>
      <c r="L8" s="298">
        <v>35</v>
      </c>
      <c r="M8" s="1255">
        <v>0</v>
      </c>
      <c r="N8" s="1255">
        <v>0</v>
      </c>
      <c r="O8" s="1255">
        <v>0</v>
      </c>
      <c r="P8" s="1255">
        <v>0</v>
      </c>
      <c r="Q8" s="1255"/>
      <c r="R8" s="1255"/>
      <c r="S8" s="1255"/>
      <c r="T8" s="1255"/>
      <c r="U8" s="1255"/>
      <c r="V8" s="1255"/>
      <c r="W8" s="285">
        <v>0</v>
      </c>
      <c r="X8" s="297">
        <v>0</v>
      </c>
      <c r="Y8" s="298">
        <v>20</v>
      </c>
      <c r="Z8" s="2"/>
      <c r="AA8" s="2"/>
      <c r="AB8" s="170"/>
      <c r="AC8" s="170"/>
      <c r="AD8" s="170"/>
      <c r="AE8" s="170"/>
      <c r="AF8" s="170"/>
      <c r="AG8" s="170"/>
      <c r="AH8" s="170"/>
      <c r="AI8" s="170"/>
      <c r="AJ8" s="170"/>
    </row>
    <row r="9" spans="1:36" customFormat="1">
      <c r="A9" s="4"/>
      <c r="B9" s="4"/>
      <c r="C9" s="4"/>
      <c r="D9" s="4"/>
      <c r="E9" s="117" t="s">
        <v>3</v>
      </c>
      <c r="F9" s="1490" t="s">
        <v>1068</v>
      </c>
      <c r="G9" s="1491"/>
      <c r="H9" s="1491"/>
      <c r="I9" s="285">
        <v>0</v>
      </c>
      <c r="J9" s="285">
        <v>0</v>
      </c>
      <c r="K9" s="231">
        <v>0</v>
      </c>
      <c r="L9" s="297">
        <v>50</v>
      </c>
      <c r="M9" s="1255">
        <v>0</v>
      </c>
      <c r="N9" s="1255">
        <v>0</v>
      </c>
      <c r="O9" s="1255">
        <v>0</v>
      </c>
      <c r="P9" s="1255">
        <v>0</v>
      </c>
      <c r="Q9" s="1255"/>
      <c r="R9" s="1255"/>
      <c r="S9" s="1255"/>
      <c r="T9" s="1255"/>
      <c r="U9" s="1255"/>
      <c r="V9" s="1255"/>
      <c r="W9" s="285">
        <v>0</v>
      </c>
      <c r="X9" s="297">
        <v>0</v>
      </c>
      <c r="Y9" s="298">
        <v>20</v>
      </c>
      <c r="Z9" s="2"/>
      <c r="AA9" s="2"/>
      <c r="AB9" s="170"/>
      <c r="AC9" s="170"/>
      <c r="AD9" s="170"/>
      <c r="AE9" s="170"/>
      <c r="AF9" s="170"/>
      <c r="AG9" s="170"/>
      <c r="AH9" s="170"/>
      <c r="AI9" s="170"/>
      <c r="AJ9" s="170"/>
    </row>
    <row r="10" spans="1:36" customFormat="1">
      <c r="A10" s="4"/>
      <c r="B10" s="4"/>
      <c r="C10" s="4"/>
      <c r="D10" s="4"/>
      <c r="E10" s="117" t="s">
        <v>4</v>
      </c>
      <c r="F10" s="1490" t="s">
        <v>1069</v>
      </c>
      <c r="G10" s="1491"/>
      <c r="H10" s="1491"/>
      <c r="I10" s="285">
        <v>0.43946015032915664</v>
      </c>
      <c r="J10" s="285">
        <v>0.43946015032915664</v>
      </c>
      <c r="K10" s="231">
        <v>46.169966813206685</v>
      </c>
      <c r="L10" s="231">
        <v>50</v>
      </c>
      <c r="M10" s="1255">
        <v>0</v>
      </c>
      <c r="N10" s="1255">
        <v>0</v>
      </c>
      <c r="O10" s="1255">
        <v>-3.7577390148733625E-3</v>
      </c>
      <c r="P10" s="1255">
        <v>-3.7577390148733625E-3</v>
      </c>
      <c r="Q10" s="1256"/>
      <c r="R10" s="1256"/>
      <c r="S10" s="1256"/>
      <c r="T10" s="1256"/>
      <c r="U10" s="1256"/>
      <c r="V10" s="1256"/>
      <c r="W10" s="285">
        <v>0.33111504999999997</v>
      </c>
      <c r="X10" s="297">
        <v>16.182645427926033</v>
      </c>
      <c r="Y10" s="298">
        <v>20</v>
      </c>
      <c r="Z10" s="2"/>
      <c r="AA10" s="2"/>
      <c r="AB10" s="170"/>
      <c r="AC10" s="170"/>
      <c r="AD10" s="170"/>
      <c r="AE10" s="170"/>
      <c r="AF10" s="170"/>
      <c r="AG10" s="170"/>
      <c r="AH10" s="170"/>
      <c r="AI10" s="170"/>
      <c r="AJ10" s="170"/>
    </row>
    <row r="11" spans="1:36" customFormat="1">
      <c r="A11" s="4"/>
      <c r="B11" s="4"/>
      <c r="C11" s="4"/>
      <c r="D11" s="4"/>
      <c r="E11" s="117" t="s">
        <v>5</v>
      </c>
      <c r="F11" s="1490" t="s">
        <v>1070</v>
      </c>
      <c r="G11" s="1491"/>
      <c r="H11" s="1491"/>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0" t="s">
        <v>1071</v>
      </c>
      <c r="G12" s="1491"/>
      <c r="H12" s="1491"/>
      <c r="I12" s="285">
        <v>8.0331870981517634E-3</v>
      </c>
      <c r="J12" s="285">
        <v>8.0331870981517634E-3</v>
      </c>
      <c r="K12" s="231">
        <v>8</v>
      </c>
      <c r="L12" s="31">
        <v>15</v>
      </c>
      <c r="M12" s="1255">
        <v>0</v>
      </c>
      <c r="N12" s="1255">
        <v>0</v>
      </c>
      <c r="O12" s="1255">
        <v>6.7048145552679847E-4</v>
      </c>
      <c r="P12" s="1255">
        <v>6.7048145552679847E-4</v>
      </c>
      <c r="Q12" s="1256"/>
      <c r="R12" s="1256"/>
      <c r="S12" s="1256"/>
      <c r="T12" s="1256"/>
      <c r="U12" s="1256"/>
      <c r="V12" s="1256"/>
      <c r="W12" s="285">
        <v>3.2319000000000011E-3</v>
      </c>
      <c r="X12" s="297">
        <v>3</v>
      </c>
      <c r="Y12" s="298">
        <v>10</v>
      </c>
      <c r="Z12" s="2"/>
      <c r="AA12" s="2"/>
      <c r="AB12" s="170"/>
      <c r="AC12" s="170"/>
      <c r="AD12" s="170"/>
      <c r="AE12" s="170"/>
      <c r="AF12" s="170"/>
      <c r="AG12" s="170"/>
      <c r="AH12" s="170"/>
      <c r="AI12" s="170"/>
      <c r="AJ12" s="170"/>
    </row>
    <row r="13" spans="1:36" customFormat="1">
      <c r="A13" s="4"/>
      <c r="B13" s="4"/>
      <c r="C13" s="4"/>
      <c r="D13" s="4"/>
      <c r="E13" s="117" t="s">
        <v>7</v>
      </c>
      <c r="F13" s="1490" t="s">
        <v>1072</v>
      </c>
      <c r="G13" s="1491"/>
      <c r="H13" s="1491"/>
      <c r="I13" s="285">
        <v>0</v>
      </c>
      <c r="J13" s="285">
        <v>0</v>
      </c>
      <c r="K13" s="231">
        <v>0</v>
      </c>
      <c r="L13" s="31">
        <v>80</v>
      </c>
      <c r="M13" s="1255">
        <v>0</v>
      </c>
      <c r="N13" s="1255">
        <v>0</v>
      </c>
      <c r="O13" s="1255">
        <v>0</v>
      </c>
      <c r="P13" s="1255">
        <v>0</v>
      </c>
      <c r="Q13" s="1256"/>
      <c r="R13" s="1256"/>
      <c r="S13" s="1256"/>
      <c r="T13" s="1256"/>
      <c r="U13" s="1256"/>
      <c r="V13" s="1256"/>
      <c r="W13" s="285">
        <v>0</v>
      </c>
      <c r="X13" s="297">
        <v>0</v>
      </c>
      <c r="Y13" s="298">
        <v>40</v>
      </c>
      <c r="Z13" s="2"/>
      <c r="AA13" s="2"/>
      <c r="AB13" s="170"/>
      <c r="AC13" s="170"/>
      <c r="AD13" s="170"/>
      <c r="AE13" s="170"/>
      <c r="AF13" s="170"/>
      <c r="AG13" s="170"/>
      <c r="AH13" s="170"/>
      <c r="AI13" s="170"/>
      <c r="AJ13" s="170"/>
    </row>
    <row r="14" spans="1:36" customFormat="1">
      <c r="A14" s="4"/>
      <c r="B14" s="4"/>
      <c r="C14" s="4"/>
      <c r="D14" s="4"/>
      <c r="E14" s="117" t="s">
        <v>8</v>
      </c>
      <c r="F14" s="1490" t="s">
        <v>1073</v>
      </c>
      <c r="G14" s="1491"/>
      <c r="H14" s="1491"/>
      <c r="I14" s="285">
        <v>0</v>
      </c>
      <c r="J14" s="285">
        <v>0</v>
      </c>
      <c r="K14" s="231" t="s">
        <v>167</v>
      </c>
      <c r="L14" s="231" t="s">
        <v>1083</v>
      </c>
      <c r="M14" s="1255">
        <v>0</v>
      </c>
      <c r="N14" s="1255">
        <v>0</v>
      </c>
      <c r="O14" s="1255">
        <v>0</v>
      </c>
      <c r="P14" s="1255">
        <v>0</v>
      </c>
      <c r="Q14" s="1256"/>
      <c r="R14" s="1256"/>
      <c r="S14" s="1256"/>
      <c r="T14" s="1256"/>
      <c r="U14" s="1256"/>
      <c r="V14" s="1256"/>
      <c r="W14" s="285">
        <v>0</v>
      </c>
      <c r="X14" s="297" t="s">
        <v>167</v>
      </c>
      <c r="Y14" s="298" t="s">
        <v>1083</v>
      </c>
      <c r="Z14" s="2"/>
      <c r="AA14" s="2"/>
      <c r="AB14" s="170"/>
      <c r="AC14" s="170"/>
      <c r="AD14" s="170"/>
      <c r="AE14" s="170"/>
      <c r="AF14" s="170"/>
      <c r="AG14" s="170"/>
      <c r="AH14" s="170"/>
      <c r="AI14" s="170"/>
      <c r="AJ14" s="170"/>
    </row>
    <row r="15" spans="1:36" customFormat="1">
      <c r="A15" s="4"/>
      <c r="B15" s="4"/>
      <c r="C15" s="4"/>
      <c r="D15" s="4"/>
      <c r="E15" s="117" t="s">
        <v>9</v>
      </c>
      <c r="F15" s="1490" t="s">
        <v>1074</v>
      </c>
      <c r="G15" s="1491"/>
      <c r="H15" s="1491"/>
      <c r="I15" s="285">
        <v>0</v>
      </c>
      <c r="J15" s="285">
        <v>0</v>
      </c>
      <c r="K15" s="231">
        <v>0</v>
      </c>
      <c r="L15" s="231">
        <v>80</v>
      </c>
      <c r="M15" s="1255">
        <v>0</v>
      </c>
      <c r="N15" s="1255">
        <v>0</v>
      </c>
      <c r="O15" s="1255">
        <v>0</v>
      </c>
      <c r="P15" s="1255">
        <v>0</v>
      </c>
      <c r="Q15" s="1256"/>
      <c r="R15" s="1256"/>
      <c r="S15" s="1256"/>
      <c r="T15" s="1256"/>
      <c r="U15" s="1256"/>
      <c r="V15" s="1256"/>
      <c r="W15" s="285">
        <v>0</v>
      </c>
      <c r="X15" s="297">
        <v>0</v>
      </c>
      <c r="Y15" s="298">
        <v>20</v>
      </c>
      <c r="Z15" s="2"/>
      <c r="AA15" s="2"/>
      <c r="AB15" s="170"/>
      <c r="AC15" s="170"/>
      <c r="AD15" s="170"/>
      <c r="AE15" s="170"/>
      <c r="AF15" s="170"/>
      <c r="AG15" s="170"/>
      <c r="AH15" s="170"/>
      <c r="AI15" s="170"/>
      <c r="AJ15" s="170"/>
    </row>
    <row r="16" spans="1:36" customFormat="1">
      <c r="A16" s="4"/>
      <c r="B16" s="4"/>
      <c r="C16" s="4"/>
      <c r="D16" s="4"/>
      <c r="E16" s="117" t="s">
        <v>10</v>
      </c>
      <c r="F16" s="1490" t="s">
        <v>1075</v>
      </c>
      <c r="G16" s="1491"/>
      <c r="H16" s="1491"/>
      <c r="I16" s="285">
        <v>0</v>
      </c>
      <c r="J16" s="285">
        <v>0</v>
      </c>
      <c r="K16" s="231">
        <v>0</v>
      </c>
      <c r="L16" s="31">
        <v>5</v>
      </c>
      <c r="M16" s="1255">
        <v>0</v>
      </c>
      <c r="N16" s="1255">
        <v>0</v>
      </c>
      <c r="O16" s="1255">
        <v>0</v>
      </c>
      <c r="P16" s="1255">
        <v>0</v>
      </c>
      <c r="Q16" s="1256"/>
      <c r="R16" s="1256"/>
      <c r="S16" s="1256"/>
      <c r="T16" s="1256"/>
      <c r="U16" s="1256"/>
      <c r="V16" s="1256"/>
      <c r="W16" s="285">
        <v>0</v>
      </c>
      <c r="X16" s="297">
        <v>0</v>
      </c>
      <c r="Y16" s="298">
        <v>4</v>
      </c>
      <c r="Z16" s="2"/>
      <c r="AA16" s="2"/>
      <c r="AB16" s="170"/>
      <c r="AC16" s="170"/>
      <c r="AD16" s="170"/>
      <c r="AE16" s="170"/>
      <c r="AF16" s="170"/>
      <c r="AG16" s="170"/>
      <c r="AH16" s="170"/>
      <c r="AI16" s="170"/>
      <c r="AJ16" s="170"/>
    </row>
    <row r="17" spans="1:36" customFormat="1">
      <c r="A17" s="4"/>
      <c r="B17" s="4"/>
      <c r="C17" s="4"/>
      <c r="D17" s="4"/>
      <c r="E17" s="117" t="s">
        <v>11</v>
      </c>
      <c r="F17" s="1490" t="s">
        <v>1076</v>
      </c>
      <c r="G17" s="1491"/>
      <c r="H17" s="1491"/>
      <c r="I17" s="285">
        <v>0</v>
      </c>
      <c r="J17" s="285">
        <v>0</v>
      </c>
      <c r="K17" s="1383">
        <v>0</v>
      </c>
      <c r="L17" s="1383">
        <v>0</v>
      </c>
      <c r="M17" s="1255">
        <v>0</v>
      </c>
      <c r="N17" s="1255">
        <v>0</v>
      </c>
      <c r="O17" s="1255">
        <v>0</v>
      </c>
      <c r="P17" s="1255">
        <v>0</v>
      </c>
      <c r="Q17" s="1256"/>
      <c r="R17" s="1256"/>
      <c r="S17" s="1256"/>
      <c r="T17" s="1256"/>
      <c r="U17" s="1256"/>
      <c r="V17" s="1256"/>
      <c r="W17" s="285">
        <v>0</v>
      </c>
      <c r="X17" s="297">
        <v>0</v>
      </c>
      <c r="Y17" s="1384">
        <v>0</v>
      </c>
      <c r="Z17" s="2"/>
      <c r="AA17" s="2"/>
      <c r="AB17" s="170"/>
      <c r="AC17" s="170"/>
      <c r="AD17" s="170"/>
      <c r="AE17" s="170"/>
      <c r="AF17" s="170"/>
      <c r="AG17" s="170"/>
      <c r="AH17" s="170"/>
      <c r="AI17" s="170"/>
      <c r="AJ17" s="170"/>
    </row>
    <row r="18" spans="1:36" customFormat="1">
      <c r="A18" s="4"/>
      <c r="B18" s="4"/>
      <c r="C18" s="4"/>
      <c r="D18" s="4"/>
      <c r="E18" s="117" t="s">
        <v>12</v>
      </c>
      <c r="F18" s="1490" t="s">
        <v>1077</v>
      </c>
      <c r="G18" s="1491"/>
      <c r="H18" s="1491"/>
      <c r="I18" s="285">
        <v>5.130171669312672E-2</v>
      </c>
      <c r="J18" s="285">
        <v>5.130171669312672E-2</v>
      </c>
      <c r="K18" s="231">
        <v>3.9093560237865641</v>
      </c>
      <c r="L18" s="31">
        <v>5</v>
      </c>
      <c r="M18" s="1255">
        <v>1.9897289153199171E-2</v>
      </c>
      <c r="N18" s="1255">
        <v>1.9897289153199171E-2</v>
      </c>
      <c r="O18" s="1255">
        <v>1.1199362905109801E-2</v>
      </c>
      <c r="P18" s="1255">
        <v>1.1199362905109801E-2</v>
      </c>
      <c r="Q18" s="1256"/>
      <c r="R18" s="1256"/>
      <c r="S18" s="1256"/>
      <c r="T18" s="1256"/>
      <c r="U18" s="1256"/>
      <c r="V18" s="1256"/>
      <c r="W18" s="285">
        <v>5.5656811501243936E-2</v>
      </c>
      <c r="X18" s="297">
        <v>3.9358261096430307</v>
      </c>
      <c r="Y18" s="298">
        <v>5</v>
      </c>
      <c r="Z18" s="2"/>
      <c r="AA18" s="2"/>
      <c r="AB18" s="170"/>
      <c r="AC18" s="170"/>
      <c r="AD18" s="170"/>
      <c r="AE18" s="170"/>
      <c r="AF18" s="170"/>
      <c r="AG18" s="170"/>
      <c r="AH18" s="170"/>
      <c r="AI18" s="170"/>
      <c r="AJ18" s="170"/>
    </row>
    <row r="19" spans="1:36" customFormat="1">
      <c r="A19" s="4"/>
      <c r="B19" s="4"/>
      <c r="C19" s="4"/>
      <c r="D19" s="4"/>
      <c r="E19" s="117" t="s">
        <v>13</v>
      </c>
      <c r="F19" s="1490" t="s">
        <v>1078</v>
      </c>
      <c r="G19" s="1491"/>
      <c r="H19" s="1491"/>
      <c r="I19" s="285">
        <v>0</v>
      </c>
      <c r="J19" s="285">
        <v>0</v>
      </c>
      <c r="K19" s="1383"/>
      <c r="L19" s="1383">
        <v>5</v>
      </c>
      <c r="M19" s="1255">
        <v>0</v>
      </c>
      <c r="N19" s="1255">
        <v>0</v>
      </c>
      <c r="O19" s="1255">
        <v>0</v>
      </c>
      <c r="P19" s="1255">
        <v>0</v>
      </c>
      <c r="Q19" s="1256"/>
      <c r="R19" s="1256"/>
      <c r="S19" s="1256"/>
      <c r="T19" s="1256"/>
      <c r="U19" s="1256"/>
      <c r="V19" s="1256"/>
      <c r="W19" s="285">
        <v>0</v>
      </c>
      <c r="X19" s="297">
        <v>0</v>
      </c>
      <c r="Y19" s="1384">
        <v>5</v>
      </c>
      <c r="Z19" s="2"/>
      <c r="AA19" s="2"/>
      <c r="AB19" s="170"/>
      <c r="AC19" s="170"/>
      <c r="AD19" s="170"/>
      <c r="AE19" s="170"/>
      <c r="AF19" s="170"/>
      <c r="AG19" s="170"/>
      <c r="AH19" s="170"/>
      <c r="AI19" s="170"/>
      <c r="AJ19" s="170"/>
    </row>
    <row r="20" spans="1:36" customFormat="1">
      <c r="A20" s="4"/>
      <c r="B20" s="4"/>
      <c r="C20" s="4"/>
      <c r="D20" s="4"/>
      <c r="E20" s="117" t="s">
        <v>14</v>
      </c>
      <c r="F20" s="1490" t="s">
        <v>1079</v>
      </c>
      <c r="G20" s="1491"/>
      <c r="H20" s="1491"/>
      <c r="I20" s="285">
        <v>2.6401759935098994</v>
      </c>
      <c r="J20" s="285">
        <v>2.6401759935098994</v>
      </c>
      <c r="K20" s="231">
        <v>10.000027563773047</v>
      </c>
      <c r="L20" s="31">
        <v>12</v>
      </c>
      <c r="M20" s="1255">
        <v>0</v>
      </c>
      <c r="N20" s="1255">
        <v>0</v>
      </c>
      <c r="O20" s="1255">
        <v>0.1708941901102545</v>
      </c>
      <c r="P20" s="1255">
        <v>0.1708941901102545</v>
      </c>
      <c r="Q20" s="1256"/>
      <c r="R20" s="1256"/>
      <c r="S20" s="1256"/>
      <c r="T20" s="1256"/>
      <c r="U20" s="1256"/>
      <c r="V20" s="1256"/>
      <c r="W20" s="285">
        <v>1.6114047680000005</v>
      </c>
      <c r="X20" s="297">
        <v>3.0000354374029006</v>
      </c>
      <c r="Y20" s="298">
        <v>5</v>
      </c>
      <c r="Z20" s="2"/>
      <c r="AA20" s="2"/>
      <c r="AB20" s="170"/>
      <c r="AC20" s="170"/>
      <c r="AD20" s="170"/>
      <c r="AE20" s="170"/>
      <c r="AF20" s="170"/>
      <c r="AG20" s="170"/>
      <c r="AH20" s="170"/>
      <c r="AI20" s="170"/>
      <c r="AJ20" s="170"/>
    </row>
    <row r="21" spans="1:36" customFormat="1">
      <c r="A21" s="4"/>
      <c r="B21" s="4"/>
      <c r="C21" s="4"/>
      <c r="D21" s="4"/>
      <c r="E21" s="117" t="s">
        <v>15</v>
      </c>
      <c r="F21" s="1490"/>
      <c r="G21" s="1491"/>
      <c r="H21" s="1491"/>
      <c r="I21" s="44"/>
      <c r="J21" s="44"/>
      <c r="K21" s="31"/>
      <c r="L21" s="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0"/>
      <c r="G22" s="1491"/>
      <c r="H22" s="1491"/>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0"/>
      <c r="G23" s="1491"/>
      <c r="H23" s="1491"/>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0"/>
      <c r="G24" s="1491"/>
      <c r="H24" s="1491"/>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0"/>
      <c r="G25" s="1491"/>
      <c r="H25" s="1491"/>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0"/>
      <c r="G26" s="1491"/>
      <c r="H26" s="1491"/>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0"/>
      <c r="G27" s="1491"/>
      <c r="H27" s="1491"/>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0"/>
      <c r="G28" s="1491"/>
      <c r="H28" s="1491"/>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0"/>
      <c r="G29" s="1491"/>
      <c r="H29" s="1491"/>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0"/>
      <c r="G30" s="1491"/>
      <c r="H30" s="1491"/>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0"/>
      <c r="G31" s="1491"/>
      <c r="H31" s="1491"/>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0"/>
      <c r="G32" s="1491"/>
      <c r="H32" s="1491"/>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0"/>
      <c r="G33" s="1491"/>
      <c r="H33" s="1491"/>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0"/>
      <c r="G34" s="1491"/>
      <c r="H34" s="1491"/>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0"/>
      <c r="G35" s="1491"/>
      <c r="H35" s="1491"/>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0"/>
      <c r="G36" s="1491"/>
      <c r="H36" s="1491"/>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0"/>
      <c r="G37" s="1491"/>
      <c r="H37" s="1491"/>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0"/>
      <c r="G38" s="1491"/>
      <c r="H38" s="1491"/>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0"/>
      <c r="G39" s="1491"/>
      <c r="H39" s="1491"/>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0"/>
      <c r="G40" s="1491"/>
      <c r="H40" s="1491"/>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0"/>
      <c r="G41" s="1491"/>
      <c r="H41" s="1491"/>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0"/>
      <c r="G42" s="1491"/>
      <c r="H42" s="1491"/>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0"/>
      <c r="G43" s="1491"/>
      <c r="H43" s="1491"/>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0"/>
      <c r="G44" s="1491"/>
      <c r="H44" s="1491"/>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0"/>
      <c r="G45" s="1491"/>
      <c r="H45" s="1491"/>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0"/>
      <c r="G46" s="1491"/>
      <c r="H46" s="1491"/>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0"/>
      <c r="G47" s="1491"/>
      <c r="H47" s="1491"/>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0"/>
      <c r="G48" s="1491"/>
      <c r="H48" s="1491"/>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0"/>
      <c r="G49" s="1491"/>
      <c r="H49" s="1491"/>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0"/>
      <c r="G50" s="1491"/>
      <c r="H50" s="1491"/>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0"/>
      <c r="G51" s="1491"/>
      <c r="H51" s="1491"/>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0"/>
      <c r="G52" s="1491"/>
      <c r="H52" s="1491"/>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5" t="s">
        <v>514</v>
      </c>
      <c r="G53" s="1496"/>
      <c r="H53" s="1496"/>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0" t="s">
        <v>515</v>
      </c>
      <c r="G54" s="1491"/>
      <c r="H54" s="1491"/>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0" t="s">
        <v>516</v>
      </c>
      <c r="G55" s="1491"/>
      <c r="H55" s="1491"/>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2" t="s">
        <v>140</v>
      </c>
      <c r="G56" s="1493"/>
      <c r="H56" s="1493"/>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36.608173308036676</v>
      </c>
      <c r="J57" s="173">
        <f>SUM(J7:J56)</f>
        <v>36.608173308036676</v>
      </c>
      <c r="K57" s="42"/>
      <c r="L57" s="22"/>
      <c r="M57" s="169">
        <f t="shared" ref="M57:V57" si="0">SUM(M7:M56)</f>
        <v>0.34719220307726456</v>
      </c>
      <c r="N57" s="173">
        <f t="shared" si="0"/>
        <v>0.34719220307726456</v>
      </c>
      <c r="O57" s="173">
        <f t="shared" si="0"/>
        <v>-0.35668034978570984</v>
      </c>
      <c r="P57" s="173">
        <f t="shared" si="0"/>
        <v>-0.35668034978570984</v>
      </c>
      <c r="Q57" s="173">
        <f t="shared" si="0"/>
        <v>0</v>
      </c>
      <c r="R57" s="173">
        <f t="shared" si="0"/>
        <v>0</v>
      </c>
      <c r="S57" s="173">
        <f t="shared" si="0"/>
        <v>0</v>
      </c>
      <c r="T57" s="173">
        <f t="shared" si="0"/>
        <v>0</v>
      </c>
      <c r="U57" s="173">
        <f t="shared" si="0"/>
        <v>0</v>
      </c>
      <c r="V57" s="173">
        <f t="shared" si="0"/>
        <v>0</v>
      </c>
      <c r="W57" s="173">
        <f>SUM(W7:W56)</f>
        <v>16.567766779501248</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8" t="s">
        <v>133</v>
      </c>
      <c r="F59" s="1488"/>
      <c r="G59" s="148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2009-10</v>
      </c>
      <c r="H60" s="208" t="str">
        <f>Z7</f>
        <v>2010-11</v>
      </c>
      <c r="I60" s="208" t="str">
        <f>IF(LEN(H60)&gt;4,CONCATENATE(LEFT(H60,4)+1&amp;"-"&amp;IF(H60&gt;"2007-08",,"0")&amp;RIGHT(H60,2)+1),H60+1)</f>
        <v>2011-12</v>
      </c>
      <c r="J60" s="208" t="str">
        <f t="shared" ref="J60:Q60" si="1">IF(LEN(I60)&gt;4,CONCATENATE(LEFT(I60,4)+1&amp;"-"&amp;IF(I60&gt;"2007-08",,"0")&amp;RIGHT(I60,2)+1),I60+1)</f>
        <v>2012-13</v>
      </c>
      <c r="K60" s="208" t="str">
        <f t="shared" si="1"/>
        <v>2013-14</v>
      </c>
      <c r="L60" s="208" t="str">
        <f t="shared" si="1"/>
        <v>2014-15</v>
      </c>
      <c r="M60" s="208" t="str">
        <f t="shared" si="1"/>
        <v>2015-16</v>
      </c>
      <c r="N60" s="208" t="str">
        <f t="shared" si="1"/>
        <v>2016-17</v>
      </c>
      <c r="O60" s="208" t="str">
        <f t="shared" si="1"/>
        <v>2017-18</v>
      </c>
      <c r="P60" s="208" t="str">
        <f t="shared" si="1"/>
        <v>2018-19</v>
      </c>
      <c r="Q60" s="208" t="str">
        <f t="shared" si="1"/>
        <v>2019-20</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0.31096299999999999</v>
      </c>
      <c r="H61" s="1259">
        <v>0</v>
      </c>
      <c r="I61" s="1259">
        <v>0</v>
      </c>
      <c r="J61" s="1259">
        <v>0.33322129</v>
      </c>
      <c r="K61" s="1259">
        <v>0</v>
      </c>
      <c r="L61" s="1259">
        <v>0.1326088</v>
      </c>
      <c r="M61" s="1259">
        <v>0</v>
      </c>
      <c r="N61" s="1259">
        <v>0</v>
      </c>
      <c r="O61" s="1259">
        <v>0</v>
      </c>
      <c r="P61" s="1259">
        <v>0</v>
      </c>
      <c r="Q61" s="1259">
        <v>0</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0</v>
      </c>
      <c r="H62" s="1256">
        <v>0</v>
      </c>
      <c r="I62" s="1256">
        <v>0</v>
      </c>
      <c r="J62" s="1256">
        <v>0</v>
      </c>
      <c r="K62" s="1256">
        <v>0</v>
      </c>
      <c r="L62" s="1256">
        <v>0</v>
      </c>
      <c r="M62" s="1256">
        <v>0</v>
      </c>
      <c r="N62" s="1256">
        <v>0</v>
      </c>
      <c r="O62" s="1256">
        <v>0</v>
      </c>
      <c r="P62" s="1256">
        <v>0</v>
      </c>
      <c r="Q62" s="1256">
        <v>0</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0</v>
      </c>
      <c r="M63" s="1256">
        <v>0</v>
      </c>
      <c r="N63" s="1256">
        <v>0</v>
      </c>
      <c r="O63" s="1256">
        <v>0</v>
      </c>
      <c r="P63" s="1256">
        <v>0</v>
      </c>
      <c r="Q63" s="1256">
        <v>0</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0</v>
      </c>
      <c r="J64" s="1256">
        <v>0</v>
      </c>
      <c r="K64" s="1256">
        <v>0</v>
      </c>
      <c r="L64" s="1256">
        <v>0</v>
      </c>
      <c r="M64" s="1256">
        <v>0</v>
      </c>
      <c r="N64" s="1256">
        <v>0</v>
      </c>
      <c r="O64" s="1256">
        <v>0</v>
      </c>
      <c r="P64" s="1256">
        <v>0</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0.27356029999999998</v>
      </c>
      <c r="J65" s="1256">
        <v>0</v>
      </c>
      <c r="K65" s="1256">
        <v>0</v>
      </c>
      <c r="L65" s="1256">
        <v>0</v>
      </c>
      <c r="M65" s="1256">
        <v>0</v>
      </c>
      <c r="N65" s="1256">
        <v>0</v>
      </c>
      <c r="O65" s="1256">
        <v>0</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v>
      </c>
      <c r="I66" s="1256">
        <v>0</v>
      </c>
      <c r="J66" s="1256">
        <v>0</v>
      </c>
      <c r="K66" s="1256">
        <v>0</v>
      </c>
      <c r="L66" s="1256">
        <v>0</v>
      </c>
      <c r="M66" s="1256">
        <v>0</v>
      </c>
      <c r="N66" s="1256">
        <v>0.11472373</v>
      </c>
      <c r="O66" s="1256">
        <v>5.659637E-2</v>
      </c>
      <c r="P66" s="1256">
        <v>9.4760360000000002E-2</v>
      </c>
      <c r="Q66" s="1256">
        <v>0</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0</v>
      </c>
      <c r="N67" s="1256">
        <v>0</v>
      </c>
      <c r="O67" s="1256">
        <v>0</v>
      </c>
      <c r="P67" s="1256">
        <v>0</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0</v>
      </c>
      <c r="H69" s="1256">
        <v>0</v>
      </c>
      <c r="I69" s="1256">
        <v>0</v>
      </c>
      <c r="J69" s="1256">
        <v>0</v>
      </c>
      <c r="K69" s="1256">
        <v>0</v>
      </c>
      <c r="L69" s="1256">
        <v>0</v>
      </c>
      <c r="M69" s="1256">
        <v>0</v>
      </c>
      <c r="N69" s="1256">
        <v>0</v>
      </c>
      <c r="O69" s="1256">
        <v>0</v>
      </c>
      <c r="P69" s="1256">
        <v>0</v>
      </c>
      <c r="Q69" s="1256">
        <v>0</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0</v>
      </c>
      <c r="J70" s="1256">
        <v>0</v>
      </c>
      <c r="K70" s="1256">
        <v>0</v>
      </c>
      <c r="L70" s="1256">
        <v>0</v>
      </c>
      <c r="M70" s="1256">
        <v>0</v>
      </c>
      <c r="N70" s="1256">
        <v>0</v>
      </c>
      <c r="O70" s="1256">
        <v>0</v>
      </c>
      <c r="P70" s="1256">
        <v>0</v>
      </c>
      <c r="Q70" s="1256">
        <v>1.9144029999999999E-2</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0</v>
      </c>
      <c r="I71" s="1256">
        <v>0</v>
      </c>
      <c r="J71" s="1256">
        <v>0</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1.8904420642423345E-2</v>
      </c>
      <c r="H72" s="1256">
        <v>8.0636482686961011E-2</v>
      </c>
      <c r="I72" s="1256">
        <v>3.7165478262563743E-2</v>
      </c>
      <c r="J72" s="1256">
        <v>2.4187105983657239E-2</v>
      </c>
      <c r="K72" s="1256">
        <v>2.01748197378461E-2</v>
      </c>
      <c r="L72" s="1256">
        <v>9.6552613540674667E-2</v>
      </c>
      <c r="M72" s="1256">
        <v>0.11756031904998412</v>
      </c>
      <c r="N72" s="1256">
        <v>5.1486013272649019E-2</v>
      </c>
      <c r="O72" s="1256">
        <v>8.5783819663965435E-2</v>
      </c>
      <c r="P72" s="1256">
        <v>0.11858382819357123</v>
      </c>
      <c r="Q72" s="1256">
        <v>0.10587681532853621</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8.5842237822920997E-2</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0</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0.32986742064242336</v>
      </c>
      <c r="H111" s="169">
        <f t="shared" ref="H111:Q111" si="2">SUM(H61:H110)</f>
        <v>8.0636482686961011E-2</v>
      </c>
      <c r="I111" s="169">
        <f t="shared" si="2"/>
        <v>0.3107257782625637</v>
      </c>
      <c r="J111" s="169">
        <f t="shared" si="2"/>
        <v>0.35740839598365726</v>
      </c>
      <c r="K111" s="169">
        <f t="shared" si="2"/>
        <v>2.01748197378461E-2</v>
      </c>
      <c r="L111" s="169">
        <f t="shared" si="2"/>
        <v>0.22916141354067465</v>
      </c>
      <c r="M111" s="169">
        <f t="shared" si="2"/>
        <v>0.11756031904998412</v>
      </c>
      <c r="N111" s="169">
        <f t="shared" si="2"/>
        <v>0.16620974327264901</v>
      </c>
      <c r="O111" s="169">
        <f t="shared" si="2"/>
        <v>0.14238018966396543</v>
      </c>
      <c r="P111" s="169">
        <f t="shared" si="2"/>
        <v>0.21334418819357123</v>
      </c>
      <c r="Q111" s="169">
        <f t="shared" si="2"/>
        <v>0.21086308315145721</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2.1783318341857529</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8" t="s">
        <v>44</v>
      </c>
      <c r="F113" s="1488"/>
      <c r="G113" s="148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2009-10</v>
      </c>
      <c r="H114" s="138" t="str">
        <f t="shared" ref="H114:Q114" si="3">H$60</f>
        <v>2010-11</v>
      </c>
      <c r="I114" s="138" t="str">
        <f t="shared" si="3"/>
        <v>2011-12</v>
      </c>
      <c r="J114" s="138" t="str">
        <f t="shared" si="3"/>
        <v>2012-13</v>
      </c>
      <c r="K114" s="138" t="str">
        <f t="shared" si="3"/>
        <v>2013-14</v>
      </c>
      <c r="L114" s="138" t="str">
        <f t="shared" si="3"/>
        <v>2014-15</v>
      </c>
      <c r="M114" s="138" t="str">
        <f t="shared" si="3"/>
        <v>2015-16</v>
      </c>
      <c r="N114" s="138" t="str">
        <f t="shared" si="3"/>
        <v>2016-17</v>
      </c>
      <c r="O114" s="138" t="str">
        <f t="shared" si="3"/>
        <v>2017-18</v>
      </c>
      <c r="P114" s="138" t="str">
        <f t="shared" si="3"/>
        <v>2018-19</v>
      </c>
      <c r="Q114" s="138" t="str">
        <f t="shared" si="3"/>
        <v>2019-20</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c r="H115" s="1259"/>
      <c r="I115" s="1259"/>
      <c r="J115" s="1259"/>
      <c r="K115" s="1259"/>
      <c r="L115" s="1259"/>
      <c r="M115" s="1259"/>
      <c r="N115" s="1259"/>
      <c r="O115" s="1259"/>
      <c r="P115" s="1259"/>
      <c r="Q115" s="1259"/>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c r="H116" s="1256"/>
      <c r="I116" s="1256"/>
      <c r="J116" s="1256"/>
      <c r="K116" s="1256"/>
      <c r="L116" s="1256"/>
      <c r="M116" s="1256"/>
      <c r="N116" s="1256"/>
      <c r="O116" s="1256"/>
      <c r="P116" s="1256"/>
      <c r="Q116" s="1256"/>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c r="H117" s="1256"/>
      <c r="I117" s="1256"/>
      <c r="J117" s="1256"/>
      <c r="K117" s="1256"/>
      <c r="L117" s="1256"/>
      <c r="M117" s="1256"/>
      <c r="N117" s="1256"/>
      <c r="O117" s="1256"/>
      <c r="P117" s="1256"/>
      <c r="Q117" s="1256"/>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c r="H118" s="1256"/>
      <c r="I118" s="1256"/>
      <c r="J118" s="1256"/>
      <c r="K118" s="1256"/>
      <c r="L118" s="1256"/>
      <c r="M118" s="1256"/>
      <c r="N118" s="1256"/>
      <c r="O118" s="1256"/>
      <c r="P118" s="1256"/>
      <c r="Q118" s="1256"/>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c r="H119" s="1256"/>
      <c r="I119" s="1256"/>
      <c r="J119" s="1256"/>
      <c r="K119" s="1256"/>
      <c r="L119" s="1256"/>
      <c r="M119" s="1256"/>
      <c r="N119" s="1256"/>
      <c r="O119" s="1256"/>
      <c r="P119" s="1256"/>
      <c r="Q119" s="1256"/>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c r="H120" s="1256"/>
      <c r="I120" s="1256"/>
      <c r="J120" s="1256"/>
      <c r="K120" s="1256"/>
      <c r="L120" s="1256"/>
      <c r="M120" s="1256"/>
      <c r="N120" s="1256"/>
      <c r="O120" s="1256"/>
      <c r="P120" s="1256"/>
      <c r="Q120" s="1256"/>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c r="H121" s="1256"/>
      <c r="I121" s="1256"/>
      <c r="J121" s="1256"/>
      <c r="K121" s="1256"/>
      <c r="L121" s="1256"/>
      <c r="M121" s="1256"/>
      <c r="N121" s="1256"/>
      <c r="O121" s="1256"/>
      <c r="P121" s="1256"/>
      <c r="Q121" s="1256"/>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c r="H122" s="1256"/>
      <c r="I122" s="1256"/>
      <c r="J122" s="1256"/>
      <c r="K122" s="1256"/>
      <c r="L122" s="1256"/>
      <c r="M122" s="1256"/>
      <c r="N122" s="1256"/>
      <c r="O122" s="1256"/>
      <c r="P122" s="1256"/>
      <c r="Q122" s="1256"/>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c r="H123" s="1256"/>
      <c r="I123" s="1256"/>
      <c r="J123" s="1256"/>
      <c r="K123" s="1256"/>
      <c r="L123" s="1256"/>
      <c r="M123" s="1256"/>
      <c r="N123" s="1256"/>
      <c r="O123" s="1256"/>
      <c r="P123" s="1256"/>
      <c r="Q123" s="1256"/>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c r="H124" s="1256"/>
      <c r="I124" s="1256"/>
      <c r="J124" s="1256"/>
      <c r="K124" s="1256"/>
      <c r="L124" s="1256"/>
      <c r="M124" s="1256"/>
      <c r="N124" s="1256"/>
      <c r="O124" s="1256"/>
      <c r="P124" s="1256"/>
      <c r="Q124" s="1256"/>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c r="H125" s="1256"/>
      <c r="I125" s="1256"/>
      <c r="J125" s="1256"/>
      <c r="K125" s="1256"/>
      <c r="L125" s="1256"/>
      <c r="M125" s="1256"/>
      <c r="N125" s="1256"/>
      <c r="O125" s="1256"/>
      <c r="P125" s="1256"/>
      <c r="Q125" s="1256"/>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c r="H126" s="1256">
        <v>1.8205622190642617E-4</v>
      </c>
      <c r="I126" s="1256">
        <v>1.8902945283734653E-3</v>
      </c>
      <c r="J126" s="1256">
        <v>9.4525552339914747E-4</v>
      </c>
      <c r="K126" s="1256">
        <v>9.6417408415462016E-4</v>
      </c>
      <c r="L126" s="1256">
        <v>1.1432075117234458E-3</v>
      </c>
      <c r="M126" s="1256">
        <v>5.0897964450566445E-4</v>
      </c>
      <c r="N126" s="1256">
        <v>1.0158150949844964E-3</v>
      </c>
      <c r="O126" s="1256">
        <v>1.4440451712723304E-4</v>
      </c>
      <c r="P126" s="1256">
        <v>5.164382761774259E-4</v>
      </c>
      <c r="Q126" s="1256">
        <v>5.7892763964030266E-4</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c r="H128" s="1256"/>
      <c r="I128" s="1256"/>
      <c r="J128" s="1256"/>
      <c r="K128" s="1256"/>
      <c r="L128" s="1256"/>
      <c r="M128" s="1256"/>
      <c r="N128" s="1256"/>
      <c r="O128" s="1256"/>
      <c r="P128" s="1256"/>
      <c r="Q128" s="1256"/>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4">SUM(H115:H164)</f>
        <v>1.8205622190642617E-4</v>
      </c>
      <c r="I165" s="169">
        <f t="shared" si="4"/>
        <v>1.8902945283734653E-3</v>
      </c>
      <c r="J165" s="169">
        <f t="shared" si="4"/>
        <v>9.4525552339914747E-4</v>
      </c>
      <c r="K165" s="169">
        <f t="shared" si="4"/>
        <v>9.6417408415462016E-4</v>
      </c>
      <c r="L165" s="169">
        <f t="shared" si="4"/>
        <v>1.1432075117234458E-3</v>
      </c>
      <c r="M165" s="169">
        <f t="shared" si="4"/>
        <v>5.0897964450566445E-4</v>
      </c>
      <c r="N165" s="169">
        <f t="shared" si="4"/>
        <v>1.0158150949844964E-3</v>
      </c>
      <c r="O165" s="169">
        <f t="shared" si="4"/>
        <v>1.4440451712723304E-4</v>
      </c>
      <c r="P165" s="169">
        <f t="shared" si="4"/>
        <v>5.164382761774259E-4</v>
      </c>
      <c r="Q165" s="169">
        <f t="shared" si="4"/>
        <v>5.7892763964030266E-4</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7.8895530419922279E-3</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8" t="str">
        <f>"Actual Net Capital Expenditure – As Incurred ($m Real "&amp;IF(LEN($Z$7)&gt;4,CONCATENATE(LEFT($Z$7, 4)-1 &amp;"-" &amp;IF($Z$7&gt;"2009-10",,"0") &amp;RIGHT($Z$7,2)-1),$Z$7-1)&amp;")"</f>
        <v>Actual Net Capital Expenditure – As Incurred ($m Real 2009-10)</v>
      </c>
      <c r="F167" s="1488"/>
      <c r="G167" s="148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2009-10</v>
      </c>
      <c r="H168" s="138" t="str">
        <f t="shared" ref="H168:Q168" si="5">H$60</f>
        <v>2010-11</v>
      </c>
      <c r="I168" s="138" t="str">
        <f t="shared" si="5"/>
        <v>2011-12</v>
      </c>
      <c r="J168" s="138" t="str">
        <f t="shared" si="5"/>
        <v>2012-13</v>
      </c>
      <c r="K168" s="138" t="str">
        <f t="shared" si="5"/>
        <v>2013-14</v>
      </c>
      <c r="L168" s="138" t="str">
        <f t="shared" si="5"/>
        <v>2014-15</v>
      </c>
      <c r="M168" s="138" t="str">
        <f t="shared" si="5"/>
        <v>2015-16</v>
      </c>
      <c r="N168" s="138" t="str">
        <f t="shared" si="5"/>
        <v>2016-17</v>
      </c>
      <c r="O168" s="138" t="str">
        <f t="shared" si="5"/>
        <v>2017-18</v>
      </c>
      <c r="P168" s="138" t="str">
        <f t="shared" si="5"/>
        <v>2018-19</v>
      </c>
      <c r="Q168" s="138" t="str">
        <f t="shared" si="5"/>
        <v>2019-20</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0.31096299999999999</v>
      </c>
      <c r="H169" s="1269">
        <f t="shared" si="6"/>
        <v>0</v>
      </c>
      <c r="I169" s="1269">
        <f t="shared" si="6"/>
        <v>0</v>
      </c>
      <c r="J169" s="1269">
        <f t="shared" si="6"/>
        <v>0.30846981945676272</v>
      </c>
      <c r="K169" s="1269">
        <f t="shared" si="6"/>
        <v>0</v>
      </c>
      <c r="L169" s="1269">
        <f t="shared" si="6"/>
        <v>0.11638313075339868</v>
      </c>
      <c r="M169" s="1269">
        <f t="shared" si="6"/>
        <v>0</v>
      </c>
      <c r="N169" s="1269">
        <f t="shared" si="6"/>
        <v>0</v>
      </c>
      <c r="O169" s="1269">
        <f t="shared" si="6"/>
        <v>0</v>
      </c>
      <c r="P169" s="1269">
        <f t="shared" si="6"/>
        <v>0</v>
      </c>
      <c r="Q169" s="1269">
        <f t="shared" si="6"/>
        <v>0</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0</v>
      </c>
      <c r="H170" s="1271">
        <f t="shared" si="7"/>
        <v>0</v>
      </c>
      <c r="I170" s="1271">
        <f t="shared" si="7"/>
        <v>0</v>
      </c>
      <c r="J170" s="1271">
        <f t="shared" si="7"/>
        <v>0</v>
      </c>
      <c r="K170" s="1271">
        <f t="shared" si="7"/>
        <v>0</v>
      </c>
      <c r="L170" s="1271">
        <f t="shared" si="7"/>
        <v>0</v>
      </c>
      <c r="M170" s="1271">
        <f t="shared" si="7"/>
        <v>0</v>
      </c>
      <c r="N170" s="1271">
        <f t="shared" si="7"/>
        <v>0</v>
      </c>
      <c r="O170" s="1271">
        <f t="shared" si="7"/>
        <v>0</v>
      </c>
      <c r="P170" s="1271">
        <f t="shared" si="7"/>
        <v>0</v>
      </c>
      <c r="Q170" s="1271">
        <f t="shared" si="7"/>
        <v>0</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0</v>
      </c>
      <c r="M171" s="1271">
        <f t="shared" si="8"/>
        <v>0</v>
      </c>
      <c r="N171" s="1271">
        <f t="shared" si="8"/>
        <v>0</v>
      </c>
      <c r="O171" s="1271">
        <f t="shared" si="8"/>
        <v>0</v>
      </c>
      <c r="P171" s="1271">
        <f t="shared" si="8"/>
        <v>0</v>
      </c>
      <c r="Q171" s="1271">
        <f t="shared" si="8"/>
        <v>0</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0</v>
      </c>
      <c r="J172" s="1271">
        <f t="shared" si="9"/>
        <v>0</v>
      </c>
      <c r="K172" s="1271">
        <f t="shared" si="9"/>
        <v>0</v>
      </c>
      <c r="L172" s="1271">
        <f t="shared" si="9"/>
        <v>0</v>
      </c>
      <c r="M172" s="1271">
        <f t="shared" si="9"/>
        <v>0</v>
      </c>
      <c r="N172" s="1271">
        <f t="shared" si="9"/>
        <v>0</v>
      </c>
      <c r="O172" s="1271">
        <f t="shared" si="9"/>
        <v>0</v>
      </c>
      <c r="P172" s="1271">
        <f t="shared" si="9"/>
        <v>0</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0.25622305159842956</v>
      </c>
      <c r="J173" s="1271">
        <f t="shared" si="10"/>
        <v>0</v>
      </c>
      <c r="K173" s="1271">
        <f t="shared" si="10"/>
        <v>0</v>
      </c>
      <c r="L173" s="1271">
        <f t="shared" si="10"/>
        <v>0</v>
      </c>
      <c r="M173" s="1271">
        <f t="shared" si="10"/>
        <v>0</v>
      </c>
      <c r="N173" s="1271">
        <f t="shared" si="10"/>
        <v>0</v>
      </c>
      <c r="O173" s="1271">
        <f t="shared" si="10"/>
        <v>0</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v>
      </c>
      <c r="I174" s="1271">
        <f t="shared" si="11"/>
        <v>0</v>
      </c>
      <c r="J174" s="1271">
        <f t="shared" si="11"/>
        <v>0</v>
      </c>
      <c r="K174" s="1271">
        <f t="shared" si="11"/>
        <v>0</v>
      </c>
      <c r="L174" s="1271">
        <f t="shared" si="11"/>
        <v>0</v>
      </c>
      <c r="M174" s="1271">
        <f t="shared" si="11"/>
        <v>0</v>
      </c>
      <c r="N174" s="1271">
        <f t="shared" si="11"/>
        <v>9.8183177763553869E-2</v>
      </c>
      <c r="O174" s="1271">
        <f t="shared" si="11"/>
        <v>4.7517611997227885E-2</v>
      </c>
      <c r="P174" s="1271">
        <f t="shared" si="11"/>
        <v>7.7940270590820787E-2</v>
      </c>
      <c r="Q174" s="1271">
        <f t="shared" si="11"/>
        <v>0</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0</v>
      </c>
      <c r="N175" s="1271">
        <f t="shared" si="12"/>
        <v>0</v>
      </c>
      <c r="O175" s="1271">
        <f t="shared" si="12"/>
        <v>0</v>
      </c>
      <c r="P175" s="1271">
        <f t="shared" si="12"/>
        <v>0</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0</v>
      </c>
      <c r="H177" s="1271">
        <f t="shared" si="14"/>
        <v>0</v>
      </c>
      <c r="I177" s="1271">
        <f t="shared" si="14"/>
        <v>0</v>
      </c>
      <c r="J177" s="1271">
        <f t="shared" si="14"/>
        <v>0</v>
      </c>
      <c r="K177" s="1271">
        <f t="shared" si="14"/>
        <v>0</v>
      </c>
      <c r="L177" s="1271">
        <f t="shared" si="14"/>
        <v>0</v>
      </c>
      <c r="M177" s="1271">
        <f t="shared" si="14"/>
        <v>0</v>
      </c>
      <c r="N177" s="1271">
        <f t="shared" si="14"/>
        <v>0</v>
      </c>
      <c r="O177" s="1271">
        <f t="shared" si="14"/>
        <v>0</v>
      </c>
      <c r="P177" s="1271">
        <f t="shared" si="14"/>
        <v>0</v>
      </c>
      <c r="Q177" s="1271">
        <f t="shared" si="14"/>
        <v>0</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0</v>
      </c>
      <c r="J178" s="1271">
        <f t="shared" si="15"/>
        <v>0</v>
      </c>
      <c r="K178" s="1271">
        <f t="shared" si="15"/>
        <v>0</v>
      </c>
      <c r="L178" s="1271">
        <f t="shared" si="15"/>
        <v>0</v>
      </c>
      <c r="M178" s="1271">
        <f t="shared" si="15"/>
        <v>0</v>
      </c>
      <c r="N178" s="1271">
        <f t="shared" si="15"/>
        <v>0</v>
      </c>
      <c r="O178" s="1271">
        <f t="shared" si="15"/>
        <v>0</v>
      </c>
      <c r="P178" s="1271">
        <f t="shared" si="15"/>
        <v>0</v>
      </c>
      <c r="Q178" s="1271">
        <f t="shared" si="15"/>
        <v>1.5499051768621024E-2</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0</v>
      </c>
      <c r="I179" s="1271">
        <f t="shared" si="16"/>
        <v>0</v>
      </c>
      <c r="J179" s="1271">
        <f t="shared" si="16"/>
        <v>0</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1.8904420642423345E-2</v>
      </c>
      <c r="H180" s="1271">
        <f t="shared" si="17"/>
        <v>7.8070245320535248E-2</v>
      </c>
      <c r="I180" s="1271">
        <f t="shared" si="17"/>
        <v>3.3039571977620731E-2</v>
      </c>
      <c r="J180" s="1271">
        <f t="shared" si="17"/>
        <v>2.1515460237600339E-2</v>
      </c>
      <c r="K180" s="1271">
        <f t="shared" si="17"/>
        <v>1.7368507378022591E-2</v>
      </c>
      <c r="L180" s="1271">
        <f t="shared" si="17"/>
        <v>8.373535826409359E-2</v>
      </c>
      <c r="M180" s="1271">
        <f t="shared" si="17"/>
        <v>0.10120024738533367</v>
      </c>
      <c r="N180" s="1271">
        <f t="shared" si="17"/>
        <v>4.3193543649944335E-2</v>
      </c>
      <c r="O180" s="1271">
        <f t="shared" si="17"/>
        <v>7.1901793359132021E-2</v>
      </c>
      <c r="P180" s="1271">
        <f t="shared" si="17"/>
        <v>9.7110271827941755E-2</v>
      </c>
      <c r="Q180" s="1271">
        <f t="shared" si="17"/>
        <v>8.5249417829821636E-2</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6.9498077883900639E-2</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0</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0.32986742064242336</v>
      </c>
      <c r="H219" s="169">
        <f t="shared" ref="H219:Q219" si="56">SUM(H169:H218)</f>
        <v>7.8070245320535248E-2</v>
      </c>
      <c r="I219" s="169">
        <f t="shared" si="56"/>
        <v>0.28926262357605032</v>
      </c>
      <c r="J219" s="169">
        <f t="shared" si="56"/>
        <v>0.32998527969436303</v>
      </c>
      <c r="K219" s="169">
        <f t="shared" si="56"/>
        <v>1.7368507378022591E-2</v>
      </c>
      <c r="L219" s="169">
        <f t="shared" si="56"/>
        <v>0.20011848901749227</v>
      </c>
      <c r="M219" s="169">
        <f t="shared" si="56"/>
        <v>0.10120024738533367</v>
      </c>
      <c r="N219" s="169">
        <f t="shared" si="56"/>
        <v>0.14137672141349822</v>
      </c>
      <c r="O219" s="169">
        <f t="shared" si="56"/>
        <v>0.11941940535635991</v>
      </c>
      <c r="P219" s="169">
        <f t="shared" si="56"/>
        <v>0.17505054241876256</v>
      </c>
      <c r="Q219" s="169">
        <f t="shared" si="56"/>
        <v>0.1702465474823433</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1.9519660296851846</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8" t="s">
        <v>34</v>
      </c>
      <c r="F221" s="1488"/>
      <c r="G221" s="1488"/>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2009-10</v>
      </c>
      <c r="H222" s="138" t="str">
        <f t="shared" ref="H222:Q222" si="57">H$60</f>
        <v>2010-11</v>
      </c>
      <c r="I222" s="138" t="str">
        <f t="shared" si="57"/>
        <v>2011-12</v>
      </c>
      <c r="J222" s="138" t="str">
        <f t="shared" si="57"/>
        <v>2012-13</v>
      </c>
      <c r="K222" s="138" t="str">
        <f t="shared" si="57"/>
        <v>2013-14</v>
      </c>
      <c r="L222" s="138" t="str">
        <f t="shared" si="57"/>
        <v>2014-15</v>
      </c>
      <c r="M222" s="138" t="str">
        <f t="shared" si="57"/>
        <v>2015-16</v>
      </c>
      <c r="N222" s="138" t="str">
        <f t="shared" si="57"/>
        <v>2016-17</v>
      </c>
      <c r="O222" s="138" t="str">
        <f t="shared" si="57"/>
        <v>2017-18</v>
      </c>
      <c r="P222" s="138" t="str">
        <f t="shared" si="57"/>
        <v>2018-19</v>
      </c>
      <c r="Q222" s="138" t="str">
        <f t="shared" si="57"/>
        <v>2019-20</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0.31096299999999999</v>
      </c>
      <c r="H223" s="1259">
        <f>H61</f>
        <v>0</v>
      </c>
      <c r="I223" s="1259">
        <f t="shared" ref="I223:Q223" si="58">I61</f>
        <v>0</v>
      </c>
      <c r="J223" s="1259">
        <f t="shared" si="58"/>
        <v>0.33322129</v>
      </c>
      <c r="K223" s="1259">
        <f t="shared" si="58"/>
        <v>0</v>
      </c>
      <c r="L223" s="1259">
        <f t="shared" si="58"/>
        <v>0.1326088</v>
      </c>
      <c r="M223" s="1259">
        <f t="shared" si="58"/>
        <v>0</v>
      </c>
      <c r="N223" s="1259">
        <f t="shared" si="58"/>
        <v>0</v>
      </c>
      <c r="O223" s="1259">
        <f t="shared" si="58"/>
        <v>0</v>
      </c>
      <c r="P223" s="1259">
        <f t="shared" si="58"/>
        <v>0</v>
      </c>
      <c r="Q223" s="1259">
        <f t="shared" si="58"/>
        <v>0</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0</v>
      </c>
      <c r="H224" s="1256">
        <f>H62</f>
        <v>0</v>
      </c>
      <c r="I224" s="1256">
        <f t="shared" ref="I224:Q224" si="59">I62</f>
        <v>0</v>
      </c>
      <c r="J224" s="1256">
        <f t="shared" si="59"/>
        <v>0</v>
      </c>
      <c r="K224" s="1256">
        <f t="shared" si="59"/>
        <v>0</v>
      </c>
      <c r="L224" s="1256">
        <f t="shared" si="59"/>
        <v>0</v>
      </c>
      <c r="M224" s="1256">
        <f t="shared" si="59"/>
        <v>0</v>
      </c>
      <c r="N224" s="1256">
        <f t="shared" si="59"/>
        <v>0</v>
      </c>
      <c r="O224" s="1256">
        <f t="shared" si="59"/>
        <v>0</v>
      </c>
      <c r="P224" s="1256">
        <f t="shared" si="59"/>
        <v>0</v>
      </c>
      <c r="Q224" s="1256">
        <f t="shared" si="59"/>
        <v>0</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0</v>
      </c>
      <c r="M225" s="1256">
        <f t="shared" si="61"/>
        <v>0</v>
      </c>
      <c r="N225" s="1256">
        <f t="shared" si="61"/>
        <v>0</v>
      </c>
      <c r="O225" s="1256">
        <f t="shared" si="61"/>
        <v>0</v>
      </c>
      <c r="P225" s="1256">
        <f t="shared" si="61"/>
        <v>0</v>
      </c>
      <c r="Q225" s="1256">
        <f t="shared" si="61"/>
        <v>0</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0</v>
      </c>
      <c r="J226" s="1256">
        <f t="shared" si="63"/>
        <v>0</v>
      </c>
      <c r="K226" s="1256">
        <f t="shared" si="63"/>
        <v>0</v>
      </c>
      <c r="L226" s="1256">
        <f t="shared" si="63"/>
        <v>0</v>
      </c>
      <c r="M226" s="1256">
        <f t="shared" si="63"/>
        <v>0</v>
      </c>
      <c r="N226" s="1256">
        <f t="shared" si="63"/>
        <v>0</v>
      </c>
      <c r="O226" s="1256">
        <f t="shared" si="63"/>
        <v>0</v>
      </c>
      <c r="P226" s="1256">
        <f t="shared" si="63"/>
        <v>0</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0.27356029999999998</v>
      </c>
      <c r="J227" s="1256">
        <f t="shared" si="65"/>
        <v>0</v>
      </c>
      <c r="K227" s="1256">
        <f t="shared" si="65"/>
        <v>0</v>
      </c>
      <c r="L227" s="1256">
        <f t="shared" si="65"/>
        <v>0</v>
      </c>
      <c r="M227" s="1256">
        <f t="shared" si="65"/>
        <v>0</v>
      </c>
      <c r="N227" s="1256">
        <f t="shared" si="65"/>
        <v>0</v>
      </c>
      <c r="O227" s="1256">
        <f t="shared" si="65"/>
        <v>0</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v>
      </c>
      <c r="I228" s="1256">
        <f t="shared" ref="I228:Q228" si="67">I66</f>
        <v>0</v>
      </c>
      <c r="J228" s="1256">
        <f t="shared" si="67"/>
        <v>0</v>
      </c>
      <c r="K228" s="1256">
        <f t="shared" si="67"/>
        <v>0</v>
      </c>
      <c r="L228" s="1256">
        <f t="shared" si="67"/>
        <v>0</v>
      </c>
      <c r="M228" s="1256">
        <f t="shared" si="67"/>
        <v>0</v>
      </c>
      <c r="N228" s="1256">
        <f t="shared" si="67"/>
        <v>0.11472373</v>
      </c>
      <c r="O228" s="1256">
        <f t="shared" si="67"/>
        <v>5.659637E-2</v>
      </c>
      <c r="P228" s="1256">
        <f t="shared" si="67"/>
        <v>9.4760360000000002E-2</v>
      </c>
      <c r="Q228" s="1256">
        <f t="shared" si="67"/>
        <v>0</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0</v>
      </c>
      <c r="N229" s="1256">
        <f t="shared" si="69"/>
        <v>0</v>
      </c>
      <c r="O229" s="1256">
        <f t="shared" si="69"/>
        <v>0</v>
      </c>
      <c r="P229" s="1256">
        <f t="shared" si="69"/>
        <v>0</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0</v>
      </c>
      <c r="H231" s="1256">
        <f t="shared" si="72"/>
        <v>0</v>
      </c>
      <c r="I231" s="1256">
        <f t="shared" ref="I231:Q231" si="73">I69</f>
        <v>0</v>
      </c>
      <c r="J231" s="1256">
        <f t="shared" si="73"/>
        <v>0</v>
      </c>
      <c r="K231" s="1256">
        <f t="shared" si="73"/>
        <v>0</v>
      </c>
      <c r="L231" s="1256">
        <f t="shared" si="73"/>
        <v>0</v>
      </c>
      <c r="M231" s="1256">
        <f t="shared" si="73"/>
        <v>0</v>
      </c>
      <c r="N231" s="1256">
        <f t="shared" si="73"/>
        <v>0</v>
      </c>
      <c r="O231" s="1256">
        <f t="shared" si="73"/>
        <v>0</v>
      </c>
      <c r="P231" s="1256">
        <f t="shared" si="73"/>
        <v>0</v>
      </c>
      <c r="Q231" s="1256">
        <f t="shared" si="73"/>
        <v>0</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0</v>
      </c>
      <c r="J232" s="1256">
        <f t="shared" si="75"/>
        <v>0</v>
      </c>
      <c r="K232" s="1256">
        <f t="shared" si="75"/>
        <v>0</v>
      </c>
      <c r="L232" s="1256">
        <f t="shared" si="75"/>
        <v>0</v>
      </c>
      <c r="M232" s="1256">
        <f t="shared" si="75"/>
        <v>0</v>
      </c>
      <c r="N232" s="1256">
        <f t="shared" si="75"/>
        <v>0</v>
      </c>
      <c r="O232" s="1256">
        <f t="shared" si="75"/>
        <v>0</v>
      </c>
      <c r="P232" s="1256">
        <f t="shared" si="75"/>
        <v>0</v>
      </c>
      <c r="Q232" s="1256">
        <f t="shared" si="75"/>
        <v>1.9144029999999999E-2</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0</v>
      </c>
      <c r="I233" s="1256">
        <f t="shared" ref="I233:Q233" si="77">I71</f>
        <v>0</v>
      </c>
      <c r="J233" s="1256">
        <f t="shared" si="77"/>
        <v>0</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1.8904420642423345E-2</v>
      </c>
      <c r="H234" s="1256">
        <f t="shared" si="78"/>
        <v>8.0636482686961011E-2</v>
      </c>
      <c r="I234" s="1256">
        <f t="shared" ref="I234:Q234" si="79">I72</f>
        <v>3.7165478262563743E-2</v>
      </c>
      <c r="J234" s="1256">
        <f t="shared" si="79"/>
        <v>2.4187105983657239E-2</v>
      </c>
      <c r="K234" s="1256">
        <f t="shared" si="79"/>
        <v>2.01748197378461E-2</v>
      </c>
      <c r="L234" s="1256">
        <f t="shared" si="79"/>
        <v>9.6552613540674667E-2</v>
      </c>
      <c r="M234" s="1256">
        <f t="shared" si="79"/>
        <v>0.11756031904998412</v>
      </c>
      <c r="N234" s="1256">
        <f t="shared" si="79"/>
        <v>5.1486013272649019E-2</v>
      </c>
      <c r="O234" s="1256">
        <f t="shared" si="79"/>
        <v>8.5783819663965435E-2</v>
      </c>
      <c r="P234" s="1256">
        <f t="shared" si="79"/>
        <v>0.11858382819357123</v>
      </c>
      <c r="Q234" s="1256">
        <f t="shared" si="79"/>
        <v>0.10587681532853621</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8.5842237822920997E-2</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0</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0.32986742064242336</v>
      </c>
      <c r="H273" s="169">
        <f t="shared" ref="H273:Q273" si="84">SUM(H223:H272)</f>
        <v>8.0636482686961011E-2</v>
      </c>
      <c r="I273" s="169">
        <f t="shared" si="84"/>
        <v>0.3107257782625637</v>
      </c>
      <c r="J273" s="169">
        <f t="shared" si="84"/>
        <v>0.35740839598365726</v>
      </c>
      <c r="K273" s="169">
        <f t="shared" si="84"/>
        <v>2.01748197378461E-2</v>
      </c>
      <c r="L273" s="169">
        <f t="shared" si="84"/>
        <v>0.22916141354067465</v>
      </c>
      <c r="M273" s="169">
        <f t="shared" si="84"/>
        <v>0.11756031904998412</v>
      </c>
      <c r="N273" s="169">
        <f t="shared" si="84"/>
        <v>0.16620974327264901</v>
      </c>
      <c r="O273" s="169">
        <f t="shared" si="84"/>
        <v>0.14238018966396543</v>
      </c>
      <c r="P273" s="169">
        <f t="shared" si="84"/>
        <v>0.21334418819357123</v>
      </c>
      <c r="Q273" s="169">
        <f t="shared" si="84"/>
        <v>0.21086308315145721</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2.1783318341857529</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8" t="s">
        <v>36</v>
      </c>
      <c r="F275" s="1488"/>
      <c r="G275" s="1488"/>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2009-10</v>
      </c>
      <c r="H276" s="138" t="str">
        <f t="shared" ref="H276:Q276" si="85">H$60</f>
        <v>2010-11</v>
      </c>
      <c r="I276" s="138" t="str">
        <f t="shared" si="85"/>
        <v>2011-12</v>
      </c>
      <c r="J276" s="138" t="str">
        <f t="shared" si="85"/>
        <v>2012-13</v>
      </c>
      <c r="K276" s="138" t="str">
        <f t="shared" si="85"/>
        <v>2013-14</v>
      </c>
      <c r="L276" s="138" t="str">
        <f t="shared" si="85"/>
        <v>2014-15</v>
      </c>
      <c r="M276" s="138" t="str">
        <f t="shared" si="85"/>
        <v>2015-16</v>
      </c>
      <c r="N276" s="138" t="str">
        <f t="shared" si="85"/>
        <v>2016-17</v>
      </c>
      <c r="O276" s="138" t="str">
        <f t="shared" si="85"/>
        <v>2017-18</v>
      </c>
      <c r="P276" s="138" t="str">
        <f t="shared" si="85"/>
        <v>2018-19</v>
      </c>
      <c r="Q276" s="138" t="str">
        <f t="shared" si="85"/>
        <v>2019-20</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0</v>
      </c>
      <c r="H285" s="1256">
        <f t="shared" si="88"/>
        <v>0</v>
      </c>
      <c r="I285" s="1256">
        <f t="shared" ref="I285:Q285" si="95">I123</f>
        <v>0</v>
      </c>
      <c r="J285" s="1256">
        <f t="shared" si="95"/>
        <v>0</v>
      </c>
      <c r="K285" s="1256">
        <f t="shared" si="95"/>
        <v>0</v>
      </c>
      <c r="L285" s="1256">
        <f t="shared" si="95"/>
        <v>0</v>
      </c>
      <c r="M285" s="1256">
        <f t="shared" si="95"/>
        <v>0</v>
      </c>
      <c r="N285" s="1256">
        <f t="shared" si="95"/>
        <v>0</v>
      </c>
      <c r="O285" s="1256">
        <f t="shared" si="95"/>
        <v>0</v>
      </c>
      <c r="P285" s="1256">
        <f t="shared" si="95"/>
        <v>0</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1.8205622190642617E-4</v>
      </c>
      <c r="I288" s="1256">
        <f t="shared" ref="I288:Q288" si="98">I126</f>
        <v>1.8902945283734653E-3</v>
      </c>
      <c r="J288" s="1256">
        <f t="shared" si="98"/>
        <v>9.4525552339914747E-4</v>
      </c>
      <c r="K288" s="1256">
        <f t="shared" si="98"/>
        <v>9.6417408415462016E-4</v>
      </c>
      <c r="L288" s="1256">
        <f t="shared" si="98"/>
        <v>1.1432075117234458E-3</v>
      </c>
      <c r="M288" s="1256">
        <f t="shared" si="98"/>
        <v>5.0897964450566445E-4</v>
      </c>
      <c r="N288" s="1256">
        <f t="shared" si="98"/>
        <v>1.0158150949844964E-3</v>
      </c>
      <c r="O288" s="1256">
        <f t="shared" si="98"/>
        <v>1.4440451712723304E-4</v>
      </c>
      <c r="P288" s="1256">
        <f t="shared" si="98"/>
        <v>5.164382761774259E-4</v>
      </c>
      <c r="Q288" s="1256">
        <f t="shared" si="98"/>
        <v>5.7892763964030266E-4</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101">SUM(H277:H326)</f>
        <v>1.8205622190642617E-4</v>
      </c>
      <c r="I327" s="169">
        <f t="shared" si="101"/>
        <v>1.8902945283734653E-3</v>
      </c>
      <c r="J327" s="169">
        <f t="shared" si="101"/>
        <v>9.4525552339914747E-4</v>
      </c>
      <c r="K327" s="169">
        <f t="shared" si="101"/>
        <v>9.6417408415462016E-4</v>
      </c>
      <c r="L327" s="169">
        <f t="shared" si="101"/>
        <v>1.1432075117234458E-3</v>
      </c>
      <c r="M327" s="169">
        <f t="shared" si="101"/>
        <v>5.0897964450566445E-4</v>
      </c>
      <c r="N327" s="169">
        <f t="shared" si="101"/>
        <v>1.0158150949844964E-3</v>
      </c>
      <c r="O327" s="169">
        <f t="shared" si="101"/>
        <v>1.4440451712723304E-4</v>
      </c>
      <c r="P327" s="169">
        <f t="shared" si="101"/>
        <v>5.164382761774259E-4</v>
      </c>
      <c r="Q327" s="169">
        <f t="shared" si="101"/>
        <v>5.7892763964030266E-4</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7.8895530419922279E-3</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8" t="str">
        <f>"Actual Net Capital Expenditure – As Commissioned ($m Real "&amp;IF(LEN($Z$7)&gt;4,CONCATENATE(LEFT($Z$7, 4)-1 &amp;"-" &amp;IF($Z$7&gt;"2009-10",,"0") &amp;RIGHT($Z$7,2)-1),$Z$7-1)&amp;")"</f>
        <v>Actual Net Capital Expenditure – As Commissioned ($m Real 2009-10)</v>
      </c>
      <c r="F329" s="1488"/>
      <c r="G329" s="1488"/>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2009-10</v>
      </c>
      <c r="H330" s="138" t="str">
        <f t="shared" ref="H330:Q330" si="102">H$60</f>
        <v>2010-11</v>
      </c>
      <c r="I330" s="138" t="str">
        <f t="shared" si="102"/>
        <v>2011-12</v>
      </c>
      <c r="J330" s="138" t="str">
        <f t="shared" si="102"/>
        <v>2012-13</v>
      </c>
      <c r="K330" s="138" t="str">
        <f t="shared" si="102"/>
        <v>2013-14</v>
      </c>
      <c r="L330" s="138" t="str">
        <f t="shared" si="102"/>
        <v>2014-15</v>
      </c>
      <c r="M330" s="138" t="str">
        <f t="shared" si="102"/>
        <v>2015-16</v>
      </c>
      <c r="N330" s="138" t="str">
        <f t="shared" si="102"/>
        <v>2016-17</v>
      </c>
      <c r="O330" s="138" t="str">
        <f t="shared" si="102"/>
        <v>2017-18</v>
      </c>
      <c r="P330" s="138" t="str">
        <f t="shared" si="102"/>
        <v>2018-19</v>
      </c>
      <c r="Q330" s="138" t="str">
        <f t="shared" si="102"/>
        <v>2019-20</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0.31096299999999999</v>
      </c>
      <c r="H331" s="1274">
        <f t="shared" si="103"/>
        <v>0</v>
      </c>
      <c r="I331" s="1274">
        <f t="shared" si="103"/>
        <v>0</v>
      </c>
      <c r="J331" s="1274">
        <f t="shared" si="103"/>
        <v>0.30846981945676272</v>
      </c>
      <c r="K331" s="1274">
        <f t="shared" si="103"/>
        <v>0</v>
      </c>
      <c r="L331" s="1274">
        <f t="shared" si="103"/>
        <v>0.11638313075339868</v>
      </c>
      <c r="M331" s="1274">
        <f t="shared" si="103"/>
        <v>0</v>
      </c>
      <c r="N331" s="1274">
        <f t="shared" si="103"/>
        <v>0</v>
      </c>
      <c r="O331" s="1274">
        <f t="shared" si="103"/>
        <v>0</v>
      </c>
      <c r="P331" s="1274">
        <f t="shared" si="103"/>
        <v>0</v>
      </c>
      <c r="Q331" s="1274">
        <f t="shared" si="103"/>
        <v>0</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0</v>
      </c>
      <c r="H332" s="1276">
        <f t="shared" si="104"/>
        <v>0</v>
      </c>
      <c r="I332" s="1276">
        <f t="shared" si="104"/>
        <v>0</v>
      </c>
      <c r="J332" s="1276">
        <f t="shared" si="104"/>
        <v>0</v>
      </c>
      <c r="K332" s="1276">
        <f t="shared" si="104"/>
        <v>0</v>
      </c>
      <c r="L332" s="1276">
        <f t="shared" si="104"/>
        <v>0</v>
      </c>
      <c r="M332" s="1276">
        <f t="shared" si="104"/>
        <v>0</v>
      </c>
      <c r="N332" s="1276">
        <f t="shared" si="104"/>
        <v>0</v>
      </c>
      <c r="O332" s="1276">
        <f t="shared" si="104"/>
        <v>0</v>
      </c>
      <c r="P332" s="1276">
        <f t="shared" si="104"/>
        <v>0</v>
      </c>
      <c r="Q332" s="1276">
        <f t="shared" si="104"/>
        <v>0</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0</v>
      </c>
      <c r="M333" s="1276">
        <f t="shared" si="105"/>
        <v>0</v>
      </c>
      <c r="N333" s="1276">
        <f t="shared" si="105"/>
        <v>0</v>
      </c>
      <c r="O333" s="1276">
        <f t="shared" si="105"/>
        <v>0</v>
      </c>
      <c r="P333" s="1276">
        <f t="shared" si="105"/>
        <v>0</v>
      </c>
      <c r="Q333" s="1276">
        <f t="shared" si="105"/>
        <v>0</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0</v>
      </c>
      <c r="J334" s="1276">
        <f t="shared" si="106"/>
        <v>0</v>
      </c>
      <c r="K334" s="1276">
        <f t="shared" si="106"/>
        <v>0</v>
      </c>
      <c r="L334" s="1276">
        <f t="shared" si="106"/>
        <v>0</v>
      </c>
      <c r="M334" s="1276">
        <f t="shared" si="106"/>
        <v>0</v>
      </c>
      <c r="N334" s="1276">
        <f t="shared" si="106"/>
        <v>0</v>
      </c>
      <c r="O334" s="1276">
        <f t="shared" si="106"/>
        <v>0</v>
      </c>
      <c r="P334" s="1276">
        <f t="shared" si="106"/>
        <v>0</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0.25622305159842956</v>
      </c>
      <c r="J335" s="1276">
        <f t="shared" si="107"/>
        <v>0</v>
      </c>
      <c r="K335" s="1276">
        <f t="shared" si="107"/>
        <v>0</v>
      </c>
      <c r="L335" s="1276">
        <f t="shared" si="107"/>
        <v>0</v>
      </c>
      <c r="M335" s="1276">
        <f t="shared" si="107"/>
        <v>0</v>
      </c>
      <c r="N335" s="1276">
        <f t="shared" si="107"/>
        <v>0</v>
      </c>
      <c r="O335" s="1276">
        <f t="shared" si="107"/>
        <v>0</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v>
      </c>
      <c r="I336" s="1276">
        <f t="shared" si="108"/>
        <v>0</v>
      </c>
      <c r="J336" s="1276">
        <f t="shared" si="108"/>
        <v>0</v>
      </c>
      <c r="K336" s="1276">
        <f t="shared" si="108"/>
        <v>0</v>
      </c>
      <c r="L336" s="1276">
        <f t="shared" si="108"/>
        <v>0</v>
      </c>
      <c r="M336" s="1276">
        <f t="shared" si="108"/>
        <v>0</v>
      </c>
      <c r="N336" s="1276">
        <f t="shared" si="108"/>
        <v>9.8183177763553869E-2</v>
      </c>
      <c r="O336" s="1276">
        <f t="shared" si="108"/>
        <v>4.7517611997227885E-2</v>
      </c>
      <c r="P336" s="1276">
        <f t="shared" si="108"/>
        <v>7.7940270590820787E-2</v>
      </c>
      <c r="Q336" s="1276">
        <f t="shared" si="108"/>
        <v>0</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0</v>
      </c>
      <c r="N337" s="1276">
        <f t="shared" si="109"/>
        <v>0</v>
      </c>
      <c r="O337" s="1276">
        <f t="shared" si="109"/>
        <v>0</v>
      </c>
      <c r="P337" s="1276">
        <f t="shared" si="109"/>
        <v>0</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0</v>
      </c>
      <c r="H339" s="1276">
        <f t="shared" si="111"/>
        <v>0</v>
      </c>
      <c r="I339" s="1276">
        <f t="shared" si="111"/>
        <v>0</v>
      </c>
      <c r="J339" s="1276">
        <f t="shared" si="111"/>
        <v>0</v>
      </c>
      <c r="K339" s="1276">
        <f t="shared" si="111"/>
        <v>0</v>
      </c>
      <c r="L339" s="1276">
        <f t="shared" si="111"/>
        <v>0</v>
      </c>
      <c r="M339" s="1276">
        <f t="shared" si="111"/>
        <v>0</v>
      </c>
      <c r="N339" s="1276">
        <f t="shared" si="111"/>
        <v>0</v>
      </c>
      <c r="O339" s="1276">
        <f t="shared" si="111"/>
        <v>0</v>
      </c>
      <c r="P339" s="1276">
        <f t="shared" si="111"/>
        <v>0</v>
      </c>
      <c r="Q339" s="1276">
        <f t="shared" si="111"/>
        <v>0</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0</v>
      </c>
      <c r="J340" s="1276">
        <f t="shared" si="112"/>
        <v>0</v>
      </c>
      <c r="K340" s="1276">
        <f t="shared" si="112"/>
        <v>0</v>
      </c>
      <c r="L340" s="1276">
        <f t="shared" si="112"/>
        <v>0</v>
      </c>
      <c r="M340" s="1276">
        <f t="shared" si="112"/>
        <v>0</v>
      </c>
      <c r="N340" s="1276">
        <f t="shared" si="112"/>
        <v>0</v>
      </c>
      <c r="O340" s="1276">
        <f t="shared" si="112"/>
        <v>0</v>
      </c>
      <c r="P340" s="1276">
        <f t="shared" si="112"/>
        <v>0</v>
      </c>
      <c r="Q340" s="1276">
        <f t="shared" si="112"/>
        <v>1.5499051768621024E-2</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0</v>
      </c>
      <c r="I341" s="1276">
        <f t="shared" si="113"/>
        <v>0</v>
      </c>
      <c r="J341" s="1276">
        <f t="shared" si="113"/>
        <v>0</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1.8904420642423345E-2</v>
      </c>
      <c r="H342" s="1276">
        <f t="shared" si="114"/>
        <v>7.8070245320535248E-2</v>
      </c>
      <c r="I342" s="1276">
        <f t="shared" si="114"/>
        <v>3.3039571977620731E-2</v>
      </c>
      <c r="J342" s="1276">
        <f t="shared" si="114"/>
        <v>2.1515460237600339E-2</v>
      </c>
      <c r="K342" s="1276">
        <f t="shared" si="114"/>
        <v>1.7368507378022591E-2</v>
      </c>
      <c r="L342" s="1276">
        <f t="shared" si="114"/>
        <v>8.373535826409359E-2</v>
      </c>
      <c r="M342" s="1276">
        <f t="shared" si="114"/>
        <v>0.10120024738533367</v>
      </c>
      <c r="N342" s="1276">
        <f t="shared" si="114"/>
        <v>4.3193543649944335E-2</v>
      </c>
      <c r="O342" s="1276">
        <f t="shared" si="114"/>
        <v>7.1901793359132021E-2</v>
      </c>
      <c r="P342" s="1276">
        <f t="shared" si="114"/>
        <v>9.7110271827941755E-2</v>
      </c>
      <c r="Q342" s="1276">
        <f t="shared" si="114"/>
        <v>8.5249417829821636E-2</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6.9498077883900639E-2</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0</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0.32986742064242336</v>
      </c>
      <c r="H381" s="169">
        <f t="shared" ref="H381:Q381" si="153">SUM(H331:H380)</f>
        <v>7.8070245320535248E-2</v>
      </c>
      <c r="I381" s="169">
        <f t="shared" si="153"/>
        <v>0.28926262357605032</v>
      </c>
      <c r="J381" s="169">
        <f t="shared" si="153"/>
        <v>0.32998527969436303</v>
      </c>
      <c r="K381" s="169">
        <f t="shared" si="153"/>
        <v>1.7368507378022591E-2</v>
      </c>
      <c r="L381" s="169">
        <f t="shared" si="153"/>
        <v>0.20011848901749227</v>
      </c>
      <c r="M381" s="169">
        <f t="shared" si="153"/>
        <v>0.10120024738533367</v>
      </c>
      <c r="N381" s="169">
        <f t="shared" si="153"/>
        <v>0.14137672141349822</v>
      </c>
      <c r="O381" s="169">
        <f t="shared" si="153"/>
        <v>0.11941940535635991</v>
      </c>
      <c r="P381" s="169">
        <f t="shared" si="153"/>
        <v>0.17505054241876256</v>
      </c>
      <c r="Q381" s="169">
        <f t="shared" si="153"/>
        <v>0.1702465474823433</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1.9519660296851846</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4" t="s">
        <v>22</v>
      </c>
      <c r="F383" s="1494"/>
      <c r="G383" s="1494"/>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2009-10</v>
      </c>
      <c r="H384" s="103" t="str">
        <f t="shared" ref="H384:Q384" si="154">H$60</f>
        <v>2010-11</v>
      </c>
      <c r="I384" s="103" t="str">
        <f t="shared" si="154"/>
        <v>2011-12</v>
      </c>
      <c r="J384" s="103" t="str">
        <f t="shared" si="154"/>
        <v>2012-13</v>
      </c>
      <c r="K384" s="103" t="str">
        <f t="shared" si="154"/>
        <v>2013-14</v>
      </c>
      <c r="L384" s="103" t="str">
        <f t="shared" si="154"/>
        <v>2014-15</v>
      </c>
      <c r="M384" s="103" t="str">
        <f t="shared" si="154"/>
        <v>2015-16</v>
      </c>
      <c r="N384" s="103" t="str">
        <f t="shared" si="154"/>
        <v>2016-17</v>
      </c>
      <c r="O384" s="103" t="str">
        <f t="shared" si="154"/>
        <v>2017-18</v>
      </c>
      <c r="P384" s="103" t="str">
        <f t="shared" si="154"/>
        <v>2018-19</v>
      </c>
      <c r="Q384" s="103" t="str">
        <f t="shared" si="154"/>
        <v>2019-20</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3.0538922155688653E-2</v>
      </c>
      <c r="H385" s="81">
        <f>H582/100</f>
        <v>3.6025566531086683E-2</v>
      </c>
      <c r="I385" s="81">
        <f>I588/100</f>
        <v>1.1777902411665764E-2</v>
      </c>
      <c r="J385" s="81">
        <f>J595/100</f>
        <v>2.3904382470119501E-2</v>
      </c>
      <c r="K385" s="81">
        <f>K602/100</f>
        <v>3.0155642023346418E-2</v>
      </c>
      <c r="L385" s="81">
        <f>L608/100</f>
        <v>1.5108593012275628E-2</v>
      </c>
      <c r="M385" s="129">
        <f>M615/100</f>
        <v>1.0232558139534831E-2</v>
      </c>
      <c r="N385" s="130">
        <f>N622/100</f>
        <v>1.9337016574585641E-2</v>
      </c>
      <c r="O385" s="130">
        <f>O628/100</f>
        <v>2.0776874435411097E-2</v>
      </c>
      <c r="P385" s="130">
        <f>P634/100</f>
        <v>1.5929203539823078E-2</v>
      </c>
      <c r="Q385" s="130">
        <f>Q640/100</f>
        <v>-3.4843205574912606E-3</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1.0305389221556887</v>
      </c>
      <c r="I386" s="67">
        <f t="shared" ref="I386:Q386" si="155">H386*(1+H385)</f>
        <v>1.0676646706586828</v>
      </c>
      <c r="J386" s="67">
        <f t="shared" si="155"/>
        <v>1.080239520958084</v>
      </c>
      <c r="K386" s="67">
        <f t="shared" si="155"/>
        <v>1.1060619796264046</v>
      </c>
      <c r="L386" s="67">
        <f t="shared" si="155"/>
        <v>1.1394159887396524</v>
      </c>
      <c r="M386" s="67">
        <f t="shared" si="155"/>
        <v>1.1566309611851995</v>
      </c>
      <c r="N386" s="67">
        <f t="shared" si="155"/>
        <v>1.168466254741513</v>
      </c>
      <c r="O386" s="67">
        <f>N386*(1+N385)</f>
        <v>1.1910609060762936</v>
      </c>
      <c r="P386" s="67">
        <f t="shared" si="155"/>
        <v>1.2158074289667677</v>
      </c>
      <c r="Q386" s="67">
        <f t="shared" si="155"/>
        <v>1.2351742729680084</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2.8400000000000002E-2</v>
      </c>
      <c r="H387" s="289">
        <v>2.6800000000000001E-2</v>
      </c>
      <c r="I387" s="289">
        <v>2.5499999999999998E-2</v>
      </c>
      <c r="J387" s="289">
        <v>2.5499999999999998E-2</v>
      </c>
      <c r="K387" s="289">
        <v>2.5000000000000001E-2</v>
      </c>
      <c r="L387" s="289">
        <v>2.5000000000000001E-2</v>
      </c>
      <c r="M387" s="289">
        <v>2.5000000000000001E-2</v>
      </c>
      <c r="N387" s="289">
        <v>2.4E-2</v>
      </c>
      <c r="O387" s="289">
        <v>2.4199999999999999E-2</v>
      </c>
      <c r="P387" s="289">
        <v>2.44995114800401E-2</v>
      </c>
      <c r="Q387" s="289">
        <v>2.2739900899011001E-2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1.0267999999999999</v>
      </c>
      <c r="I388" s="67">
        <f t="shared" ref="I388:Q388" si="156">H388*(1+I387)</f>
        <v>1.0529834</v>
      </c>
      <c r="J388" s="67">
        <f t="shared" si="156"/>
        <v>1.0798344767000001</v>
      </c>
      <c r="K388" s="67">
        <f t="shared" si="156"/>
        <v>1.1068303386175</v>
      </c>
      <c r="L388" s="67">
        <f t="shared" si="156"/>
        <v>1.1345010970829374</v>
      </c>
      <c r="M388" s="67">
        <f t="shared" si="156"/>
        <v>1.1628636245100108</v>
      </c>
      <c r="N388" s="67">
        <f t="shared" si="156"/>
        <v>1.1907723514982511</v>
      </c>
      <c r="O388" s="67">
        <f>N388*(1+O387)</f>
        <v>1.2195890424045088</v>
      </c>
      <c r="P388" s="67">
        <f t="shared" si="156"/>
        <v>1.2494683781498293</v>
      </c>
      <c r="Q388" s="67">
        <f t="shared" si="156"/>
        <v>1.2778811652454043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0.1055</v>
      </c>
      <c r="H390" s="81">
        <v>9.5862499999999989E-2</v>
      </c>
      <c r="I390" s="81">
        <v>9.3549999999999994E-2</v>
      </c>
      <c r="J390" s="81">
        <v>7.3539999999999994E-2</v>
      </c>
      <c r="K390" s="81">
        <v>7.5312500000000004E-2</v>
      </c>
      <c r="L390" s="81">
        <v>7.702500000000001E-2</v>
      </c>
      <c r="M390" s="81">
        <v>6.9877500000000009E-2</v>
      </c>
      <c r="N390" s="81">
        <v>5.7187499999999995E-2</v>
      </c>
      <c r="O390" s="81">
        <v>5.5494415609722993E-2</v>
      </c>
      <c r="P390" s="81">
        <v>5.7169949621930977E-2</v>
      </c>
      <c r="Q390" s="81">
        <v>4.5769999999999998E-2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7.4970828471411899E-2</v>
      </c>
      <c r="H391" s="25">
        <f t="shared" si="157"/>
        <v>6.7259933774834524E-2</v>
      </c>
      <c r="I391" s="243">
        <f t="shared" si="157"/>
        <v>6.635787420770356E-2</v>
      </c>
      <c r="J391" s="243">
        <f t="shared" si="157"/>
        <v>4.6845441248171582E-2</v>
      </c>
      <c r="K391" s="243">
        <f t="shared" si="157"/>
        <v>4.9085365853658525E-2</v>
      </c>
      <c r="L391" s="243">
        <f t="shared" si="157"/>
        <v>5.0756097560975544E-2</v>
      </c>
      <c r="M391" s="243">
        <f t="shared" si="157"/>
        <v>4.3782926829268431E-2</v>
      </c>
      <c r="N391" s="243">
        <f t="shared" si="157"/>
        <v>3.240966796875E-2</v>
      </c>
      <c r="O391" s="243">
        <f t="shared" si="157"/>
        <v>3.0554984973367505E-2</v>
      </c>
      <c r="P391" s="243">
        <f t="shared" si="157"/>
        <v>3.1889169077975899E-2</v>
      </c>
      <c r="Q391" s="243">
        <f t="shared" si="157"/>
        <v>2.251804107842581E-2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0.10779927892173657</v>
      </c>
      <c r="H392" s="25">
        <f t="shared" si="158"/>
        <v>0.10570857752500307</v>
      </c>
      <c r="I392" s="243">
        <f t="shared" si="158"/>
        <v>7.8917333186033334E-2</v>
      </c>
      <c r="J392" s="243">
        <f t="shared" si="158"/>
        <v>7.186963506286892E-2</v>
      </c>
      <c r="K392" s="243">
        <f t="shared" si="158"/>
        <v>8.072120859827292E-2</v>
      </c>
      <c r="L392" s="243">
        <f t="shared" si="158"/>
        <v>6.6631543794191339E-2</v>
      </c>
      <c r="M392" s="243">
        <f t="shared" si="158"/>
        <v>5.4463496313102766E-2</v>
      </c>
      <c r="N392" s="243">
        <f t="shared" si="158"/>
        <v>5.2373390830024125E-2</v>
      </c>
      <c r="O392" s="243">
        <f t="shared" si="158"/>
        <v>5.1966696494946119E-2</v>
      </c>
      <c r="P392" s="243">
        <f t="shared" si="158"/>
        <v>4.8326341682757956E-2</v>
      </c>
      <c r="Q392" s="243">
        <f t="shared" si="158"/>
        <v>1.8955260447490518E-2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2010-11</v>
      </c>
      <c r="I401" s="138" t="str">
        <f t="shared" si="159"/>
        <v>2011-12</v>
      </c>
      <c r="J401" s="138" t="str">
        <f t="shared" si="159"/>
        <v>2012-13</v>
      </c>
      <c r="K401" s="138" t="str">
        <f t="shared" si="159"/>
        <v>2013-14</v>
      </c>
      <c r="L401" s="138" t="str">
        <f t="shared" si="159"/>
        <v>2014-15</v>
      </c>
      <c r="M401" s="138" t="str">
        <f t="shared" si="159"/>
        <v>2015-16</v>
      </c>
      <c r="N401" s="138" t="str">
        <f t="shared" si="159"/>
        <v>2016-17</v>
      </c>
      <c r="O401" s="138" t="str">
        <f t="shared" si="159"/>
        <v>2017-18</v>
      </c>
      <c r="P401" s="138" t="str">
        <f t="shared" si="159"/>
        <v>2018-19</v>
      </c>
      <c r="Q401" s="138" t="str">
        <f t="shared" si="159"/>
        <v>2019-20</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7" t="s">
        <v>520</v>
      </c>
      <c r="F454" s="1487"/>
      <c r="G454" s="1487"/>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7" t="s">
        <v>525</v>
      </c>
      <c r="F459" s="1487"/>
      <c r="G459" s="1487"/>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2010-11</v>
      </c>
      <c r="I460" s="286" t="str">
        <f t="shared" si="161"/>
        <v>2011-12</v>
      </c>
      <c r="J460" s="286" t="str">
        <f t="shared" si="161"/>
        <v>2012-13</v>
      </c>
      <c r="K460" s="286" t="str">
        <f t="shared" si="161"/>
        <v>2013-14</v>
      </c>
      <c r="L460" s="286" t="str">
        <f t="shared" si="161"/>
        <v>2014-15</v>
      </c>
      <c r="M460" s="286" t="str">
        <f t="shared" si="161"/>
        <v>2015-16</v>
      </c>
      <c r="N460" s="286" t="str">
        <f t="shared" si="161"/>
        <v>2016-17</v>
      </c>
      <c r="O460" s="286" t="str">
        <f t="shared" si="161"/>
        <v>2017-18</v>
      </c>
      <c r="P460" s="286" t="str">
        <f t="shared" si="161"/>
        <v>2018-19</v>
      </c>
      <c r="Q460" s="286" t="str">
        <f t="shared" si="161"/>
        <v>2019-20</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(2019-20)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6" t="s">
        <v>1080</v>
      </c>
      <c r="G568" s="1387"/>
      <c r="H568" s="337"/>
    </row>
    <row r="569" spans="1:36">
      <c r="E569" s="1386"/>
      <c r="G569" s="1387"/>
      <c r="H569" s="337"/>
    </row>
    <row r="570" spans="1:36">
      <c r="E570" s="1388" t="s">
        <v>26</v>
      </c>
      <c r="G570" s="1387"/>
      <c r="H570" s="337"/>
    </row>
    <row r="571" spans="1:36">
      <c r="E571" s="1386"/>
      <c r="G571" s="1387"/>
      <c r="H571" s="337"/>
    </row>
    <row r="572" spans="1:36">
      <c r="E572" s="1386" t="s">
        <v>1081</v>
      </c>
      <c r="G572" s="1387"/>
      <c r="H572" s="337"/>
    </row>
    <row r="573" spans="1:36">
      <c r="E573" s="1389">
        <v>39965</v>
      </c>
      <c r="G573" s="170">
        <v>167</v>
      </c>
    </row>
    <row r="574" spans="1:36">
      <c r="E574" s="1389">
        <v>40330</v>
      </c>
      <c r="G574" s="170">
        <v>172.1</v>
      </c>
    </row>
    <row r="575" spans="1:36">
      <c r="E575" s="1390"/>
    </row>
    <row r="576" spans="1:36" ht="13.8" thickBot="1">
      <c r="E576" s="1386" t="s">
        <v>1082</v>
      </c>
      <c r="G576" s="1391">
        <f>((G574/G573)-1)*100</f>
        <v>3.0538922155688653</v>
      </c>
    </row>
    <row r="577" spans="5:11" ht="13.8" thickTop="1">
      <c r="E577" s="1386"/>
      <c r="G577" s="1387"/>
      <c r="H577" s="337"/>
    </row>
    <row r="578" spans="5:11">
      <c r="E578" s="1386" t="s">
        <v>1081</v>
      </c>
      <c r="G578" s="1387"/>
      <c r="H578" s="337"/>
    </row>
    <row r="579" spans="5:11">
      <c r="E579" s="1389">
        <f>E574</f>
        <v>40330</v>
      </c>
      <c r="H579" s="170">
        <f>G574</f>
        <v>172.1</v>
      </c>
    </row>
    <row r="580" spans="5:11">
      <c r="E580" s="1389">
        <v>40695</v>
      </c>
      <c r="H580" s="170">
        <v>178.3</v>
      </c>
    </row>
    <row r="581" spans="5:11">
      <c r="E581" s="1390"/>
    </row>
    <row r="582" spans="5:11" ht="13.8" thickBot="1">
      <c r="E582" s="1386" t="s">
        <v>1082</v>
      </c>
      <c r="H582" s="1391">
        <f>((H580/H579)-1)*100</f>
        <v>3.6025566531086683</v>
      </c>
    </row>
    <row r="583" spans="5:11" ht="13.8" thickTop="1">
      <c r="E583" s="1386"/>
      <c r="H583" s="1387"/>
    </row>
    <row r="584" spans="5:11">
      <c r="E584" s="1386" t="s">
        <v>1081</v>
      </c>
      <c r="G584" s="1387"/>
      <c r="H584" s="337"/>
    </row>
    <row r="585" spans="5:11">
      <c r="E585" s="1389">
        <f>E580</f>
        <v>40695</v>
      </c>
      <c r="I585" s="170">
        <f>H580</f>
        <v>178.3</v>
      </c>
      <c r="J585" s="1387"/>
      <c r="K585" s="337"/>
    </row>
    <row r="586" spans="5:11">
      <c r="E586" s="1389">
        <v>41061</v>
      </c>
      <c r="I586" s="170">
        <v>180.4</v>
      </c>
      <c r="J586" s="1387"/>
      <c r="K586" s="337"/>
    </row>
    <row r="587" spans="5:11">
      <c r="E587" s="1390"/>
      <c r="J587" s="1387"/>
      <c r="K587" s="337"/>
    </row>
    <row r="588" spans="5:11" ht="13.8" thickBot="1">
      <c r="E588" s="1386" t="s">
        <v>1082</v>
      </c>
      <c r="I588" s="1391">
        <f>((I586/I585)-1)*100</f>
        <v>1.1777902411665764</v>
      </c>
      <c r="J588" s="1387"/>
      <c r="K588" s="337"/>
    </row>
    <row r="589" spans="5:11" ht="13.8" thickTop="1">
      <c r="J589" s="1387"/>
      <c r="K589" s="337"/>
    </row>
    <row r="590" spans="5:11">
      <c r="J590" s="1387"/>
      <c r="K590" s="337"/>
    </row>
    <row r="591" spans="5:11">
      <c r="E591" s="1392" t="s">
        <v>1081</v>
      </c>
      <c r="I591" s="1393"/>
      <c r="J591" s="1394"/>
      <c r="K591" s="337"/>
    </row>
    <row r="592" spans="5:11">
      <c r="E592" s="1389">
        <f>E586</f>
        <v>41061</v>
      </c>
      <c r="I592" s="1393"/>
      <c r="J592" s="170">
        <v>100.4</v>
      </c>
    </row>
    <row r="593" spans="5:12">
      <c r="E593" s="1395">
        <v>41426</v>
      </c>
      <c r="I593" s="1393"/>
      <c r="J593" s="1393">
        <v>102.8</v>
      </c>
    </row>
    <row r="594" spans="5:12">
      <c r="J594" s="1387"/>
    </row>
    <row r="595" spans="5:12" ht="13.8" thickBot="1">
      <c r="E595" s="1386" t="s">
        <v>1082</v>
      </c>
      <c r="J595" s="1391">
        <f>((J593/J592)-1)*100</f>
        <v>2.3904382470119501</v>
      </c>
    </row>
    <row r="596" spans="5:12" ht="13.8" thickTop="1">
      <c r="J596" s="1387"/>
    </row>
    <row r="597" spans="5:12">
      <c r="J597" s="1387"/>
      <c r="K597" s="337"/>
    </row>
    <row r="598" spans="5:12">
      <c r="E598" s="1396" t="s">
        <v>1081</v>
      </c>
      <c r="I598" s="1397"/>
      <c r="J598" s="1398"/>
      <c r="K598" s="1397"/>
    </row>
    <row r="599" spans="5:12">
      <c r="E599" s="1399">
        <f>E593</f>
        <v>41426</v>
      </c>
      <c r="I599" s="1397"/>
      <c r="J599" s="1398"/>
      <c r="K599" s="1397">
        <f>J593</f>
        <v>102.8</v>
      </c>
    </row>
    <row r="600" spans="5:12">
      <c r="E600" s="1399">
        <v>41791</v>
      </c>
      <c r="I600" s="1397"/>
      <c r="J600" s="1398"/>
      <c r="K600" s="1397">
        <v>105.9</v>
      </c>
    </row>
    <row r="601" spans="5:12">
      <c r="E601" s="1397"/>
      <c r="I601" s="1397"/>
      <c r="J601" s="1398"/>
      <c r="K601" s="1397"/>
    </row>
    <row r="602" spans="5:12" ht="13.8" thickBot="1">
      <c r="E602" s="1396" t="s">
        <v>1082</v>
      </c>
      <c r="I602" s="1397"/>
      <c r="J602" s="1398"/>
      <c r="K602" s="1391">
        <f>((K600/K599)-1)*100</f>
        <v>3.0155642023346418</v>
      </c>
    </row>
    <row r="603" spans="5:12" ht="13.8" thickTop="1">
      <c r="J603" s="1387"/>
    </row>
    <row r="604" spans="5:12">
      <c r="E604" s="1396" t="s">
        <v>1081</v>
      </c>
      <c r="I604" s="1397"/>
      <c r="J604" s="1398"/>
      <c r="K604" s="1397"/>
    </row>
    <row r="605" spans="5:12">
      <c r="E605" s="1399">
        <f>E600</f>
        <v>41791</v>
      </c>
      <c r="I605" s="1397"/>
      <c r="J605" s="1398"/>
      <c r="K605" s="337"/>
      <c r="L605" s="1397">
        <f>K600</f>
        <v>105.9</v>
      </c>
    </row>
    <row r="606" spans="5:12">
      <c r="E606" s="1399">
        <v>42156</v>
      </c>
      <c r="I606" s="1397"/>
      <c r="J606" s="1398"/>
      <c r="K606" s="337"/>
      <c r="L606" s="1397">
        <v>107.5</v>
      </c>
    </row>
    <row r="607" spans="5:12">
      <c r="E607" s="1397"/>
      <c r="I607" s="1397"/>
      <c r="J607" s="1398"/>
      <c r="K607" s="337"/>
      <c r="L607" s="1397"/>
    </row>
    <row r="608" spans="5:12" ht="13.8" thickBot="1">
      <c r="E608" s="1396" t="s">
        <v>1082</v>
      </c>
      <c r="I608" s="1397"/>
      <c r="J608" s="1398"/>
      <c r="K608" s="337"/>
      <c r="L608" s="1391">
        <f>((L606/L605)-1)*100</f>
        <v>1.5108593012275628</v>
      </c>
    </row>
    <row r="609" spans="5:14" ht="13.8" thickTop="1">
      <c r="J609" s="1387"/>
      <c r="K609" s="337"/>
    </row>
    <row r="610" spans="5:14">
      <c r="J610" s="1387"/>
      <c r="K610" s="337"/>
    </row>
    <row r="611" spans="5:14">
      <c r="E611" s="1396" t="s">
        <v>1081</v>
      </c>
      <c r="I611" s="1397"/>
      <c r="J611" s="1398"/>
      <c r="K611" s="1397"/>
    </row>
    <row r="612" spans="5:14">
      <c r="E612" s="1399">
        <f>E606</f>
        <v>42156</v>
      </c>
      <c r="I612" s="1397"/>
      <c r="J612" s="1398"/>
      <c r="K612" s="337"/>
      <c r="M612" s="1397">
        <f>L606</f>
        <v>107.5</v>
      </c>
    </row>
    <row r="613" spans="5:14">
      <c r="E613" s="1399">
        <v>42522</v>
      </c>
      <c r="I613" s="1397"/>
      <c r="J613" s="1398"/>
      <c r="K613" s="337"/>
      <c r="M613" s="1397">
        <v>108.6</v>
      </c>
    </row>
    <row r="614" spans="5:14">
      <c r="E614" s="1397"/>
      <c r="I614" s="1397"/>
      <c r="J614" s="1398"/>
      <c r="K614" s="337"/>
      <c r="M614" s="1397"/>
    </row>
    <row r="615" spans="5:14" ht="13.8" thickBot="1">
      <c r="E615" s="1396" t="s">
        <v>1082</v>
      </c>
      <c r="I615" s="1397"/>
      <c r="J615" s="1398"/>
      <c r="K615" s="337"/>
      <c r="M615" s="1391">
        <f>((M613/M612)-1)*100</f>
        <v>1.0232558139534831</v>
      </c>
    </row>
    <row r="616" spans="5:14" ht="13.8" thickTop="1">
      <c r="J616" s="1387"/>
      <c r="K616" s="337"/>
    </row>
    <row r="617" spans="5:14">
      <c r="J617" s="1387"/>
      <c r="K617" s="337"/>
    </row>
    <row r="618" spans="5:14">
      <c r="E618" s="1396" t="s">
        <v>1081</v>
      </c>
      <c r="I618" s="1397"/>
      <c r="J618" s="1398"/>
      <c r="K618" s="1397"/>
    </row>
    <row r="619" spans="5:14">
      <c r="E619" s="1399">
        <f>E613</f>
        <v>42522</v>
      </c>
      <c r="I619" s="1397"/>
      <c r="J619" s="1398"/>
      <c r="K619" s="337"/>
      <c r="N619" s="1397">
        <f>M613</f>
        <v>108.6</v>
      </c>
    </row>
    <row r="620" spans="5:14">
      <c r="E620" s="1399">
        <v>42887</v>
      </c>
      <c r="I620" s="1397"/>
      <c r="J620" s="1398"/>
      <c r="K620" s="337"/>
      <c r="N620" s="1397">
        <v>110.7</v>
      </c>
    </row>
    <row r="621" spans="5:14">
      <c r="E621" s="1397"/>
      <c r="I621" s="1397"/>
      <c r="J621" s="1398"/>
      <c r="K621" s="337"/>
      <c r="N621" s="1397"/>
    </row>
    <row r="622" spans="5:14" ht="13.8" thickBot="1">
      <c r="E622" s="1396" t="s">
        <v>1082</v>
      </c>
      <c r="I622" s="1397"/>
      <c r="J622" s="1398"/>
      <c r="K622" s="337"/>
      <c r="N622" s="1391">
        <f>((N620/N619)-1)*100</f>
        <v>1.9337016574585641</v>
      </c>
    </row>
    <row r="623" spans="5:14" ht="13.8" thickTop="1">
      <c r="J623" s="1387"/>
      <c r="K623" s="337"/>
    </row>
    <row r="624" spans="5:14">
      <c r="E624" s="1396" t="s">
        <v>1081</v>
      </c>
      <c r="I624" s="1397"/>
      <c r="J624" s="1398"/>
      <c r="K624" s="1397"/>
    </row>
    <row r="625" spans="5:17">
      <c r="E625" s="1399">
        <f>E620</f>
        <v>42887</v>
      </c>
      <c r="I625" s="1397"/>
      <c r="J625" s="1398"/>
      <c r="K625" s="337"/>
      <c r="O625" s="1397">
        <f>N620</f>
        <v>110.7</v>
      </c>
    </row>
    <row r="626" spans="5:17">
      <c r="E626" s="1399">
        <v>43252</v>
      </c>
      <c r="I626" s="1397"/>
      <c r="J626" s="1398"/>
      <c r="K626" s="337"/>
      <c r="O626" s="1397">
        <v>113</v>
      </c>
    </row>
    <row r="627" spans="5:17">
      <c r="E627" s="1397"/>
      <c r="I627" s="1397"/>
      <c r="J627" s="1398"/>
      <c r="K627" s="337"/>
      <c r="O627" s="1397"/>
    </row>
    <row r="628" spans="5:17" ht="13.8" thickBot="1">
      <c r="E628" s="1396" t="s">
        <v>1082</v>
      </c>
      <c r="I628" s="1397"/>
      <c r="J628" s="1398"/>
      <c r="K628" s="337"/>
      <c r="O628" s="1391">
        <f>((O626/O625)-1)*100</f>
        <v>2.0776874435411097</v>
      </c>
    </row>
    <row r="629" spans="5:17" ht="13.8" thickTop="1">
      <c r="J629" s="1387"/>
      <c r="K629" s="337"/>
    </row>
    <row r="630" spans="5:17">
      <c r="E630" s="1396" t="s">
        <v>1081</v>
      </c>
      <c r="I630" s="1397"/>
      <c r="J630" s="1398"/>
      <c r="K630" s="1397"/>
    </row>
    <row r="631" spans="5:17">
      <c r="E631" s="1399">
        <f>E626</f>
        <v>43252</v>
      </c>
      <c r="I631" s="1397"/>
      <c r="J631" s="1398"/>
      <c r="K631" s="337"/>
      <c r="P631" s="1397">
        <f>O626</f>
        <v>113</v>
      </c>
    </row>
    <row r="632" spans="5:17">
      <c r="E632" s="1399">
        <v>43617</v>
      </c>
      <c r="I632" s="1397"/>
      <c r="J632" s="1398"/>
      <c r="K632" s="337"/>
      <c r="P632" s="1397">
        <v>114.8</v>
      </c>
    </row>
    <row r="633" spans="5:17">
      <c r="E633" s="1397"/>
      <c r="I633" s="1397"/>
      <c r="J633" s="1398"/>
      <c r="K633" s="337"/>
      <c r="P633" s="1397"/>
    </row>
    <row r="634" spans="5:17" ht="13.8" thickBot="1">
      <c r="E634" s="1396" t="s">
        <v>1082</v>
      </c>
      <c r="I634" s="1397"/>
      <c r="J634" s="1398"/>
      <c r="K634" s="337"/>
      <c r="P634" s="1391">
        <f>((P632/P631)-1)*100</f>
        <v>1.5929203539823078</v>
      </c>
    </row>
    <row r="635" spans="5:17" ht="13.8" thickTop="1">
      <c r="J635" s="1387"/>
      <c r="K635" s="337"/>
    </row>
    <row r="636" spans="5:17">
      <c r="E636" s="1396" t="s">
        <v>1081</v>
      </c>
      <c r="I636" s="1397"/>
      <c r="J636" s="1398"/>
      <c r="K636" s="1397"/>
    </row>
    <row r="637" spans="5:17">
      <c r="E637" s="1399">
        <f>E632</f>
        <v>43617</v>
      </c>
      <c r="I637" s="1397"/>
      <c r="J637" s="1398"/>
      <c r="K637" s="337"/>
      <c r="Q637" s="1397">
        <f>P632</f>
        <v>114.8</v>
      </c>
    </row>
    <row r="638" spans="5:17">
      <c r="E638" s="1399">
        <v>43983</v>
      </c>
      <c r="I638" s="1397"/>
      <c r="J638" s="1398"/>
      <c r="K638" s="337"/>
      <c r="Q638" s="1397">
        <v>114.4</v>
      </c>
    </row>
    <row r="639" spans="5:17">
      <c r="E639" s="1397"/>
      <c r="I639" s="1397"/>
      <c r="J639" s="1398"/>
      <c r="K639" s="337"/>
      <c r="Q639" s="1397"/>
    </row>
    <row r="640" spans="5:17" ht="13.8" thickBot="1">
      <c r="E640" s="1396" t="s">
        <v>1082</v>
      </c>
      <c r="I640" s="1397"/>
      <c r="J640" s="1398"/>
      <c r="K640" s="337"/>
      <c r="Q640" s="1391">
        <f>((Q638/Q637)-1)*100</f>
        <v>-0.34843205574912606</v>
      </c>
    </row>
    <row r="641" spans="5:11" ht="13.8" thickTop="1">
      <c r="J641" s="1387"/>
      <c r="K641" s="337"/>
    </row>
    <row r="642" spans="5:11">
      <c r="J642" s="1387"/>
      <c r="K642" s="337"/>
    </row>
    <row r="643" spans="5:11">
      <c r="E643" s="1396"/>
      <c r="I643" s="1397"/>
      <c r="J643" s="1398"/>
      <c r="K643" s="1397"/>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X21:X56 L7:L56 Y7:Y56" xr:uid="{00000000-0002-0000-0900-000000000000}">
      <formula1>AND(K7&lt;&gt;"",OR(K7="n/a",AND(K7&gt;0,K7&lt;=100)))</formula1>
    </dataValidation>
    <dataValidation type="list" allowBlank="1" showInputMessage="1" showErrorMessage="1" sqref="E456" xr:uid="{00000000-0002-0000-0900-000001000000}">
      <formula1>$G$455:$G$456</formula1>
    </dataValidation>
    <dataValidation type="list" allowBlank="1" showInputMessage="1" showErrorMessage="1" sqref="E396" xr:uid="{00000000-0002-0000-0900-000002000000}">
      <formula1>$G$395:$G$397</formula1>
    </dataValidation>
    <dataValidation type="custom" allowBlank="1" showInputMessage="1" showErrorMessage="1" error="Invalid input, please try again." sqref="K7:K20" xr:uid="{00000000-0002-0000-09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Central West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3.0538922155688653E-2</v>
      </c>
      <c r="H6" s="243">
        <f>'RFM input'!H$385</f>
        <v>3.6025566531086683E-2</v>
      </c>
      <c r="I6" s="250">
        <f>'RFM input'!I$385</f>
        <v>1.1777902411665764E-2</v>
      </c>
      <c r="J6" s="243">
        <f>'RFM input'!J$385</f>
        <v>2.3904382470119501E-2</v>
      </c>
      <c r="K6" s="243">
        <f>'RFM input'!K$385</f>
        <v>3.0155642023346418E-2</v>
      </c>
      <c r="L6" s="243">
        <f>'RFM input'!L$385</f>
        <v>1.5108593012275628E-2</v>
      </c>
      <c r="M6" s="243">
        <f>'RFM input'!M$385</f>
        <v>1.0232558139534831E-2</v>
      </c>
      <c r="N6" s="243">
        <f>'RFM input'!N$385</f>
        <v>1.9337016574585641E-2</v>
      </c>
      <c r="O6" s="243">
        <f>'RFM input'!O$385</f>
        <v>2.0776874435411097E-2</v>
      </c>
      <c r="P6" s="243">
        <f>'RFM input'!P$385</f>
        <v>1.5929203539823078E-2</v>
      </c>
      <c r="Q6" s="243">
        <f>'RFM input'!Q$385</f>
        <v>-3.4843205574912606E-3</v>
      </c>
      <c r="R6" s="25"/>
      <c r="S6" s="34"/>
      <c r="T6" s="25"/>
      <c r="U6" s="25"/>
      <c r="V6" s="25"/>
      <c r="W6" s="25"/>
      <c r="X6" s="25"/>
      <c r="Y6" s="25"/>
      <c r="Z6" s="25"/>
    </row>
    <row r="7" spans="1:26" ht="12" customHeight="1">
      <c r="A7" s="3"/>
      <c r="B7" s="212" t="s">
        <v>41</v>
      </c>
      <c r="C7" s="170"/>
      <c r="D7" s="243"/>
      <c r="E7" s="170"/>
      <c r="F7" s="251"/>
      <c r="G7" s="249">
        <f>'RFM input'!G$386</f>
        <v>1</v>
      </c>
      <c r="H7" s="251">
        <f>'RFM input'!H$386</f>
        <v>1.0305389221556887</v>
      </c>
      <c r="I7" s="251">
        <f>'RFM input'!I$386</f>
        <v>1.0676646706586828</v>
      </c>
      <c r="J7" s="251">
        <f>'RFM input'!J$386</f>
        <v>1.080239520958084</v>
      </c>
      <c r="K7" s="251">
        <f>'RFM input'!K$386</f>
        <v>1.1060619796264046</v>
      </c>
      <c r="L7" s="251">
        <f>'RFM input'!L$386</f>
        <v>1.1394159887396524</v>
      </c>
      <c r="M7" s="251">
        <f>'RFM input'!M$386</f>
        <v>1.1566309611851995</v>
      </c>
      <c r="N7" s="251">
        <f>'RFM input'!N$386</f>
        <v>1.168466254741513</v>
      </c>
      <c r="O7" s="251">
        <f>'RFM input'!O$386</f>
        <v>1.1910609060762936</v>
      </c>
      <c r="P7" s="251">
        <f>'RFM input'!P$386</f>
        <v>1.2158074289667677</v>
      </c>
      <c r="Q7" s="251">
        <f>'RFM input'!Q$386</f>
        <v>1.2351742729680084</v>
      </c>
      <c r="R7" s="25"/>
      <c r="S7" s="34"/>
      <c r="T7" s="25"/>
      <c r="U7" s="25"/>
      <c r="V7" s="25"/>
      <c r="W7" s="25"/>
      <c r="X7" s="25"/>
      <c r="Y7" s="25"/>
      <c r="Z7" s="25"/>
    </row>
    <row r="8" spans="1:26">
      <c r="A8" s="3"/>
      <c r="B8" s="70" t="s">
        <v>45</v>
      </c>
      <c r="C8" s="3"/>
      <c r="D8" s="3"/>
      <c r="E8" s="3"/>
      <c r="F8" s="252"/>
      <c r="G8" s="343"/>
      <c r="H8" s="252">
        <f>vanilla1</f>
        <v>0.10570857752500307</v>
      </c>
      <c r="I8" s="253">
        <f>vanilla2</f>
        <v>7.8917333186033334E-2</v>
      </c>
      <c r="J8" s="253">
        <f>vanilla3</f>
        <v>7.186963506286892E-2</v>
      </c>
      <c r="K8" s="253">
        <f>vanilla4</f>
        <v>8.072120859827292E-2</v>
      </c>
      <c r="L8" s="253">
        <f>vanilla5</f>
        <v>6.6631543794191339E-2</v>
      </c>
      <c r="M8" s="253">
        <f>vanilla6</f>
        <v>5.4463496313102766E-2</v>
      </c>
      <c r="N8" s="253">
        <f>vanilla7</f>
        <v>5.2373390830024125E-2</v>
      </c>
      <c r="O8" s="253">
        <f>vanilla8</f>
        <v>5.1966696494946119E-2</v>
      </c>
      <c r="P8" s="253">
        <f>vanilla9</f>
        <v>4.8326341682757956E-2</v>
      </c>
      <c r="Q8" s="253">
        <f>vanilla10</f>
        <v>1.8955260447490518E-2</v>
      </c>
      <c r="R8" s="69"/>
      <c r="S8" s="34"/>
      <c r="T8" s="100"/>
      <c r="U8" s="100"/>
      <c r="V8" s="100"/>
      <c r="W8" s="100"/>
      <c r="X8" s="100"/>
      <c r="Y8" s="100"/>
      <c r="Z8" s="100"/>
    </row>
    <row r="9" spans="1:26">
      <c r="A9" s="3"/>
      <c r="B9" s="254" t="s">
        <v>28</v>
      </c>
      <c r="C9" s="170"/>
      <c r="D9" s="170"/>
      <c r="E9" s="170"/>
      <c r="F9" s="252"/>
      <c r="G9" s="343"/>
      <c r="H9" s="252">
        <f>'RFM input'!H$391</f>
        <v>6.7259933774834524E-2</v>
      </c>
      <c r="I9" s="252">
        <f>'RFM input'!I$391</f>
        <v>6.635787420770356E-2</v>
      </c>
      <c r="J9" s="252">
        <f>'RFM input'!J$391</f>
        <v>4.6845441248171582E-2</v>
      </c>
      <c r="K9" s="252">
        <f>'RFM input'!K$391</f>
        <v>4.9085365853658525E-2</v>
      </c>
      <c r="L9" s="252">
        <f>'RFM input'!L$391</f>
        <v>5.0756097560975544E-2</v>
      </c>
      <c r="M9" s="252">
        <f>'RFM input'!M$391</f>
        <v>4.3782926829268431E-2</v>
      </c>
      <c r="N9" s="252">
        <f>'RFM input'!N$391</f>
        <v>3.240966796875E-2</v>
      </c>
      <c r="O9" s="252">
        <f>'RFM input'!O$391</f>
        <v>3.0554984973367505E-2</v>
      </c>
      <c r="P9" s="252">
        <f>'RFM input'!P$391</f>
        <v>3.1889169077975899E-2</v>
      </c>
      <c r="Q9" s="252">
        <f>'RFM input'!Q$391</f>
        <v>2.251804107842581E-2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0.34719220307726456</v>
      </c>
      <c r="H13" s="1290"/>
      <c r="I13" s="1290"/>
      <c r="J13" s="1290"/>
      <c r="K13" s="1290"/>
      <c r="L13" s="1290"/>
      <c r="M13" s="1266"/>
      <c r="N13" s="1266"/>
      <c r="O13" s="1266"/>
      <c r="P13" s="1266"/>
      <c r="Q13" s="1266"/>
      <c r="R13" s="100"/>
      <c r="S13" s="4"/>
      <c r="T13" s="100"/>
      <c r="U13" s="100"/>
      <c r="V13" s="100"/>
      <c r="W13" s="100"/>
      <c r="X13" s="100"/>
      <c r="Y13" s="100"/>
      <c r="Z13" s="100"/>
    </row>
    <row r="14" spans="1:26" ht="12.75" hidden="1" customHeight="1" outlineLevel="1">
      <c r="A14" s="3"/>
      <c r="B14" s="3"/>
      <c r="C14" s="151" t="str">
        <f>Asset1</f>
        <v>Pipelines</v>
      </c>
      <c r="D14" s="3"/>
      <c r="E14" s="3"/>
      <c r="F14" s="3"/>
      <c r="G14" s="1291">
        <f>'RFM input'!M7</f>
        <v>0.3272949139240654</v>
      </c>
      <c r="H14" s="1290"/>
      <c r="I14" s="1290"/>
      <c r="J14" s="1290"/>
      <c r="K14" s="1290"/>
      <c r="L14" s="1290"/>
      <c r="M14" s="1266"/>
      <c r="N14" s="1266"/>
      <c r="O14" s="1266"/>
      <c r="P14" s="1266"/>
      <c r="Q14" s="1266"/>
      <c r="R14" s="100"/>
      <c r="S14" s="34"/>
      <c r="T14" s="100"/>
      <c r="U14" s="100"/>
      <c r="V14" s="100"/>
      <c r="W14" s="100"/>
      <c r="X14" s="100"/>
      <c r="Y14" s="100"/>
      <c r="Z14" s="100"/>
    </row>
    <row r="15" spans="1:26" ht="12.75" hidden="1" customHeight="1" outlineLevel="1">
      <c r="A15" s="3"/>
      <c r="B15" s="29"/>
      <c r="C15" s="151" t="str">
        <f>Asset2</f>
        <v>Compressors</v>
      </c>
      <c r="D15" s="3"/>
      <c r="E15" s="3"/>
      <c r="F15" s="101"/>
      <c r="G15" s="1291">
        <f>'RFM input'!M8</f>
        <v>0</v>
      </c>
      <c r="H15" s="1290"/>
      <c r="I15" s="1290"/>
      <c r="J15" s="1290"/>
      <c r="K15" s="1290"/>
      <c r="L15" s="1290"/>
      <c r="M15" s="1266"/>
      <c r="N15" s="1266"/>
      <c r="O15" s="1266"/>
      <c r="P15" s="1266"/>
      <c r="Q15" s="1266"/>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hidden="1"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hidden="1"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1">
        <f>'RFM input'!M15</f>
        <v>0</v>
      </c>
      <c r="H22" s="1290"/>
      <c r="I22" s="1290"/>
      <c r="J22" s="1290"/>
      <c r="K22" s="1290"/>
      <c r="L22" s="1290"/>
      <c r="M22" s="1266"/>
      <c r="N22" s="1266"/>
      <c r="O22" s="1266"/>
      <c r="P22" s="1266"/>
      <c r="Q22" s="1266"/>
      <c r="R22" s="100"/>
      <c r="S22" s="4"/>
      <c r="T22" s="100"/>
      <c r="U22" s="100"/>
      <c r="V22" s="100"/>
      <c r="W22" s="100"/>
      <c r="X22" s="100"/>
      <c r="Y22" s="100"/>
      <c r="Z22" s="100"/>
    </row>
    <row r="23" spans="1:26" ht="12.75" hidden="1"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1">
        <f>'RFM input'!M18</f>
        <v>1.9897289153199171E-2</v>
      </c>
      <c r="H25" s="1290"/>
      <c r="I25" s="1290"/>
      <c r="J25" s="1290"/>
      <c r="K25" s="1290"/>
      <c r="L25" s="1290"/>
      <c r="M25" s="1266"/>
      <c r="N25" s="1266"/>
      <c r="O25" s="1266"/>
      <c r="P25" s="1266"/>
      <c r="Q25" s="1266"/>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hidden="1"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hidden="1"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hidden="1"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hidden="1"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hidden="1"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hidden="1"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hidden="1"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hidden="1"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hidden="1"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hidden="1"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hidden="1"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hidden="1"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hidden="1"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hidden="1"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hidden="1"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hidden="1"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hidden="1"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hidden="1"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hidden="1"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hidden="1"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hidden="1"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hidden="1"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hidden="1"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hidden="1"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hidden="1"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hidden="1"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hidden="1"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hidden="1"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hidden="1"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hidden="1"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hidden="1"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hidden="1"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ollapsed="1">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0.34719220307726456</v>
      </c>
      <c r="H65" s="1266"/>
      <c r="I65" s="1266"/>
      <c r="J65" s="1266"/>
      <c r="K65" s="1266"/>
      <c r="L65" s="1266"/>
      <c r="M65" s="1266"/>
      <c r="N65" s="1266"/>
      <c r="O65" s="1266"/>
      <c r="P65" s="1266"/>
      <c r="Q65" s="1266"/>
      <c r="R65" s="100"/>
      <c r="S65" s="100"/>
      <c r="T65" s="100"/>
      <c r="U65" s="100"/>
      <c r="V65" s="100"/>
      <c r="W65" s="100"/>
      <c r="X65" s="100"/>
      <c r="Y65" s="100"/>
      <c r="Z65" s="100"/>
    </row>
    <row r="66" spans="1:26" hidden="1" outlineLevel="1">
      <c r="A66" s="3"/>
      <c r="B66" s="3"/>
      <c r="C66" s="151" t="str">
        <f>Asset1</f>
        <v>Pipelines</v>
      </c>
      <c r="D66" s="3"/>
      <c r="E66" s="3"/>
      <c r="F66" s="3"/>
      <c r="G66" s="1291">
        <f>'RFM input'!G169*(1+previous_vanilla)^0.5</f>
        <v>0.3272949139240654</v>
      </c>
      <c r="H66" s="1292"/>
      <c r="I66" s="1292"/>
      <c r="J66" s="1292"/>
      <c r="K66" s="1292"/>
      <c r="L66" s="1292"/>
      <c r="M66" s="1292"/>
      <c r="N66" s="1264"/>
      <c r="O66" s="1264"/>
      <c r="P66" s="1264"/>
      <c r="Q66" s="1264"/>
      <c r="R66" s="3"/>
      <c r="S66" s="3"/>
      <c r="T66" s="3"/>
      <c r="U66" s="3"/>
      <c r="V66" s="3"/>
      <c r="W66" s="3"/>
      <c r="X66" s="3"/>
      <c r="Y66" s="3"/>
      <c r="Z66" s="3"/>
    </row>
    <row r="67" spans="1:26" hidden="1" outlineLevel="1">
      <c r="A67" s="3"/>
      <c r="B67" s="29"/>
      <c r="C67" s="151" t="str">
        <f>Asset2</f>
        <v>Compressors</v>
      </c>
      <c r="D67" s="3"/>
      <c r="E67" s="3"/>
      <c r="F67" s="101"/>
      <c r="G67" s="1291">
        <f>'RFM input'!G170*(1+previous_vanilla)^0.5</f>
        <v>0</v>
      </c>
      <c r="H67" s="1292"/>
      <c r="I67" s="1292"/>
      <c r="J67" s="1292"/>
      <c r="K67" s="1292"/>
      <c r="L67" s="1292"/>
      <c r="M67" s="1292"/>
      <c r="N67" s="1264"/>
      <c r="O67" s="1264"/>
      <c r="P67" s="1264"/>
      <c r="Q67" s="1264"/>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hidden="1"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hidden="1"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hidden="1"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hidden="1"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hidden="1"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hidden="1" outlineLevel="1">
      <c r="A74" s="3"/>
      <c r="B74" s="29"/>
      <c r="C74" s="151" t="str">
        <f>Asset9</f>
        <v>Other depreciable pipeline assets</v>
      </c>
      <c r="D74" s="3"/>
      <c r="E74" s="3"/>
      <c r="F74" s="101"/>
      <c r="G74" s="1291">
        <f>'RFM input'!G177*(1+previous_vanilla)^0.5</f>
        <v>0</v>
      </c>
      <c r="H74" s="1292"/>
      <c r="I74" s="1292"/>
      <c r="J74" s="1292"/>
      <c r="K74" s="1292"/>
      <c r="L74" s="1292"/>
      <c r="M74" s="1292"/>
      <c r="N74" s="1264"/>
      <c r="O74" s="1264"/>
      <c r="P74" s="1264"/>
      <c r="Q74" s="1264"/>
      <c r="R74" s="74"/>
      <c r="S74" s="74"/>
      <c r="T74" s="74"/>
      <c r="U74" s="74"/>
      <c r="V74" s="74"/>
      <c r="W74" s="74"/>
      <c r="X74" s="74"/>
      <c r="Y74" s="74"/>
      <c r="Z74" s="74"/>
    </row>
    <row r="75" spans="1:26" hidden="1"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hidden="1"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hidden="1" outlineLevel="1">
      <c r="A77" s="3"/>
      <c r="B77" s="29"/>
      <c r="C77" s="151" t="str">
        <f>Asset12</f>
        <v>Shared supporting assets</v>
      </c>
      <c r="D77" s="3"/>
      <c r="E77" s="3"/>
      <c r="F77" s="101"/>
      <c r="G77" s="1291">
        <f>'RFM input'!G180*(1+previous_vanilla)^0.5</f>
        <v>1.9897289153199171E-2</v>
      </c>
      <c r="H77" s="1292"/>
      <c r="I77" s="1292"/>
      <c r="J77" s="1292"/>
      <c r="K77" s="1292"/>
      <c r="L77" s="1292"/>
      <c r="M77" s="1292"/>
      <c r="N77" s="1264"/>
      <c r="O77" s="1264"/>
      <c r="P77" s="1264"/>
      <c r="Q77" s="1264"/>
      <c r="R77" s="74"/>
      <c r="S77" s="74"/>
      <c r="T77" s="74"/>
      <c r="U77" s="74"/>
      <c r="V77" s="74"/>
      <c r="W77" s="74"/>
      <c r="X77" s="74"/>
      <c r="Y77" s="74"/>
      <c r="Z77" s="74"/>
    </row>
    <row r="78" spans="1:26" hidden="1"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hidden="1"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hidden="1"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hidden="1"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hidden="1"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hidden="1"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hidden="1"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hidden="1"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hidden="1"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hidden="1"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hidden="1"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hidden="1"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hidden="1"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hidden="1"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hidden="1"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hidden="1"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hidden="1"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hidden="1"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hidden="1"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hidden="1"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hidden="1"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hidden="1"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hidden="1"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hidden="1"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hidden="1"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hidden="1"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hidden="1"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hidden="1"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hidden="1"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hidden="1"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hidden="1"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hidden="1"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hidden="1"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hidden="1"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hidden="1"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hidden="1"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ollapsed="1">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0.34719220307726456</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0.3272949139240654</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0</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0</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1.9897289153199171E-2</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0.34719220307726456</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0.3272949139240654</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0</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0</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1.9897289153199171E-2</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Z1621"/>
  <sheetViews>
    <sheetView zoomScale="80" zoomScaleNormal="80" workbookViewId="0"/>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Central West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t="str">
        <f>IF(LEN(Q4)&gt;4,CONCATENATE(LEFT(Q4, 4)+1 &amp;"-" &amp;IF(Q4&gt;"2007-08",,"0") &amp;RIGHT(Q4,2)+1),Q4+1)</f>
        <v>2020-21</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3.0538922155688653E-2</v>
      </c>
      <c r="H6" s="12">
        <f>'RFM input'!H385</f>
        <v>3.6025566531086683E-2</v>
      </c>
      <c r="I6" s="12">
        <f>'RFM input'!I385</f>
        <v>1.1777902411665764E-2</v>
      </c>
      <c r="J6" s="12">
        <f>'RFM input'!J385</f>
        <v>2.3904382470119501E-2</v>
      </c>
      <c r="K6" s="12">
        <f>'RFM input'!K385</f>
        <v>3.0155642023346418E-2</v>
      </c>
      <c r="L6" s="12">
        <f>'RFM input'!L385</f>
        <v>1.5108593012275628E-2</v>
      </c>
      <c r="M6" s="12">
        <f>'RFM input'!M385</f>
        <v>1.0232558139534831E-2</v>
      </c>
      <c r="N6" s="12">
        <f>'RFM input'!N385</f>
        <v>1.9337016574585641E-2</v>
      </c>
      <c r="O6" s="12">
        <f>'RFM input'!O385</f>
        <v>2.0776874435411097E-2</v>
      </c>
      <c r="P6" s="12">
        <f>'RFM input'!P385</f>
        <v>1.5929203539823078E-2</v>
      </c>
      <c r="Q6" s="12">
        <f>'RFM input'!Q385</f>
        <v>-3.4843205574912606E-3</v>
      </c>
      <c r="R6" s="12"/>
      <c r="S6" s="61"/>
      <c r="T6" s="61"/>
      <c r="U6" s="61"/>
      <c r="V6" s="61"/>
      <c r="W6" s="61"/>
      <c r="X6" s="61"/>
      <c r="Y6" s="61"/>
      <c r="Z6" s="61"/>
    </row>
    <row r="7" spans="1:26">
      <c r="A7" s="3"/>
      <c r="B7" s="3"/>
      <c r="C7" s="3" t="s">
        <v>41</v>
      </c>
      <c r="D7" s="3"/>
      <c r="E7" s="3"/>
      <c r="F7" s="3"/>
      <c r="G7" s="128">
        <f>'RFM input'!G386</f>
        <v>1</v>
      </c>
      <c r="H7" s="135">
        <f>'RFM input'!H386</f>
        <v>1.0305389221556887</v>
      </c>
      <c r="I7" s="136">
        <f>'RFM input'!I386</f>
        <v>1.0676646706586828</v>
      </c>
      <c r="J7" s="136">
        <f>'RFM input'!J386</f>
        <v>1.080239520958084</v>
      </c>
      <c r="K7" s="136">
        <f>'RFM input'!K386</f>
        <v>1.1060619796264046</v>
      </c>
      <c r="L7" s="136">
        <f>'RFM input'!L386</f>
        <v>1.1394159887396524</v>
      </c>
      <c r="M7" s="136">
        <f>'RFM input'!M386</f>
        <v>1.1566309611851995</v>
      </c>
      <c r="N7" s="136">
        <f>'RFM input'!N386</f>
        <v>1.168466254741513</v>
      </c>
      <c r="O7" s="136">
        <f>'RFM input'!O386</f>
        <v>1.1910609060762936</v>
      </c>
      <c r="P7" s="136">
        <f>'RFM input'!P386</f>
        <v>1.2158074289667677</v>
      </c>
      <c r="Q7" s="136">
        <f>'RFM input'!Q386</f>
        <v>1.2351742729680084</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2009-10)</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8.209295399005824E-2</v>
      </c>
      <c r="I11" s="1264">
        <f t="shared" ref="I11:Q11" si="1">SUM(I12:I61)</f>
        <v>0.30045982226472762</v>
      </c>
      <c r="J11" s="1264">
        <f t="shared" si="1"/>
        <v>0.3416375123526551</v>
      </c>
      <c r="K11" s="1264">
        <f t="shared" si="1"/>
        <v>1.8055908059426556E-2</v>
      </c>
      <c r="L11" s="1264">
        <f t="shared" si="1"/>
        <v>0.20667808392850573</v>
      </c>
      <c r="M11" s="1264">
        <f t="shared" si="1"/>
        <v>0.10391957191774466</v>
      </c>
      <c r="N11" s="1264">
        <f t="shared" si="1"/>
        <v>0.14503166579629501</v>
      </c>
      <c r="O11" s="1264">
        <f t="shared" si="1"/>
        <v>0.12248302389352983</v>
      </c>
      <c r="P11" s="1264">
        <f t="shared" si="1"/>
        <v>0.17923041489702113</v>
      </c>
      <c r="Q11" s="1264">
        <f t="shared" si="1"/>
        <v>0.17185250668870111</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v>
      </c>
      <c r="I12" s="1292">
        <f>'RFM input'!I169*(1+vanilla2)^0.5</f>
        <v>0</v>
      </c>
      <c r="J12" s="1292">
        <f>'RFM input'!J169*(1+vanilla3)^0.5</f>
        <v>0.31936231171490431</v>
      </c>
      <c r="K12" s="1292">
        <f>'RFM input'!K169*(1+vanilla4)^0.5</f>
        <v>0</v>
      </c>
      <c r="L12" s="1292">
        <f>'RFM input'!L169*(1+vanilla5)^0.5</f>
        <v>0.12019800161298766</v>
      </c>
      <c r="M12" s="1292">
        <f>'RFM input'!M169*(1+vanilla6)^0.5</f>
        <v>0</v>
      </c>
      <c r="N12" s="1292">
        <f>'RFM input'!N169*(1+vanilla7)^0.5</f>
        <v>0</v>
      </c>
      <c r="O12" s="1292">
        <f>'RFM input'!O169*(1+vanilla8)^0.5</f>
        <v>0</v>
      </c>
      <c r="P12" s="1292">
        <f>'RFM input'!P169*(1+vanilla9)^0.5</f>
        <v>0</v>
      </c>
      <c r="Q12" s="1292">
        <f>'RFM input'!Q169*(1+vanilla10)^0.5</f>
        <v>0</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0</v>
      </c>
      <c r="K13" s="1292">
        <f>'RFM input'!K170*(1+vanilla4)^0.5</f>
        <v>0</v>
      </c>
      <c r="L13" s="1292">
        <f>'RFM input'!L170*(1+vanilla5)^0.5</f>
        <v>0</v>
      </c>
      <c r="M13" s="1292">
        <f>'RFM input'!M170*(1+vanilla6)^0.5</f>
        <v>0</v>
      </c>
      <c r="N13" s="1292">
        <f>'RFM input'!N170*(1+vanilla7)^0.5</f>
        <v>0</v>
      </c>
      <c r="O13" s="1292">
        <f>'RFM input'!O170*(1+vanilla8)^0.5</f>
        <v>0</v>
      </c>
      <c r="P13" s="1292">
        <f>'RFM input'!P170*(1+vanilla9)^0.5</f>
        <v>0</v>
      </c>
      <c r="Q13" s="1292">
        <f>'RFM input'!Q170*(1+vanilla10)^0.5</f>
        <v>0</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0</v>
      </c>
      <c r="M14" s="1292">
        <f>'RFM input'!M171*(1+vanilla6)^0.5</f>
        <v>0</v>
      </c>
      <c r="N14" s="1292">
        <f>'RFM input'!N171*(1+vanilla7)^0.5</f>
        <v>0</v>
      </c>
      <c r="O14" s="1292">
        <f>'RFM input'!O171*(1+vanilla8)^0.5</f>
        <v>0</v>
      </c>
      <c r="P14" s="1292">
        <f>'RFM input'!P171*(1+vanilla9)^0.5</f>
        <v>0</v>
      </c>
      <c r="Q14" s="1292">
        <f>'RFM input'!Q171*(1+vanilla10)^0.5</f>
        <v>0</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0</v>
      </c>
      <c r="J15" s="1292">
        <f>'RFM input'!J172*(1+vanilla3)^0.5</f>
        <v>0</v>
      </c>
      <c r="K15" s="1292">
        <f>'RFM input'!K172*(1+vanilla4)^0.5</f>
        <v>0</v>
      </c>
      <c r="L15" s="1292">
        <f>'RFM input'!L172*(1+vanilla5)^0.5</f>
        <v>0</v>
      </c>
      <c r="M15" s="1292">
        <f>'RFM input'!M172*(1+vanilla6)^0.5</f>
        <v>0</v>
      </c>
      <c r="N15" s="1292">
        <f>'RFM input'!N172*(1+vanilla7)^0.5</f>
        <v>0</v>
      </c>
      <c r="O15" s="1292">
        <f>'RFM input'!O172*(1+vanilla8)^0.5</f>
        <v>0</v>
      </c>
      <c r="P15" s="1292">
        <f>'RFM input'!P172*(1+vanilla9)^0.5</f>
        <v>0</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0.2661413064420684</v>
      </c>
      <c r="J16" s="1292">
        <f>'RFM input'!J173*(1+vanilla3)^0.5</f>
        <v>0</v>
      </c>
      <c r="K16" s="1292">
        <f>'RFM input'!K173*(1+vanilla4)^0.5</f>
        <v>0</v>
      </c>
      <c r="L16" s="1292">
        <f>'RFM input'!L173*(1+vanilla5)^0.5</f>
        <v>0</v>
      </c>
      <c r="M16" s="1292">
        <f>'RFM input'!M173*(1+vanilla6)^0.5</f>
        <v>0</v>
      </c>
      <c r="N16" s="1292">
        <f>'RFM input'!N173*(1+vanilla7)^0.5</f>
        <v>0</v>
      </c>
      <c r="O16" s="1292">
        <f>'RFM input'!O173*(1+vanilla8)^0.5</f>
        <v>0</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v>
      </c>
      <c r="I17" s="1292">
        <f>'RFM input'!I174*(1+vanilla2)^0.5</f>
        <v>0</v>
      </c>
      <c r="J17" s="1292">
        <f>'RFM input'!J174*(1+vanilla3)^0.5</f>
        <v>0</v>
      </c>
      <c r="K17" s="1292">
        <f>'RFM input'!K174*(1+vanilla4)^0.5</f>
        <v>0</v>
      </c>
      <c r="L17" s="1292">
        <f>'RFM input'!L174*(1+vanilla5)^0.5</f>
        <v>0</v>
      </c>
      <c r="M17" s="1292">
        <f>'RFM input'!M174*(1+vanilla6)^0.5</f>
        <v>0</v>
      </c>
      <c r="N17" s="1292">
        <f>'RFM input'!N174*(1+vanilla7)^0.5</f>
        <v>0.10072146023653941</v>
      </c>
      <c r="O17" s="1292">
        <f>'RFM input'!O174*(1+vanilla8)^0.5</f>
        <v>4.8736641990907235E-2</v>
      </c>
      <c r="P17" s="1292">
        <f>'RFM input'!P174*(1+vanilla9)^0.5</f>
        <v>7.9801335329547821E-2</v>
      </c>
      <c r="Q17" s="1292">
        <f>'RFM input'!Q174*(1+vanilla10)^0.5</f>
        <v>0</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0</v>
      </c>
      <c r="N18" s="1292">
        <f>'RFM input'!N175*(1+vanilla7)^0.5</f>
        <v>0</v>
      </c>
      <c r="O18" s="1292">
        <f>'RFM input'!O175*(1+vanilla8)^0.5</f>
        <v>0</v>
      </c>
      <c r="P18" s="1292">
        <f>'RFM input'!P175*(1+vanilla9)^0.5</f>
        <v>0</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0</v>
      </c>
      <c r="I20" s="1292">
        <f>'RFM input'!I177*(1+vanilla2)^0.5</f>
        <v>0</v>
      </c>
      <c r="J20" s="1292">
        <f>'RFM input'!J177*(1+vanilla3)^0.5</f>
        <v>0</v>
      </c>
      <c r="K20" s="1292">
        <f>'RFM input'!K177*(1+vanilla4)^0.5</f>
        <v>0</v>
      </c>
      <c r="L20" s="1292">
        <f>'RFM input'!L177*(1+vanilla5)^0.5</f>
        <v>0</v>
      </c>
      <c r="M20" s="1292">
        <f>'RFM input'!M177*(1+vanilla6)^0.5</f>
        <v>0</v>
      </c>
      <c r="N20" s="1292">
        <f>'RFM input'!N177*(1+vanilla7)^0.5</f>
        <v>0</v>
      </c>
      <c r="O20" s="1292">
        <f>'RFM input'!O177*(1+vanilla8)^0.5</f>
        <v>0</v>
      </c>
      <c r="P20" s="1292">
        <f>'RFM input'!P177*(1+vanilla9)^0.5</f>
        <v>0</v>
      </c>
      <c r="Q20" s="1292">
        <f>'RFM input'!Q177*(1+vanilla10)^0.5</f>
        <v>0</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0</v>
      </c>
      <c r="J21" s="1292">
        <f>'RFM input'!J178*(1+vanilla3)^0.5</f>
        <v>0</v>
      </c>
      <c r="K21" s="1292">
        <f>'RFM input'!K178*(1+vanilla4)^0.5</f>
        <v>0</v>
      </c>
      <c r="L21" s="1292">
        <f>'RFM input'!L178*(1+vanilla5)^0.5</f>
        <v>0</v>
      </c>
      <c r="M21" s="1292">
        <f>'RFM input'!M178*(1+vanilla6)^0.5</f>
        <v>0</v>
      </c>
      <c r="N21" s="1292">
        <f>'RFM input'!N178*(1+vanilla7)^0.5</f>
        <v>0</v>
      </c>
      <c r="O21" s="1292">
        <f>'RFM input'!O178*(1+vanilla8)^0.5</f>
        <v>0</v>
      </c>
      <c r="P21" s="1292">
        <f>'RFM input'!P178*(1+vanilla9)^0.5</f>
        <v>0</v>
      </c>
      <c r="Q21" s="1292">
        <f>'RFM input'!Q178*(1+vanilla10)^0.5</f>
        <v>1.5645256465548665E-2</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0</v>
      </c>
      <c r="I22" s="1292">
        <f>'RFM input'!I179*(1+vanilla2)^0.5</f>
        <v>0</v>
      </c>
      <c r="J22" s="1292">
        <f>'RFM input'!J179*(1+vanilla3)^0.5</f>
        <v>0</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8.209295399005824E-2</v>
      </c>
      <c r="I23" s="1292">
        <f>'RFM input'!I180*(1+vanilla2)^0.5</f>
        <v>3.4318515822659226E-2</v>
      </c>
      <c r="J23" s="1292">
        <f>'RFM input'!J180*(1+vanilla3)^0.5</f>
        <v>2.2275200637750778E-2</v>
      </c>
      <c r="K23" s="1292">
        <f>'RFM input'!K180*(1+vanilla4)^0.5</f>
        <v>1.8055908059426556E-2</v>
      </c>
      <c r="L23" s="1292">
        <f>'RFM input'!L180*(1+vanilla5)^0.5</f>
        <v>8.648008231551807E-2</v>
      </c>
      <c r="M23" s="1292">
        <f>'RFM input'!M180*(1+vanilla6)^0.5</f>
        <v>0.10391957191774466</v>
      </c>
      <c r="N23" s="1292">
        <f>'RFM input'!N180*(1+vanilla7)^0.5</f>
        <v>4.4310205559755608E-2</v>
      </c>
      <c r="O23" s="1292">
        <f>'RFM input'!O180*(1+vanilla8)^0.5</f>
        <v>7.3746381902622601E-2</v>
      </c>
      <c r="P23" s="1292">
        <f>'RFM input'!P180*(1+vanilla9)^0.5</f>
        <v>9.9429079567473322E-2</v>
      </c>
      <c r="Q23" s="1292">
        <f>'RFM input'!Q180*(1+vanilla10)^0.5</f>
        <v>8.6053587367618839E-2</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7.0153662855533594E-2</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0</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8.209295399005824E-2</v>
      </c>
      <c r="I63" s="1264">
        <f t="shared" ref="I63:Q63" si="2">SUM(I64:I113)</f>
        <v>0.30045982226472762</v>
      </c>
      <c r="J63" s="1264">
        <f t="shared" si="2"/>
        <v>0.3416375123526551</v>
      </c>
      <c r="K63" s="1264">
        <f t="shared" si="2"/>
        <v>1.8055908059426556E-2</v>
      </c>
      <c r="L63" s="1264">
        <f t="shared" si="2"/>
        <v>0.20667808392850573</v>
      </c>
      <c r="M63" s="1264">
        <f t="shared" si="2"/>
        <v>0.10391957191774466</v>
      </c>
      <c r="N63" s="1264">
        <f t="shared" si="2"/>
        <v>0.14503166579629501</v>
      </c>
      <c r="O63" s="1264">
        <f t="shared" si="2"/>
        <v>0.12248302389352983</v>
      </c>
      <c r="P63" s="1264">
        <f t="shared" si="2"/>
        <v>0.17923041489702113</v>
      </c>
      <c r="Q63" s="1264">
        <f t="shared" si="2"/>
        <v>0.17185250668870111</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v>
      </c>
      <c r="I64" s="1292">
        <f>'RFM input'!I331*(1+vanilla2)^0.5</f>
        <v>0</v>
      </c>
      <c r="J64" s="1292">
        <f>'RFM input'!J331*(1+vanilla3)^0.5</f>
        <v>0.31936231171490431</v>
      </c>
      <c r="K64" s="1292">
        <f>'RFM input'!K331*(1+vanilla4)^0.5</f>
        <v>0</v>
      </c>
      <c r="L64" s="1292">
        <f>'RFM input'!L331*(1+vanilla5)^0.5</f>
        <v>0.12019800161298766</v>
      </c>
      <c r="M64" s="1292">
        <f>'RFM input'!M331*(1+vanilla6)^0.5</f>
        <v>0</v>
      </c>
      <c r="N64" s="1292">
        <f>'RFM input'!N331*(1+vanilla7)^0.5</f>
        <v>0</v>
      </c>
      <c r="O64" s="1292">
        <f>'RFM input'!O331*(1+vanilla8)^0.5</f>
        <v>0</v>
      </c>
      <c r="P64" s="1292">
        <f>'RFM input'!P331*(1+vanilla9)^0.5</f>
        <v>0</v>
      </c>
      <c r="Q64" s="1292">
        <f>'RFM input'!Q331*(1+vanilla10)^0.5</f>
        <v>0</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0</v>
      </c>
      <c r="K65" s="1292">
        <f>'RFM input'!K332*(1+vanilla4)^0.5</f>
        <v>0</v>
      </c>
      <c r="L65" s="1292">
        <f>'RFM input'!L332*(1+vanilla5)^0.5</f>
        <v>0</v>
      </c>
      <c r="M65" s="1292">
        <f>'RFM input'!M332*(1+vanilla6)^0.5</f>
        <v>0</v>
      </c>
      <c r="N65" s="1292">
        <f>'RFM input'!N332*(1+vanilla7)^0.5</f>
        <v>0</v>
      </c>
      <c r="O65" s="1292">
        <f>'RFM input'!O332*(1+vanilla8)^0.5</f>
        <v>0</v>
      </c>
      <c r="P65" s="1292">
        <f>'RFM input'!P332*(1+vanilla9)^0.5</f>
        <v>0</v>
      </c>
      <c r="Q65" s="1292">
        <f>'RFM input'!Q332*(1+vanilla10)^0.5</f>
        <v>0</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0</v>
      </c>
      <c r="M66" s="1292">
        <f>'RFM input'!M333*(1+vanilla6)^0.5</f>
        <v>0</v>
      </c>
      <c r="N66" s="1292">
        <f>'RFM input'!N333*(1+vanilla7)^0.5</f>
        <v>0</v>
      </c>
      <c r="O66" s="1292">
        <f>'RFM input'!O333*(1+vanilla8)^0.5</f>
        <v>0</v>
      </c>
      <c r="P66" s="1292">
        <f>'RFM input'!P333*(1+vanilla9)^0.5</f>
        <v>0</v>
      </c>
      <c r="Q66" s="1292">
        <f>'RFM input'!Q333*(1+vanilla10)^0.5</f>
        <v>0</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0</v>
      </c>
      <c r="J67" s="1292">
        <f>'RFM input'!J334*(1+vanilla3)^0.5</f>
        <v>0</v>
      </c>
      <c r="K67" s="1292">
        <f>'RFM input'!K334*(1+vanilla4)^0.5</f>
        <v>0</v>
      </c>
      <c r="L67" s="1292">
        <f>'RFM input'!L334*(1+vanilla5)^0.5</f>
        <v>0</v>
      </c>
      <c r="M67" s="1292">
        <f>'RFM input'!M334*(1+vanilla6)^0.5</f>
        <v>0</v>
      </c>
      <c r="N67" s="1292">
        <f>'RFM input'!N334*(1+vanilla7)^0.5</f>
        <v>0</v>
      </c>
      <c r="O67" s="1292">
        <f>'RFM input'!O334*(1+vanilla8)^0.5</f>
        <v>0</v>
      </c>
      <c r="P67" s="1292">
        <f>'RFM input'!P334*(1+vanilla9)^0.5</f>
        <v>0</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0.2661413064420684</v>
      </c>
      <c r="J68" s="1292">
        <f>'RFM input'!J335*(1+vanilla3)^0.5</f>
        <v>0</v>
      </c>
      <c r="K68" s="1292">
        <f>'RFM input'!K335*(1+vanilla4)^0.5</f>
        <v>0</v>
      </c>
      <c r="L68" s="1292">
        <f>'RFM input'!L335*(1+vanilla5)^0.5</f>
        <v>0</v>
      </c>
      <c r="M68" s="1292">
        <f>'RFM input'!M335*(1+vanilla6)^0.5</f>
        <v>0</v>
      </c>
      <c r="N68" s="1292">
        <f>'RFM input'!N335*(1+vanilla7)^0.5</f>
        <v>0</v>
      </c>
      <c r="O68" s="1292">
        <f>'RFM input'!O335*(1+vanilla8)^0.5</f>
        <v>0</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v>
      </c>
      <c r="I69" s="1292">
        <f>'RFM input'!I336*(1+vanilla2)^0.5</f>
        <v>0</v>
      </c>
      <c r="J69" s="1292">
        <f>'RFM input'!J336*(1+vanilla3)^0.5</f>
        <v>0</v>
      </c>
      <c r="K69" s="1292">
        <f>'RFM input'!K336*(1+vanilla4)^0.5</f>
        <v>0</v>
      </c>
      <c r="L69" s="1292">
        <f>'RFM input'!L336*(1+vanilla5)^0.5</f>
        <v>0</v>
      </c>
      <c r="M69" s="1292">
        <f>'RFM input'!M336*(1+vanilla6)^0.5</f>
        <v>0</v>
      </c>
      <c r="N69" s="1292">
        <f>'RFM input'!N336*(1+vanilla7)^0.5</f>
        <v>0.10072146023653941</v>
      </c>
      <c r="O69" s="1292">
        <f>'RFM input'!O336*(1+vanilla8)^0.5</f>
        <v>4.8736641990907235E-2</v>
      </c>
      <c r="P69" s="1292">
        <f>'RFM input'!P336*(1+vanilla9)^0.5</f>
        <v>7.9801335329547821E-2</v>
      </c>
      <c r="Q69" s="1292">
        <f>'RFM input'!Q336*(1+vanilla10)^0.5</f>
        <v>0</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0</v>
      </c>
      <c r="N70" s="1292">
        <f>'RFM input'!N337*(1+vanilla7)^0.5</f>
        <v>0</v>
      </c>
      <c r="O70" s="1292">
        <f>'RFM input'!O337*(1+vanilla8)^0.5</f>
        <v>0</v>
      </c>
      <c r="P70" s="1292">
        <f>'RFM input'!P337*(1+vanilla9)^0.5</f>
        <v>0</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0</v>
      </c>
      <c r="I72" s="1292">
        <f>'RFM input'!I339*(1+vanilla2)^0.5</f>
        <v>0</v>
      </c>
      <c r="J72" s="1292">
        <f>'RFM input'!J339*(1+vanilla3)^0.5</f>
        <v>0</v>
      </c>
      <c r="K72" s="1292">
        <f>'RFM input'!K339*(1+vanilla4)^0.5</f>
        <v>0</v>
      </c>
      <c r="L72" s="1292">
        <f>'RFM input'!L339*(1+vanilla5)^0.5</f>
        <v>0</v>
      </c>
      <c r="M72" s="1292">
        <f>'RFM input'!M339*(1+vanilla6)^0.5</f>
        <v>0</v>
      </c>
      <c r="N72" s="1292">
        <f>'RFM input'!N339*(1+vanilla7)^0.5</f>
        <v>0</v>
      </c>
      <c r="O72" s="1292">
        <f>'RFM input'!O339*(1+vanilla8)^0.5</f>
        <v>0</v>
      </c>
      <c r="P72" s="1292">
        <f>'RFM input'!P339*(1+vanilla9)^0.5</f>
        <v>0</v>
      </c>
      <c r="Q72" s="1292">
        <f>'RFM input'!Q339*(1+vanilla10)^0.5</f>
        <v>0</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0</v>
      </c>
      <c r="J73" s="1292">
        <f>'RFM input'!J340*(1+vanilla3)^0.5</f>
        <v>0</v>
      </c>
      <c r="K73" s="1292">
        <f>'RFM input'!K340*(1+vanilla4)^0.5</f>
        <v>0</v>
      </c>
      <c r="L73" s="1292">
        <f>'RFM input'!L340*(1+vanilla5)^0.5</f>
        <v>0</v>
      </c>
      <c r="M73" s="1292">
        <f>'RFM input'!M340*(1+vanilla6)^0.5</f>
        <v>0</v>
      </c>
      <c r="N73" s="1292">
        <f>'RFM input'!N340*(1+vanilla7)^0.5</f>
        <v>0</v>
      </c>
      <c r="O73" s="1292">
        <f>'RFM input'!O340*(1+vanilla8)^0.5</f>
        <v>0</v>
      </c>
      <c r="P73" s="1292">
        <f>'RFM input'!P340*(1+vanilla9)^0.5</f>
        <v>0</v>
      </c>
      <c r="Q73" s="1292">
        <f>'RFM input'!Q340*(1+vanilla10)^0.5</f>
        <v>1.5645256465548665E-2</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0</v>
      </c>
      <c r="I74" s="1292">
        <f>'RFM input'!I341*(1+vanilla2)^0.5</f>
        <v>0</v>
      </c>
      <c r="J74" s="1292">
        <f>'RFM input'!J341*(1+vanilla3)^0.5</f>
        <v>0</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8.209295399005824E-2</v>
      </c>
      <c r="I75" s="1292">
        <f>'RFM input'!I342*(1+vanilla2)^0.5</f>
        <v>3.4318515822659226E-2</v>
      </c>
      <c r="J75" s="1292">
        <f>'RFM input'!J342*(1+vanilla3)^0.5</f>
        <v>2.2275200637750778E-2</v>
      </c>
      <c r="K75" s="1292">
        <f>'RFM input'!K342*(1+vanilla4)^0.5</f>
        <v>1.8055908059426556E-2</v>
      </c>
      <c r="L75" s="1292">
        <f>'RFM input'!L342*(1+vanilla5)^0.5</f>
        <v>8.648008231551807E-2</v>
      </c>
      <c r="M75" s="1292">
        <f>'RFM input'!M342*(1+vanilla6)^0.5</f>
        <v>0.10391957191774466</v>
      </c>
      <c r="N75" s="1292">
        <f>'RFM input'!N342*(1+vanilla7)^0.5</f>
        <v>4.4310205559755608E-2</v>
      </c>
      <c r="O75" s="1292">
        <f>'RFM input'!O342*(1+vanilla8)^0.5</f>
        <v>7.3746381902622601E-2</v>
      </c>
      <c r="P75" s="1292">
        <f>'RFM input'!P342*(1+vanilla9)^0.5</f>
        <v>9.9429079567473322E-2</v>
      </c>
      <c r="Q75" s="1292">
        <f>'RFM input'!Q342*(1+vanilla10)^0.5</f>
        <v>8.6053587367618839E-2</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7.0153662855533594E-2</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0</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-0.76256520097025371</v>
      </c>
      <c r="I115" s="1297">
        <f t="shared" ref="I115:Q115" si="3">I128+I141+I154+I167+I180+I193+I206+I219+I232+I245+I258+I271+I284+I297+I310+I323+I336+I349+I362+I375+I388+I401+I414+I427+I440+I453+I466+I479+I492+I505+I518+I531+I544+I557+I570+I583+I596+I609+I622+I635+I648+I661+I674+I687+I700+I713+I726+I739+I752+I765</f>
        <v>-0.77898379176826527</v>
      </c>
      <c r="J115" s="1297">
        <f t="shared" si="3"/>
        <v>-0.78917426126332291</v>
      </c>
      <c r="K115" s="1297">
        <f t="shared" si="3"/>
        <v>-0.79623015328156044</v>
      </c>
      <c r="L115" s="1297">
        <f t="shared" si="3"/>
        <v>-0.78588480691245344</v>
      </c>
      <c r="M115" s="1297">
        <f t="shared" si="3"/>
        <v>-0.80468329839571939</v>
      </c>
      <c r="N115" s="1297">
        <f>N128+N141+N154+N167+N180+N193+N206+N219+N232+N245+N258+N271+N284+N297+N310+N323+N336+N349+N362+N375+N388+N401+N414+N427+N440+N453+N466+N479+N492+N505+N518+N531+N544+N557+N570+N583+N596+N609+N622+N635+N648+N661+N674+N687+N700+N713+N726+N739+N752+N765</f>
        <v>-0.80904862198125671</v>
      </c>
      <c r="O115" s="1297">
        <f t="shared" si="3"/>
        <v>-0.81776172394444524</v>
      </c>
      <c r="P115" s="1297">
        <f t="shared" si="3"/>
        <v>-0.83038473145815206</v>
      </c>
      <c r="Q115" s="1297">
        <f t="shared" si="3"/>
        <v>-0.8519794547817312</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0.4897699567872637</v>
      </c>
      <c r="I116" s="1303">
        <f>IF(I$3&gt;A1remlife,A1value-SUM($G116:H116),IF(A1remlife="N/A","n/a",A1value/A1remlife))</f>
        <v>0.4897699567872637</v>
      </c>
      <c r="J116" s="1303">
        <f>IF(J$3&gt;A1remlife,A1value-SUM($G116:I116),IF(A1remlife="N/A","n/a",A1value/A1remlife))</f>
        <v>0.4897699567872637</v>
      </c>
      <c r="K116" s="1303">
        <f>IF(K$3&gt;A1remlife,A1value-SUM($G116:J116),IF(A1remlife="N/A","n/a",A1value/A1remlife))</f>
        <v>0.4897699567872637</v>
      </c>
      <c r="L116" s="1303">
        <f>IF(L$3&gt;A1remlife,A1value-SUM($G116:K116),IF(A1remlife="N/A","n/a",A1value/A1remlife))</f>
        <v>0.4897699567872637</v>
      </c>
      <c r="M116" s="1303">
        <f>IF(M$3&gt;A1remlife,A1value-SUM($G116:L116),IF(A1remlife="N/A","n/a",A1value/A1remlife))</f>
        <v>0.4897699567872637</v>
      </c>
      <c r="N116" s="1303">
        <f>IF(N$3&gt;A1remlife,A1value-SUM($G116:M116),IF(A1remlife="N/A","n/a",A1value/A1remlife))</f>
        <v>0.4897699567872637</v>
      </c>
      <c r="O116" s="1303">
        <f>IF(O$3&gt;A1remlife,A1value-SUM($G116:N116),IF(A1remlife="N/A","n/a",A1value/A1remlife))</f>
        <v>0.4897699567872637</v>
      </c>
      <c r="P116" s="1303">
        <f>IF(P$3&gt;A1remlife,A1value-SUM($G116:O116),IF(A1remlife="N/A","n/a",A1value/A1remlife))</f>
        <v>0.4897699567872637</v>
      </c>
      <c r="Q116" s="1303">
        <f>IF(Q$3&gt;A1remlife,A1value-SUM($G116:P116),IF(A1remlife="N/A","n/a",A1value/A1remlife))</f>
        <v>0.4897699567872637</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4"/>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3.9920288964363036E-3</v>
      </c>
      <c r="L120" s="18">
        <f>IF(A1stdlife="n/a","n/a",IF(L$3&gt;(A1stdlife+$F120),('RFM input'!$J$331*(1+vanilla3)^0.5)-SUM($J120:K120),('RFM input'!$J$331*(1+vanilla3)^0.5)/A1stdlife))</f>
        <v>3.9920288964363036E-3</v>
      </c>
      <c r="M120" s="18">
        <f>IF(A1stdlife="n/a","n/a",IF(M$3&gt;(A1stdlife+$F120),('RFM input'!$J$331*(1+vanilla3)^0.5)-SUM($J120:L120),('RFM input'!$J$331*(1+vanilla3)^0.5)/A1stdlife))</f>
        <v>3.9920288964363036E-3</v>
      </c>
      <c r="N120" s="18">
        <f>IF(A1stdlife="n/a","n/a",IF(N$3&gt;(A1stdlife+$F120),('RFM input'!$J$331*(1+vanilla3)^0.5)-SUM($J120:M120),('RFM input'!$J$331*(1+vanilla3)^0.5)/A1stdlife))</f>
        <v>3.9920288964363036E-3</v>
      </c>
      <c r="O120" s="18">
        <f>IF(A1stdlife="n/a","n/a",IF(O$3&gt;(A1stdlife+$F120),('RFM input'!$J$331*(1+vanilla3)^0.5)-SUM($J120:N120),('RFM input'!$J$331*(1+vanilla3)^0.5)/A1stdlife))</f>
        <v>3.9920288964363036E-3</v>
      </c>
      <c r="P120" s="18">
        <f>IF(A1stdlife="n/a","n/a",IF(P$3&gt;(A1stdlife+$F120),('RFM input'!$J$331*(1+vanilla3)^0.5)-SUM($J120:O120),('RFM input'!$J$331*(1+vanilla3)^0.5)/A1stdlife))</f>
        <v>3.9920288964363036E-3</v>
      </c>
      <c r="Q120" s="18">
        <f>IF(A1stdlife="n/a","n/a",IF(Q$3&gt;(A1stdlife+$F120),('RFM input'!$J$331*(1+vanilla3)^0.5)-SUM($J120:P120),('RFM input'!$J$331*(1+vanilla3)^0.5)/A1stdlife))</f>
        <v>3.9920288964363036E-3</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1.5024750201623458E-3</v>
      </c>
      <c r="N122" s="18">
        <f>IF(A1stdlife="n/a","n/a",IF(N$3&gt;(A1stdlife+$F122),('RFM input'!$L$331*(1+vanilla5)^0.5)-SUM($L122:M122),('RFM input'!$L$331*(1+vanilla5)^0.5)/A1stdlife))</f>
        <v>1.5024750201623458E-3</v>
      </c>
      <c r="O122" s="18">
        <f>IF(A1stdlife="n/a","n/a",IF(O$3&gt;(A1stdlife+$F122),('RFM input'!$L$331*(1+vanilla5)^0.5)-SUM($L122:N122),('RFM input'!$L$331*(1+vanilla5)^0.5)/A1stdlife))</f>
        <v>1.5024750201623458E-3</v>
      </c>
      <c r="P122" s="18">
        <f>IF(A1stdlife="n/a","n/a",IF(P$3&gt;(A1stdlife+$F122),('RFM input'!$L$331*(1+vanilla5)^0.5)-SUM($L122:O122),('RFM input'!$L$331*(1+vanilla5)^0.5)/A1stdlife))</f>
        <v>1.5024750201623458E-3</v>
      </c>
      <c r="Q122" s="18">
        <f>IF(A1stdlife="n/a","n/a",IF(Q$3&gt;(A1stdlife+$F122),('RFM input'!$L$331*(1+vanilla5)^0.5)-SUM($L122:P122),('RFM input'!$L$331*(1+vanilla5)^0.5)/A1stdlife))</f>
        <v>1.5024750201623458E-3</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-0.4897699567872637</v>
      </c>
      <c r="I128" s="1305">
        <f>IF(OR('RFM input'!$E$396='RFM input'!$G$395,'RFM input'!$E$396='RFM input'!$G$396),-INDEX('RFM input'!I$402:I$451,MATCH($D128,'RFM input'!$E$402:$E$451,0),1),-SUM(I116:I127))</f>
        <v>-0.4897699567872637</v>
      </c>
      <c r="J128" s="1306">
        <f>IF(COUNT($H128:I128)&gt;='RFM input'!$AA$7,0,IF(OR('RFM input'!$E$396='RFM input'!$G$395,'RFM input'!$E$396='RFM input'!$G$396),-INDEX('RFM input'!J$402:J$451,MATCH($D128,'RFM input'!$E$402:$E$451,0),1),-SUM(J116:J127)))</f>
        <v>-0.4897699567872637</v>
      </c>
      <c r="K128" s="1306">
        <f>IF(COUNT($H128:J128)&gt;='RFM input'!$AA$7,0,IF(OR('RFM input'!$E$396='RFM input'!$G$395,'RFM input'!$E$396='RFM input'!$G$396),-INDEX('RFM input'!K$402:K$451,MATCH($D128,'RFM input'!$E$402:$E$451,0),1),-SUM(K116:K127)))</f>
        <v>-0.4937619856837</v>
      </c>
      <c r="L128" s="1306">
        <f>IF(COUNT($H128:K128)&gt;='RFM input'!$AA$7,0,IF(OR('RFM input'!$E$396='RFM input'!$G$395,'RFM input'!$E$396='RFM input'!$G$396),-INDEX('RFM input'!L$402:L$451,MATCH($D128,'RFM input'!$E$402:$E$451,0),1),-SUM(L116:L127)))</f>
        <v>-0.4937619856837</v>
      </c>
      <c r="M128" s="1306">
        <f>IF(COUNT($H128:L128)&gt;='RFM input'!$AA$7,0,IF(OR('RFM input'!$E$396='RFM input'!$G$395,'RFM input'!$E$396='RFM input'!$G$396),-INDEX('RFM input'!M$402:M$451,MATCH($D128,'RFM input'!$E$402:$E$451,0),1),-SUM(M116:M127)))</f>
        <v>-0.49526446070386232</v>
      </c>
      <c r="N128" s="1306">
        <f>IF(COUNT($H128:M128)&gt;='RFM input'!$AA$7,0,IF(OR('RFM input'!$E$396='RFM input'!$G$395,'RFM input'!$E$396='RFM input'!$G$396),-INDEX('RFM input'!N$402:N$451,MATCH($D128,'RFM input'!$E$402:$E$451,0),1),-SUM(N116:N127)))</f>
        <v>-0.49526446070386232</v>
      </c>
      <c r="O128" s="1306">
        <f>IF(COUNT($H128:N128)&gt;='RFM input'!$AA$7,0,IF(OR('RFM input'!$E$396='RFM input'!$G$395,'RFM input'!$E$396='RFM input'!$G$396),-INDEX('RFM input'!O$402:O$451,MATCH($D128,'RFM input'!$E$402:$E$451,0),1),-SUM(O116:O127)))</f>
        <v>-0.49526446070386232</v>
      </c>
      <c r="P128" s="1306">
        <f>IF(COUNT($H128:O128)&gt;='RFM input'!$AA$7,0,IF(OR('RFM input'!$E$396='RFM input'!$G$395,'RFM input'!$E$396='RFM input'!$G$396),-INDEX('RFM input'!P$402:P$451,MATCH($D128,'RFM input'!$E$402:$E$451,0),1),-SUM(P116:P127)))</f>
        <v>-0.49526446070386232</v>
      </c>
      <c r="Q128" s="1306">
        <f>IF(COUNT($H128:P128)&gt;='RFM input'!$AA$7,0,IF(OR('RFM input'!$E$396='RFM input'!$G$395,'RFM input'!$E$396='RFM input'!$G$396),-INDEX('RFM input'!Q$402:Q$451,MATCH($D128,'RFM input'!$E$402:$E$451,0),1),-SUM(Q116:Q127)))</f>
        <v>-0.49526446070386232</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v>
      </c>
      <c r="I129" s="1303">
        <f>IF(I$3&gt;A2remlife,A2value-SUM($G129:H129),IF(A2remlife="N/A","n/a",A2value/A2remlife))</f>
        <v>0</v>
      </c>
      <c r="J129" s="1303">
        <f>IF(J$3&gt;A2remlife,A2value-SUM($G129:I129),IF(A2remlife="N/A","n/a",A2value/A2remlife))</f>
        <v>0</v>
      </c>
      <c r="K129" s="1303">
        <f>IF(K$3&gt;A2remlife,A2value-SUM($G129:J129),IF(A2remlife="N/A","n/a",A2value/A2remlife))</f>
        <v>0</v>
      </c>
      <c r="L129" s="1303">
        <f>IF(L$3&gt;A2remlife,A2value-SUM($G129:K129),IF(A2remlife="N/A","n/a",A2value/A2remlife))</f>
        <v>0</v>
      </c>
      <c r="M129" s="1303">
        <f>IF(M$3&gt;A2remlife,A2value-SUM($G129:L129),IF(A2remlife="N/A","n/a",A2value/A2remlife))</f>
        <v>0</v>
      </c>
      <c r="N129" s="1303">
        <f>IF(N$3&gt;A2remlife,A2value-SUM($G129:M129),IF(A2remlife="N/A","n/a",A2value/A2remlife))</f>
        <v>0</v>
      </c>
      <c r="O129" s="1303">
        <f>IF(O$3&gt;A2remlife,A2value-SUM($G129:N129),IF(A2remlife="N/A","n/a",A2value/A2remlife))</f>
        <v>0</v>
      </c>
      <c r="P129" s="1303">
        <f>IF(P$3&gt;A2remlife,A2value-SUM($G129:O129),IF(A2remlife="N/A","n/a",A2value/A2remlife))</f>
        <v>0</v>
      </c>
      <c r="Q129" s="1303">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2"/>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2"/>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2"/>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2"/>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2"/>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2"/>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v>
      </c>
      <c r="I141" s="1305">
        <f>IF(OR('RFM input'!$E$396='RFM input'!$G$395,'RFM input'!$E$396='RFM input'!$G$396),-INDEX('RFM input'!I$402:I$451,MATCH($D141,'RFM input'!$E$402:$E$451,0),1),-SUM(I129:I140))</f>
        <v>0</v>
      </c>
      <c r="J141" s="1306">
        <f>IF(COUNT($H141:I141)&gt;='RFM input'!$AA$7,0,IF(OR('RFM input'!$E$396='RFM input'!$G$395,'RFM input'!$E$396='RFM input'!$G$396),-INDEX('RFM input'!J$402:J$451,MATCH($D141,'RFM input'!$E$402:$E$451,0),1),-SUM(J129:J140)))</f>
        <v>0</v>
      </c>
      <c r="K141" s="1306">
        <f>IF(COUNT($H141:J141)&gt;='RFM input'!$AA$7,0,IF(OR('RFM input'!$E$396='RFM input'!$G$395,'RFM input'!$E$396='RFM input'!$G$396),-INDEX('RFM input'!K$402:K$451,MATCH($D141,'RFM input'!$E$402:$E$451,0),1),-SUM(K129:K140)))</f>
        <v>0</v>
      </c>
      <c r="L141" s="1306">
        <f>IF(COUNT($H141:K141)&gt;='RFM input'!$AA$7,0,IF(OR('RFM input'!$E$396='RFM input'!$G$395,'RFM input'!$E$396='RFM input'!$G$396),-INDEX('RFM input'!L$402:L$451,MATCH($D141,'RFM input'!$E$402:$E$451,0),1),-SUM(L129:L140)))</f>
        <v>0</v>
      </c>
      <c r="M141" s="1306">
        <f>IF(COUNT($H141:L141)&gt;='RFM input'!$AA$7,0,IF(OR('RFM input'!$E$396='RFM input'!$G$395,'RFM input'!$E$396='RFM input'!$G$396),-INDEX('RFM input'!M$402:M$451,MATCH($D141,'RFM input'!$E$402:$E$451,0),1),-SUM(M129:M140)))</f>
        <v>0</v>
      </c>
      <c r="N141" s="1306">
        <f>IF(COUNT($H141:M141)&gt;='RFM input'!$AA$7,0,IF(OR('RFM input'!$E$396='RFM input'!$G$395,'RFM input'!$E$396='RFM input'!$G$396),-INDEX('RFM input'!N$402:N$451,MATCH($D141,'RFM input'!$E$402:$E$451,0),1),-SUM(N129:N140)))</f>
        <v>0</v>
      </c>
      <c r="O141" s="1306">
        <f>IF(COUNT($H141:N141)&gt;='RFM input'!$AA$7,0,IF(OR('RFM input'!$E$396='RFM input'!$G$395,'RFM input'!$E$396='RFM input'!$G$396),-INDEX('RFM input'!O$402:O$451,MATCH($D141,'RFM input'!$E$402:$E$451,0),1),-SUM(O129:O140)))</f>
        <v>0</v>
      </c>
      <c r="P141" s="1306">
        <f>IF(COUNT($H141:O141)&gt;='RFM input'!$AA$7,0,IF(OR('RFM input'!$E$396='RFM input'!$G$395,'RFM input'!$E$396='RFM input'!$G$396),-INDEX('RFM input'!P$402:P$451,MATCH($D141,'RFM input'!$E$402:$E$451,0),1),-SUM(P129:P140)))</f>
        <v>0</v>
      </c>
      <c r="Q141" s="1306">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0</v>
      </c>
      <c r="I142" s="1303">
        <f>IF(I$3&gt;A3remlife,A3value-SUM($G142:H142),IF(A3remlife="N/A","n/a",A3value/A3remlife))</f>
        <v>0</v>
      </c>
      <c r="J142" s="1303">
        <f>IF(J$3&gt;A3remlife,A3value-SUM($G142:I142),IF(A3remlife="N/A","n/a",A3value/A3remlife))</f>
        <v>0</v>
      </c>
      <c r="K142" s="1303">
        <f>IF(K$3&gt;A3remlife,A3value-SUM($G142:J142),IF(A3remlife="N/A","n/a",A3value/A3remlife))</f>
        <v>0</v>
      </c>
      <c r="L142" s="1303">
        <f>IF(L$3&gt;A3remlife,A3value-SUM($G142:K142),IF(A3remlife="N/A","n/a",A3value/A3remlife))</f>
        <v>0</v>
      </c>
      <c r="M142" s="1303">
        <f>IF(M$3&gt;A3remlife,A3value-SUM($G142:L142),IF(A3remlife="N/A","n/a",A3value/A3remlife))</f>
        <v>0</v>
      </c>
      <c r="N142" s="1303">
        <f>IF(N$3&gt;A3remlife,A3value-SUM($G142:M142),IF(A3remlife="N/A","n/a",A3value/A3remlife))</f>
        <v>0</v>
      </c>
      <c r="O142" s="1303">
        <f>IF(O$3&gt;A3remlife,A3value-SUM($G142:N142),IF(A3remlife="N/A","n/a",A3value/A3remlife))</f>
        <v>0</v>
      </c>
      <c r="P142" s="1303">
        <f>IF(P$3&gt;A3remlife,A3value-SUM($G142:O142),IF(A3remlife="N/A","n/a",A3value/A3remlife))</f>
        <v>0</v>
      </c>
      <c r="Q142" s="1303">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2"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2"/>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0</v>
      </c>
      <c r="I154" s="1305">
        <f>IF(OR('RFM input'!$E$396='RFM input'!$G$395,'RFM input'!$E$396='RFM input'!$G$396),-INDEX('RFM input'!I$402:I$451,MATCH($D154,'RFM input'!$E$402:$E$451,0),1),-SUM(I142:I153))</f>
        <v>0</v>
      </c>
      <c r="J154" s="1306">
        <f>IF(COUNT($H154:I154)&gt;='RFM input'!$AA$7,0,IF(OR('RFM input'!$E$396='RFM input'!$G$395,'RFM input'!$E$396='RFM input'!$G$396),-INDEX('RFM input'!J$402:J$451,MATCH($D154,'RFM input'!$E$402:$E$451,0),1),-SUM(J142:J153)))</f>
        <v>0</v>
      </c>
      <c r="K154" s="1306">
        <f>IF(COUNT($H154:J154)&gt;='RFM input'!$AA$7,0,IF(OR('RFM input'!$E$396='RFM input'!$G$395,'RFM input'!$E$396='RFM input'!$G$396),-INDEX('RFM input'!K$402:K$451,MATCH($D154,'RFM input'!$E$402:$E$451,0),1),-SUM(K142:K153)))</f>
        <v>0</v>
      </c>
      <c r="L154" s="1306">
        <f>IF(COUNT($H154:K154)&gt;='RFM input'!$AA$7,0,IF(OR('RFM input'!$E$396='RFM input'!$G$395,'RFM input'!$E$396='RFM input'!$G$396),-INDEX('RFM input'!L$402:L$451,MATCH($D154,'RFM input'!$E$402:$E$451,0),1),-SUM(L142:L153)))</f>
        <v>0</v>
      </c>
      <c r="M154" s="1306">
        <f>IF(COUNT($H154:L154)&gt;='RFM input'!$AA$7,0,IF(OR('RFM input'!$E$396='RFM input'!$G$395,'RFM input'!$E$396='RFM input'!$G$396),-INDEX('RFM input'!M$402:M$451,MATCH($D154,'RFM input'!$E$402:$E$451,0),1),-SUM(M142:M153)))</f>
        <v>0</v>
      </c>
      <c r="N154" s="1306">
        <f>IF(COUNT($H154:M154)&gt;='RFM input'!$AA$7,0,IF(OR('RFM input'!$E$396='RFM input'!$G$395,'RFM input'!$E$396='RFM input'!$G$396),-INDEX('RFM input'!N$402:N$451,MATCH($D154,'RFM input'!$E$402:$E$451,0),1),-SUM(N142:N153)))</f>
        <v>0</v>
      </c>
      <c r="O154" s="1306">
        <f>IF(COUNT($H154:N154)&gt;='RFM input'!$AA$7,0,IF(OR('RFM input'!$E$396='RFM input'!$G$395,'RFM input'!$E$396='RFM input'!$G$396),-INDEX('RFM input'!O$402:O$451,MATCH($D154,'RFM input'!$E$402:$E$451,0),1),-SUM(O142:O153)))</f>
        <v>0</v>
      </c>
      <c r="P154" s="1306">
        <f>IF(COUNT($H154:O154)&gt;='RFM input'!$AA$7,0,IF(OR('RFM input'!$E$396='RFM input'!$G$395,'RFM input'!$E$396='RFM input'!$G$396),-INDEX('RFM input'!P$402:P$451,MATCH($D154,'RFM input'!$E$402:$E$451,0),1),-SUM(P142:P153)))</f>
        <v>0</v>
      </c>
      <c r="Q154" s="1306">
        <f>IF(COUNT($H154:P154)&gt;='RFM input'!$AA$7,0,IF(OR('RFM input'!$E$396='RFM input'!$G$395,'RFM input'!$E$396='RFM input'!$G$396),-INDEX('RFM input'!Q$402:Q$451,MATCH($D154,'RFM input'!$E$402:$E$451,0),1),-SUM(Q142:Q153)))</f>
        <v>0</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9.5997012763121541E-3</v>
      </c>
      <c r="I155" s="1303">
        <f>IF(I$3&gt;A4remlife,A4value-SUM($G155:H155),IF(A4remlife="N/A","n/a",A4value/A4remlife))</f>
        <v>9.5997012763121541E-3</v>
      </c>
      <c r="J155" s="1303">
        <f>IF(J$3&gt;A4remlife,A4value-SUM($G155:I155),IF(A4remlife="N/A","n/a",A4value/A4remlife))</f>
        <v>9.5997012763121541E-3</v>
      </c>
      <c r="K155" s="1303">
        <f>IF(K$3&gt;A4remlife,A4value-SUM($G155:J155),IF(A4remlife="N/A","n/a",A4value/A4remlife))</f>
        <v>9.5997012763121541E-3</v>
      </c>
      <c r="L155" s="1303">
        <f>IF(L$3&gt;A4remlife,A4value-SUM($G155:K155),IF(A4remlife="N/A","n/a",A4value/A4remlife))</f>
        <v>9.5997012763121541E-3</v>
      </c>
      <c r="M155" s="1303">
        <f>IF(M$3&gt;A4remlife,A4value-SUM($G155:L155),IF(A4remlife="N/A","n/a",A4value/A4remlife))</f>
        <v>9.5997012763121541E-3</v>
      </c>
      <c r="N155" s="1303">
        <f>IF(N$3&gt;A4remlife,A4value-SUM($G155:M155),IF(A4remlife="N/A","n/a",A4value/A4remlife))</f>
        <v>9.5997012763121541E-3</v>
      </c>
      <c r="O155" s="1303">
        <f>IF(O$3&gt;A4remlife,A4value-SUM($G155:N155),IF(A4remlife="N/A","n/a",A4value/A4remlife))</f>
        <v>9.5997012763121541E-3</v>
      </c>
      <c r="P155" s="1303">
        <f>IF(P$3&gt;A4remlife,A4value-SUM($G155:O155),IF(A4remlife="N/A","n/a",A4value/A4remlife))</f>
        <v>9.5997012763121541E-3</v>
      </c>
      <c r="Q155" s="1303">
        <f>IF(Q$3&gt;A4remlife,A4value-SUM($G155:P155),IF(A4remlife="N/A","n/a",A4value/A4remlife))</f>
        <v>9.5997012763121541E-3</v>
      </c>
      <c r="R155" s="20"/>
      <c r="S155" s="77"/>
      <c r="T155" s="77"/>
      <c r="U155" s="77"/>
      <c r="V155" s="77"/>
      <c r="W155" s="77"/>
      <c r="X155" s="77"/>
      <c r="Y155" s="77"/>
      <c r="Z155" s="77"/>
    </row>
    <row r="156" spans="1:26" ht="12.75" hidden="1" customHeight="1" outlineLevel="2">
      <c r="A156" s="277"/>
      <c r="B156" s="277"/>
      <c r="C156" s="145"/>
      <c r="D156" s="16"/>
      <c r="E156" s="1502"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3"/>
      <c r="F158" s="62">
        <v>2</v>
      </c>
      <c r="G158" s="1292"/>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3"/>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2"/>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2"/>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-9.5997012763121541E-3</v>
      </c>
      <c r="I167" s="1305">
        <f>IF(OR('RFM input'!$E$396='RFM input'!$G$395,'RFM input'!$E$396='RFM input'!$G$396),-INDEX('RFM input'!I$402:I$451,MATCH($D167,'RFM input'!$E$402:$E$451,0),1),-SUM(I155:I166))</f>
        <v>-9.5997012763121541E-3</v>
      </c>
      <c r="J167" s="1306">
        <f>IF(COUNT($H167:I167)&gt;='RFM input'!$AA$7,0,IF(OR('RFM input'!$E$396='RFM input'!$G$395,'RFM input'!$E$396='RFM input'!$G$396),-INDEX('RFM input'!J$402:J$451,MATCH($D167,'RFM input'!$E$402:$E$451,0),1),-SUM(J155:J166)))</f>
        <v>-9.5997012763121541E-3</v>
      </c>
      <c r="K167" s="1306">
        <f>IF(COUNT($H167:J167)&gt;='RFM input'!$AA$7,0,IF(OR('RFM input'!$E$396='RFM input'!$G$395,'RFM input'!$E$396='RFM input'!$G$396),-INDEX('RFM input'!K$402:K$451,MATCH($D167,'RFM input'!$E$402:$E$451,0),1),-SUM(K155:K166)))</f>
        <v>-9.5997012763121541E-3</v>
      </c>
      <c r="L167" s="1306">
        <f>IF(COUNT($H167:K167)&gt;='RFM input'!$AA$7,0,IF(OR('RFM input'!$E$396='RFM input'!$G$395,'RFM input'!$E$396='RFM input'!$G$396),-INDEX('RFM input'!L$402:L$451,MATCH($D167,'RFM input'!$E$402:$E$451,0),1),-SUM(L155:L166)))</f>
        <v>-9.5997012763121541E-3</v>
      </c>
      <c r="M167" s="1306">
        <f>IF(COUNT($H167:L167)&gt;='RFM input'!$AA$7,0,IF(OR('RFM input'!$E$396='RFM input'!$G$395,'RFM input'!$E$396='RFM input'!$G$396),-INDEX('RFM input'!M$402:M$451,MATCH($D167,'RFM input'!$E$402:$E$451,0),1),-SUM(M155:M166)))</f>
        <v>-9.5997012763121541E-3</v>
      </c>
      <c r="N167" s="1306">
        <f>IF(COUNT($H167:M167)&gt;='RFM input'!$AA$7,0,IF(OR('RFM input'!$E$396='RFM input'!$G$395,'RFM input'!$E$396='RFM input'!$G$396),-INDEX('RFM input'!N$402:N$451,MATCH($D167,'RFM input'!$E$402:$E$451,0),1),-SUM(N155:N166)))</f>
        <v>-9.5997012763121541E-3</v>
      </c>
      <c r="O167" s="1306">
        <f>IF(COUNT($H167:N167)&gt;='RFM input'!$AA$7,0,IF(OR('RFM input'!$E$396='RFM input'!$G$395,'RFM input'!$E$396='RFM input'!$G$396),-INDEX('RFM input'!O$402:O$451,MATCH($D167,'RFM input'!$E$402:$E$451,0),1),-SUM(O155:O166)))</f>
        <v>-9.5997012763121541E-3</v>
      </c>
      <c r="P167" s="1306">
        <f>IF(COUNT($H167:O167)&gt;='RFM input'!$AA$7,0,IF(OR('RFM input'!$E$396='RFM input'!$G$395,'RFM input'!$E$396='RFM input'!$G$396),-INDEX('RFM input'!P$402:P$451,MATCH($D167,'RFM input'!$E$402:$E$451,0),1),-SUM(P155:P166)))</f>
        <v>-9.5997012763121541E-3</v>
      </c>
      <c r="Q167" s="1306">
        <f>IF(COUNT($H167:P167)&gt;='RFM input'!$AA$7,0,IF(OR('RFM input'!$E$396='RFM input'!$G$395,'RFM input'!$E$396='RFM input'!$G$396),-INDEX('RFM input'!Q$402:Q$451,MATCH($D167,'RFM input'!$E$402:$E$451,0),1),-SUM(Q155:Q166)))</f>
        <v>-9.5997012763121541E-3</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2"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2"/>
      <c r="H171" s="131"/>
      <c r="I171" s="133"/>
      <c r="J171" s="18">
        <f>IF(A5stdlife="n/a","n/a",IF(J$3&gt;(A5stdlife+$F171),('RFM input'!$I$335*(1+vanilla2)^0.5)-SUM($I171:I171),('RFM input'!$I$335*(1+vanilla2)^0.5)/A5stdlife))</f>
        <v>3.326766330525855E-3</v>
      </c>
      <c r="K171" s="18">
        <f>IF(A5stdlife="n/a","n/a",IF(K$3&gt;(A5stdlife+$F171),('RFM input'!$I$335*(1+vanilla2)^0.5)-SUM($I171:J171),('RFM input'!$I$335*(1+vanilla2)^0.5)/A5stdlife))</f>
        <v>3.326766330525855E-3</v>
      </c>
      <c r="L171" s="18">
        <f>IF(A5stdlife="n/a","n/a",IF(L$3&gt;(A5stdlife+$F171),('RFM input'!$I$335*(1+vanilla2)^0.5)-SUM($I171:K171),('RFM input'!$I$335*(1+vanilla2)^0.5)/A5stdlife))</f>
        <v>3.326766330525855E-3</v>
      </c>
      <c r="M171" s="18">
        <f>IF(A5stdlife="n/a","n/a",IF(M$3&gt;(A5stdlife+$F171),('RFM input'!$I$335*(1+vanilla2)^0.5)-SUM($I171:L171),('RFM input'!$I$335*(1+vanilla2)^0.5)/A5stdlife))</f>
        <v>3.326766330525855E-3</v>
      </c>
      <c r="N171" s="18">
        <f>IF(A5stdlife="n/a","n/a",IF(N$3&gt;(A5stdlife+$F171),('RFM input'!$I$335*(1+vanilla2)^0.5)-SUM($I171:M171),('RFM input'!$I$335*(1+vanilla2)^0.5)/A5stdlife))</f>
        <v>3.326766330525855E-3</v>
      </c>
      <c r="O171" s="18">
        <f>IF(A5stdlife="n/a","n/a",IF(O$3&gt;(A5stdlife+$F171),('RFM input'!$I$335*(1+vanilla2)^0.5)-SUM($I171:N171),('RFM input'!$I$335*(1+vanilla2)^0.5)/A5stdlife))</f>
        <v>3.326766330525855E-3</v>
      </c>
      <c r="P171" s="18">
        <f>IF(A5stdlife="n/a","n/a",IF(P$3&gt;(A5stdlife+$F171),('RFM input'!$I$335*(1+vanilla2)^0.5)-SUM($I171:O171),('RFM input'!$I$335*(1+vanilla2)^0.5)/A5stdlife))</f>
        <v>3.326766330525855E-3</v>
      </c>
      <c r="Q171" s="18">
        <f>IF(A5stdlife="n/a","n/a",IF(Q$3&gt;(A5stdlife+$F171),('RFM input'!$I$335*(1+vanilla2)^0.5)-SUM($I171:P171),('RFM input'!$I$335*(1+vanilla2)^0.5)/A5stdlife))</f>
        <v>3.326766330525855E-3</v>
      </c>
      <c r="R171" s="18"/>
      <c r="S171" s="77"/>
      <c r="T171" s="77"/>
      <c r="U171" s="77"/>
      <c r="V171" s="77"/>
      <c r="W171" s="77"/>
      <c r="X171" s="77"/>
      <c r="Y171" s="77"/>
      <c r="Z171" s="77"/>
    </row>
    <row r="172" spans="1:26" hidden="1" outlineLevel="2">
      <c r="A172" s="277"/>
      <c r="B172" s="277"/>
      <c r="C172" s="145"/>
      <c r="D172" s="16"/>
      <c r="E172" s="1503"/>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2"/>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-3.326766330525855E-3</v>
      </c>
      <c r="K180" s="1306">
        <f>IF(COUNT($H180:J180)&gt;='RFM input'!$AA$7,0,IF(OR('RFM input'!$E$396='RFM input'!$G$395,'RFM input'!$E$396='RFM input'!$G$396),-INDEX('RFM input'!K$402:K$451,MATCH($D180,'RFM input'!$E$402:$E$451,0),1),-SUM(K168:K179)))</f>
        <v>-3.326766330525855E-3</v>
      </c>
      <c r="L180" s="1306">
        <f>IF(COUNT($H180:K180)&gt;='RFM input'!$AA$7,0,IF(OR('RFM input'!$E$396='RFM input'!$G$395,'RFM input'!$E$396='RFM input'!$G$396),-INDEX('RFM input'!L$402:L$451,MATCH($D180,'RFM input'!$E$402:$E$451,0),1),-SUM(L168:L179)))</f>
        <v>-3.326766330525855E-3</v>
      </c>
      <c r="M180" s="1306">
        <f>IF(COUNT($H180:L180)&gt;='RFM input'!$AA$7,0,IF(OR('RFM input'!$E$396='RFM input'!$G$395,'RFM input'!$E$396='RFM input'!$G$396),-INDEX('RFM input'!M$402:M$451,MATCH($D180,'RFM input'!$E$402:$E$451,0),1),-SUM(M168:M179)))</f>
        <v>-3.326766330525855E-3</v>
      </c>
      <c r="N180" s="1306">
        <f>IF(COUNT($H180:M180)&gt;='RFM input'!$AA$7,0,IF(OR('RFM input'!$E$396='RFM input'!$G$395,'RFM input'!$E$396='RFM input'!$G$396),-INDEX('RFM input'!N$402:N$451,MATCH($D180,'RFM input'!$E$402:$E$451,0),1),-SUM(N168:N179)))</f>
        <v>-3.326766330525855E-3</v>
      </c>
      <c r="O180" s="1306">
        <f>IF(COUNT($H180:N180)&gt;='RFM input'!$AA$7,0,IF(OR('RFM input'!$E$396='RFM input'!$G$395,'RFM input'!$E$396='RFM input'!$G$396),-INDEX('RFM input'!O$402:O$451,MATCH($D180,'RFM input'!$E$402:$E$451,0),1),-SUM(O168:O179)))</f>
        <v>-3.326766330525855E-3</v>
      </c>
      <c r="P180" s="1306">
        <f>IF(COUNT($H180:O180)&gt;='RFM input'!$AA$7,0,IF(OR('RFM input'!$E$396='RFM input'!$G$395,'RFM input'!$E$396='RFM input'!$G$396),-INDEX('RFM input'!P$402:P$451,MATCH($D180,'RFM input'!$E$402:$E$451,0),1),-SUM(P168:P179)))</f>
        <v>-3.326766330525855E-3</v>
      </c>
      <c r="Q180" s="1306">
        <f>IF(COUNT($H180:P180)&gt;='RFM input'!$AA$7,0,IF(OR('RFM input'!$E$396='RFM input'!$G$395,'RFM input'!$E$396='RFM input'!$G$396),-INDEX('RFM input'!Q$402:Q$451,MATCH($D180,'RFM input'!$E$402:$E$451,0),1),-SUM(Q168:Q179)))</f>
        <v>-3.326766330525855E-3</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9.2033820532812065E-4</v>
      </c>
      <c r="I181" s="1303">
        <f>IF(I$3&gt;A6remlife,A6value-SUM($G181:H181),IF(A6remlife="N/A","n/a",A6value/A6remlife))</f>
        <v>9.2033820532812065E-4</v>
      </c>
      <c r="J181" s="1303">
        <f>IF(J$3&gt;A6remlife,A6value-SUM($G181:I181),IF(A6remlife="N/A","n/a",A6value/A6remlife))</f>
        <v>9.2033820532812065E-4</v>
      </c>
      <c r="K181" s="1303">
        <f>IF(K$3&gt;A6remlife,A6value-SUM($G181:J181),IF(A6remlife="N/A","n/a",A6value/A6remlife))</f>
        <v>9.2033820532812065E-4</v>
      </c>
      <c r="L181" s="1303">
        <f>IF(L$3&gt;A6remlife,A6value-SUM($G181:K181),IF(A6remlife="N/A","n/a",A6value/A6remlife))</f>
        <v>9.2033820532812065E-4</v>
      </c>
      <c r="M181" s="1303">
        <f>IF(M$3&gt;A6remlife,A6value-SUM($G181:L181),IF(A6remlife="N/A","n/a",A6value/A6remlife))</f>
        <v>9.2033820532812065E-4</v>
      </c>
      <c r="N181" s="1303">
        <f>IF(N$3&gt;A6remlife,A6value-SUM($G181:M181),IF(A6remlife="N/A","n/a",A6value/A6remlife))</f>
        <v>9.2033820532812065E-4</v>
      </c>
      <c r="O181" s="1303">
        <f>IF(O$3&gt;A6remlife,A6value-SUM($G181:N181),IF(A6remlife="N/A","n/a",A6value/A6remlife))</f>
        <v>9.2033820532812065E-4</v>
      </c>
      <c r="P181" s="1303">
        <f>IF(P$3&gt;A6remlife,A6value-SUM($G181:O181),IF(A6remlife="N/A","n/a",A6value/A6remlife))</f>
        <v>0</v>
      </c>
      <c r="Q181" s="1303">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2"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2"/>
      <c r="H183" s="1304"/>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2"/>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3"/>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2"/>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2"/>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2"/>
      <c r="H189" s="131"/>
      <c r="I189" s="132"/>
      <c r="J189" s="132"/>
      <c r="K189" s="132"/>
      <c r="L189" s="132"/>
      <c r="M189" s="132"/>
      <c r="N189" s="133"/>
      <c r="O189" s="18">
        <f>IF(A6stdlife="n/a","n/a",IF(O$3&gt;(A6stdlife+$F189),('RFM input'!$N$336*(1+vanilla7)^0.5)-SUM($N189:N189),('RFM input'!$N$336*(1+vanilla7)^0.5)/A6stdlife))</f>
        <v>6.7147640157692945E-3</v>
      </c>
      <c r="P189" s="18">
        <f>IF(A6stdlife="n/a","n/a",IF(P$3&gt;(A6stdlife+$F189),('RFM input'!$N$336*(1+vanilla7)^0.5)-SUM($N189:O189),('RFM input'!$N$336*(1+vanilla7)^0.5)/A6stdlife))</f>
        <v>6.7147640157692945E-3</v>
      </c>
      <c r="Q189" s="18">
        <f>IF(A6stdlife="n/a","n/a",IF(Q$3&gt;(A6stdlife+$F189),('RFM input'!$N$336*(1+vanilla7)^0.5)-SUM($N189:P189),('RFM input'!$N$336*(1+vanilla7)^0.5)/A6stdlife))</f>
        <v>6.7147640157692945E-3</v>
      </c>
      <c r="R189" s="18"/>
      <c r="S189" s="77"/>
      <c r="T189" s="77"/>
      <c r="U189" s="77"/>
      <c r="V189" s="77"/>
      <c r="W189" s="77"/>
      <c r="X189" s="77"/>
      <c r="Y189" s="77"/>
      <c r="Z189" s="77"/>
    </row>
    <row r="190" spans="1:26" hidden="1" outlineLevel="2">
      <c r="A190" s="277"/>
      <c r="B190" s="277"/>
      <c r="C190" s="277"/>
      <c r="D190" s="16"/>
      <c r="E190" s="1503"/>
      <c r="F190" s="62">
        <v>8</v>
      </c>
      <c r="G190" s="1292"/>
      <c r="H190" s="131"/>
      <c r="I190" s="132"/>
      <c r="J190" s="132"/>
      <c r="K190" s="132"/>
      <c r="L190" s="132"/>
      <c r="M190" s="132"/>
      <c r="N190" s="132"/>
      <c r="O190" s="133"/>
      <c r="P190" s="18">
        <f>IF(A6stdlife="n/a","n/a",IF(P$3&gt;(A6stdlife+$F190),('RFM input'!$O$336*(1+vanilla8)^0.5)-SUM($O190:O190),('RFM input'!$O$336*(1+vanilla8)^0.5)/A6stdlife))</f>
        <v>3.2491094660604823E-3</v>
      </c>
      <c r="Q190" s="18">
        <f>IF(A6stdlife="n/a","n/a",IF(Q$3&gt;(A6stdlife+$F190),('RFM input'!$O$336*(1+vanilla8)^0.5)-SUM($O190:P190),('RFM input'!$O$336*(1+vanilla8)^0.5)/A6stdlife))</f>
        <v>3.2491094660604823E-3</v>
      </c>
      <c r="R190" s="18"/>
      <c r="S190" s="77"/>
      <c r="T190" s="77"/>
      <c r="U190" s="77"/>
      <c r="V190" s="77"/>
      <c r="W190" s="77"/>
      <c r="X190" s="77"/>
      <c r="Y190" s="77"/>
      <c r="Z190" s="77"/>
    </row>
    <row r="191" spans="1:26" hidden="1" outlineLevel="2">
      <c r="A191" s="277"/>
      <c r="B191" s="277"/>
      <c r="C191" s="277"/>
      <c r="D191" s="16"/>
      <c r="E191" s="1503"/>
      <c r="F191" s="62">
        <v>9</v>
      </c>
      <c r="G191" s="1292"/>
      <c r="H191" s="131"/>
      <c r="I191" s="132"/>
      <c r="J191" s="132"/>
      <c r="K191" s="132"/>
      <c r="L191" s="132"/>
      <c r="M191" s="132"/>
      <c r="N191" s="132"/>
      <c r="O191" s="132"/>
      <c r="P191" s="133"/>
      <c r="Q191" s="18">
        <f>IF(A6stdlife="n/a","n/a",IF(Q$3&gt;(A6stdlife+$F191),('RFM input'!$P$336*(1+vanilla9)^0.5)-SUM($P191:P191),('RFM input'!$P$336*(1+vanilla9)^0.5)/A6stdlife))</f>
        <v>5.3200890219698548E-3</v>
      </c>
      <c r="R191" s="18"/>
      <c r="S191" s="77"/>
      <c r="T191" s="77"/>
      <c r="U191" s="77"/>
      <c r="V191" s="77"/>
      <c r="W191" s="77"/>
      <c r="X191" s="77"/>
      <c r="Y191" s="77"/>
      <c r="Z191" s="77"/>
    </row>
    <row r="192" spans="1:26" hidden="1" outlineLevel="2">
      <c r="A192" s="277"/>
      <c r="B192" s="277"/>
      <c r="C192" s="277"/>
      <c r="D192" s="16"/>
      <c r="E192" s="1503"/>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-9.2033820532812065E-4</v>
      </c>
      <c r="I193" s="1305">
        <f>IF(OR('RFM input'!$E$396='RFM input'!$G$395,'RFM input'!$E$396='RFM input'!$G$396),-INDEX('RFM input'!I$402:I$451,MATCH($D193,'RFM input'!$E$402:$E$451,0),1),-SUM(I181:I192))</f>
        <v>-9.2033820532812065E-4</v>
      </c>
      <c r="J193" s="1306">
        <f>IF(COUNT($H193:I193)&gt;='RFM input'!$AA$7,0,IF(OR('RFM input'!$E$396='RFM input'!$G$395,'RFM input'!$E$396='RFM input'!$G$396),-INDEX('RFM input'!J$402:J$451,MATCH($D193,'RFM input'!$E$402:$E$451,0),1),-SUM(J181:J192)))</f>
        <v>-9.2033820532812065E-4</v>
      </c>
      <c r="K193" s="1306">
        <f>IF(COUNT($H193:J193)&gt;='RFM input'!$AA$7,0,IF(OR('RFM input'!$E$396='RFM input'!$G$395,'RFM input'!$E$396='RFM input'!$G$396),-INDEX('RFM input'!K$402:K$451,MATCH($D193,'RFM input'!$E$402:$E$451,0),1),-SUM(K181:K192)))</f>
        <v>-9.2033820532812065E-4</v>
      </c>
      <c r="L193" s="1306">
        <f>IF(COUNT($H193:K193)&gt;='RFM input'!$AA$7,0,IF(OR('RFM input'!$E$396='RFM input'!$G$395,'RFM input'!$E$396='RFM input'!$G$396),-INDEX('RFM input'!L$402:L$451,MATCH($D193,'RFM input'!$E$402:$E$451,0),1),-SUM(L181:L192)))</f>
        <v>-9.2033820532812065E-4</v>
      </c>
      <c r="M193" s="1306">
        <f>IF(COUNT($H193:L193)&gt;='RFM input'!$AA$7,0,IF(OR('RFM input'!$E$396='RFM input'!$G$395,'RFM input'!$E$396='RFM input'!$G$396),-INDEX('RFM input'!M$402:M$451,MATCH($D193,'RFM input'!$E$402:$E$451,0),1),-SUM(M181:M192)))</f>
        <v>-9.2033820532812065E-4</v>
      </c>
      <c r="N193" s="1306">
        <f>IF(COUNT($H193:M193)&gt;='RFM input'!$AA$7,0,IF(OR('RFM input'!$E$396='RFM input'!$G$395,'RFM input'!$E$396='RFM input'!$G$396),-INDEX('RFM input'!N$402:N$451,MATCH($D193,'RFM input'!$E$402:$E$451,0),1),-SUM(N181:N192)))</f>
        <v>-9.2033820532812065E-4</v>
      </c>
      <c r="O193" s="1306">
        <f>IF(COUNT($H193:N193)&gt;='RFM input'!$AA$7,0,IF(OR('RFM input'!$E$396='RFM input'!$G$395,'RFM input'!$E$396='RFM input'!$G$396),-INDEX('RFM input'!O$402:O$451,MATCH($D193,'RFM input'!$E$402:$E$451,0),1),-SUM(O181:O192)))</f>
        <v>-7.6351022210974151E-3</v>
      </c>
      <c r="P193" s="1306">
        <f>IF(COUNT($H193:O193)&gt;='RFM input'!$AA$7,0,IF(OR('RFM input'!$E$396='RFM input'!$G$395,'RFM input'!$E$396='RFM input'!$G$396),-INDEX('RFM input'!P$402:P$451,MATCH($D193,'RFM input'!$E$402:$E$451,0),1),-SUM(P181:P192)))</f>
        <v>-9.9638734818297773E-3</v>
      </c>
      <c r="Q193" s="1306">
        <f>IF(COUNT($H193:P193)&gt;='RFM input'!$AA$7,0,IF(OR('RFM input'!$E$396='RFM input'!$G$395,'RFM input'!$E$396='RFM input'!$G$396),-INDEX('RFM input'!Q$402:Q$451,MATCH($D193,'RFM input'!$E$402:$E$451,0),1),-SUM(Q181:Q192)))</f>
        <v>-1.5283962503799632E-2</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0</v>
      </c>
      <c r="I194" s="1303">
        <f>IF(I$3&gt;A7remlife,A7value-SUM($G194:H194),IF(A7remlife="N/A","n/a",A7value/A7remlife))</f>
        <v>0</v>
      </c>
      <c r="J194" s="1303">
        <f>IF(J$3&gt;A7remlife,A7value-SUM($G194:I194),IF(A7remlife="N/A","n/a",A7value/A7remlife))</f>
        <v>0</v>
      </c>
      <c r="K194" s="1303">
        <f>IF(K$3&gt;A7remlife,A7value-SUM($G194:J194),IF(A7remlife="N/A","n/a",A7value/A7remlife))</f>
        <v>0</v>
      </c>
      <c r="L194" s="1303">
        <f>IF(L$3&gt;A7remlife,A7value-SUM($G194:K194),IF(A7remlife="N/A","n/a",A7value/A7remlife))</f>
        <v>0</v>
      </c>
      <c r="M194" s="1303">
        <f>IF(M$3&gt;A7remlife,A7value-SUM($G194:L194),IF(A7remlife="N/A","n/a",A7value/A7remlife))</f>
        <v>0</v>
      </c>
      <c r="N194" s="1303">
        <f>IF(N$3&gt;A7remlife,A7value-SUM($G194:M194),IF(A7remlife="N/A","n/a",A7value/A7remlife))</f>
        <v>0</v>
      </c>
      <c r="O194" s="1303">
        <f>IF(O$3&gt;A7remlife,A7value-SUM($G194:N194),IF(A7remlife="N/A","n/a",A7value/A7remlife))</f>
        <v>0</v>
      </c>
      <c r="P194" s="1303">
        <f>IF(P$3&gt;A7remlife,A7value-SUM($G194:O194),IF(A7remlife="N/A","n/a",A7value/A7remlife))</f>
        <v>0</v>
      </c>
      <c r="Q194" s="1303">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3"/>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2"/>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2"/>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0</v>
      </c>
      <c r="I206" s="1305">
        <f>IF(OR('RFM input'!$E$396='RFM input'!$G$395,'RFM input'!$E$396='RFM input'!$G$396),-INDEX('RFM input'!I$402:I$451,MATCH($D206,'RFM input'!$E$402:$E$451,0),1),-SUM(I194:I205))</f>
        <v>0</v>
      </c>
      <c r="J206" s="1306">
        <f>IF(COUNT($H206:I206)&gt;='RFM input'!$AA$7,0,IF(OR('RFM input'!$E$396='RFM input'!$G$395,'RFM input'!$E$396='RFM input'!$G$396),-INDEX('RFM input'!J$402:J$451,MATCH($D206,'RFM input'!$E$402:$E$451,0),1),-SUM(J194:J205)))</f>
        <v>0</v>
      </c>
      <c r="K206" s="1306">
        <f>IF(COUNT($H206:J206)&gt;='RFM input'!$AA$7,0,IF(OR('RFM input'!$E$396='RFM input'!$G$395,'RFM input'!$E$396='RFM input'!$G$396),-INDEX('RFM input'!K$402:K$451,MATCH($D206,'RFM input'!$E$402:$E$451,0),1),-SUM(K194:K205)))</f>
        <v>0</v>
      </c>
      <c r="L206" s="1306">
        <f>IF(COUNT($H206:K206)&gt;='RFM input'!$AA$7,0,IF(OR('RFM input'!$E$396='RFM input'!$G$395,'RFM input'!$E$396='RFM input'!$G$396),-INDEX('RFM input'!L$402:L$451,MATCH($D206,'RFM input'!$E$402:$E$451,0),1),-SUM(L194:L205)))</f>
        <v>0</v>
      </c>
      <c r="M206" s="1306">
        <f>IF(COUNT($H206:L206)&gt;='RFM input'!$AA$7,0,IF(OR('RFM input'!$E$396='RFM input'!$G$395,'RFM input'!$E$396='RFM input'!$G$396),-INDEX('RFM input'!M$402:M$451,MATCH($D206,'RFM input'!$E$402:$E$451,0),1),-SUM(M194:M205)))</f>
        <v>0</v>
      </c>
      <c r="N206" s="1306">
        <f>IF(COUNT($H206:M206)&gt;='RFM input'!$AA$7,0,IF(OR('RFM input'!$E$396='RFM input'!$G$395,'RFM input'!$E$396='RFM input'!$G$396),-INDEX('RFM input'!N$402:N$451,MATCH($D206,'RFM input'!$E$402:$E$451,0),1),-SUM(N194:N205)))</f>
        <v>0</v>
      </c>
      <c r="O206" s="1306">
        <f>IF(COUNT($H206:N206)&gt;='RFM input'!$AA$7,0,IF(OR('RFM input'!$E$396='RFM input'!$G$395,'RFM input'!$E$396='RFM input'!$G$396),-INDEX('RFM input'!O$402:O$451,MATCH($D206,'RFM input'!$E$402:$E$451,0),1),-SUM(O194:O205)))</f>
        <v>0</v>
      </c>
      <c r="P206" s="1306">
        <f>IF(COUNT($H206:O206)&gt;='RFM input'!$AA$7,0,IF(OR('RFM input'!$E$396='RFM input'!$G$395,'RFM input'!$E$396='RFM input'!$G$396),-INDEX('RFM input'!P$402:P$451,MATCH($D206,'RFM input'!$E$402:$E$451,0),1),-SUM(P194:P205)))</f>
        <v>0</v>
      </c>
      <c r="Q206" s="1306">
        <f>IF(COUNT($H206:P206)&gt;='RFM input'!$AA$7,0,IF(OR('RFM input'!$E$396='RFM input'!$G$395,'RFM input'!$E$396='RFM input'!$G$396),-INDEX('RFM input'!Q$402:Q$451,MATCH($D206,'RFM input'!$E$402:$E$451,0),1),-SUM(Q194:Q205)))</f>
        <v>0</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3"/>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0</v>
      </c>
      <c r="I220" s="1303">
        <f>IF(I$3&gt;A9remlife,A9value-SUM($G220:H220),IF(A9remlife="N/A","n/a",A9value/A9remlife))</f>
        <v>0</v>
      </c>
      <c r="J220" s="1303">
        <f>IF(J$3&gt;A9remlife,A9value-SUM($G220:I220),IF(A9remlife="N/A","n/a",A9value/A9remlife))</f>
        <v>0</v>
      </c>
      <c r="K220" s="1303">
        <f>IF(K$3&gt;A9remlife,A9value-SUM($G220:J220),IF(A9remlife="N/A","n/a",A9value/A9remlife))</f>
        <v>0</v>
      </c>
      <c r="L220" s="1303">
        <f>IF(L$3&gt;A9remlife,A9value-SUM($G220:K220),IF(A9remlife="N/A","n/a",A9value/A9remlife))</f>
        <v>0</v>
      </c>
      <c r="M220" s="1303">
        <f>IF(M$3&gt;A9remlife,A9value-SUM($G220:L220),IF(A9remlife="N/A","n/a",A9value/A9remlife))</f>
        <v>0</v>
      </c>
      <c r="N220" s="1303">
        <f>IF(N$3&gt;A9remlife,A9value-SUM($G220:M220),IF(A9remlife="N/A","n/a",A9value/A9remlife))</f>
        <v>0</v>
      </c>
      <c r="O220" s="1303">
        <f>IF(O$3&gt;A9remlife,A9value-SUM($G220:N220),IF(A9remlife="N/A","n/a",A9value/A9remlife))</f>
        <v>0</v>
      </c>
      <c r="P220" s="1303">
        <f>IF(P$3&gt;A9remlife,A9value-SUM($G220:O220),IF(A9remlife="N/A","n/a",A9value/A9remlife))</f>
        <v>0</v>
      </c>
      <c r="Q220" s="1303">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2"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3"/>
      <c r="F222" s="62">
        <v>1</v>
      </c>
      <c r="G222" s="1292"/>
      <c r="H222" s="1304"/>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2"/>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3"/>
      <c r="F224" s="62">
        <v>3</v>
      </c>
      <c r="G224" s="1292"/>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2"/>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2"/>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2"/>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2"/>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2"/>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2"/>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0</v>
      </c>
      <c r="I232" s="1305">
        <f>IF(OR('RFM input'!$E$396='RFM input'!$G$395,'RFM input'!$E$396='RFM input'!$G$396),-INDEX('RFM input'!I$402:I$451,MATCH($D232,'RFM input'!$E$402:$E$451,0),1),-SUM(I220:I231))</f>
        <v>0</v>
      </c>
      <c r="J232" s="1306">
        <f>IF(COUNT($H232:I232)&gt;='RFM input'!$AA$7,0,IF(OR('RFM input'!$E$396='RFM input'!$G$395,'RFM input'!$E$396='RFM input'!$G$396),-INDEX('RFM input'!J$402:J$451,MATCH($D232,'RFM input'!$E$402:$E$451,0),1),-SUM(J220:J231)))</f>
        <v>0</v>
      </c>
      <c r="K232" s="1306">
        <f>IF(COUNT($H232:J232)&gt;='RFM input'!$AA$7,0,IF(OR('RFM input'!$E$396='RFM input'!$G$395,'RFM input'!$E$396='RFM input'!$G$396),-INDEX('RFM input'!K$402:K$451,MATCH($D232,'RFM input'!$E$402:$E$451,0),1),-SUM(K220:K231)))</f>
        <v>0</v>
      </c>
      <c r="L232" s="1306">
        <f>IF(COUNT($H232:K232)&gt;='RFM input'!$AA$7,0,IF(OR('RFM input'!$E$396='RFM input'!$G$395,'RFM input'!$E$396='RFM input'!$G$396),-INDEX('RFM input'!L$402:L$451,MATCH($D232,'RFM input'!$E$402:$E$451,0),1),-SUM(L220:L231)))</f>
        <v>0</v>
      </c>
      <c r="M232" s="1306">
        <f>IF(COUNT($H232:L232)&gt;='RFM input'!$AA$7,0,IF(OR('RFM input'!$E$396='RFM input'!$G$395,'RFM input'!$E$396='RFM input'!$G$396),-INDEX('RFM input'!M$402:M$451,MATCH($D232,'RFM input'!$E$402:$E$451,0),1),-SUM(M220:M231)))</f>
        <v>0</v>
      </c>
      <c r="N232" s="1306">
        <f>IF(COUNT($H232:M232)&gt;='RFM input'!$AA$7,0,IF(OR('RFM input'!$E$396='RFM input'!$G$395,'RFM input'!$E$396='RFM input'!$G$396),-INDEX('RFM input'!N$402:N$451,MATCH($D232,'RFM input'!$E$402:$E$451,0),1),-SUM(N220:N231)))</f>
        <v>0</v>
      </c>
      <c r="O232" s="1306">
        <f>IF(COUNT($H232:N232)&gt;='RFM input'!$AA$7,0,IF(OR('RFM input'!$E$396='RFM input'!$G$395,'RFM input'!$E$396='RFM input'!$G$396),-INDEX('RFM input'!O$402:O$451,MATCH($D232,'RFM input'!$E$402:$E$451,0),1),-SUM(O220:O231)))</f>
        <v>0</v>
      </c>
      <c r="P232" s="1306">
        <f>IF(COUNT($H232:O232)&gt;='RFM input'!$AA$7,0,IF(OR('RFM input'!$E$396='RFM input'!$G$395,'RFM input'!$E$396='RFM input'!$G$396),-INDEX('RFM input'!P$402:P$451,MATCH($D232,'RFM input'!$E$402:$E$451,0),1),-SUM(P220:P231)))</f>
        <v>0</v>
      </c>
      <c r="Q232" s="1306">
        <f>IF(COUNT($H232:P232)&gt;='RFM input'!$AA$7,0,IF(OR('RFM input'!$E$396='RFM input'!$G$395,'RFM input'!$E$396='RFM input'!$G$396),-INDEX('RFM input'!Q$402:Q$451,MATCH($D232,'RFM input'!$E$402:$E$451,0),1),-SUM(Q220:Q231)))</f>
        <v>0</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0</v>
      </c>
      <c r="I233" s="1303">
        <f>IF(I$3&gt;A10remlife,A10value-SUM($G233:H233),IF(A10remlife="N/A","n/a",A10value/A10remlife))</f>
        <v>0</v>
      </c>
      <c r="J233" s="1303">
        <f>IF(J$3&gt;A10remlife,A10value-SUM($G233:I233),IF(A10remlife="N/A","n/a",A10value/A10remlife))</f>
        <v>0</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3"/>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2"/>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2"/>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0</v>
      </c>
      <c r="I245" s="1305">
        <f>IF(OR('RFM input'!$E$396='RFM input'!$G$395,'RFM input'!$E$396='RFM input'!$G$396),-INDEX('RFM input'!I$402:I$451,MATCH($D245,'RFM input'!$E$402:$E$451,0),1),-SUM(I233:I244))</f>
        <v>0</v>
      </c>
      <c r="J245" s="1306">
        <f>IF(COUNT($H245:I245)&gt;='RFM input'!$AA$7,0,IF(OR('RFM input'!$E$396='RFM input'!$G$395,'RFM input'!$E$396='RFM input'!$G$396),-INDEX('RFM input'!J$402:J$451,MATCH($D245,'RFM input'!$E$402:$E$451,0),1),-SUM(J233:J244)))</f>
        <v>0</v>
      </c>
      <c r="K245" s="1306">
        <f>IF(COUNT($H245:J245)&gt;='RFM input'!$AA$7,0,IF(OR('RFM input'!$E$396='RFM input'!$G$395,'RFM input'!$E$396='RFM input'!$G$396),-INDEX('RFM input'!K$402:K$451,MATCH($D245,'RFM input'!$E$402:$E$451,0),1),-SUM(K233:K244)))</f>
        <v>0</v>
      </c>
      <c r="L245" s="1306">
        <f>IF(COUNT($H245:K245)&gt;='RFM input'!$AA$7,0,IF(OR('RFM input'!$E$396='RFM input'!$G$395,'RFM input'!$E$396='RFM input'!$G$396),-INDEX('RFM input'!L$402:L$451,MATCH($D245,'RFM input'!$E$402:$E$451,0),1),-SUM(L233:L244)))</f>
        <v>0</v>
      </c>
      <c r="M245" s="1306">
        <f>IF(COUNT($H245:L245)&gt;='RFM input'!$AA$7,0,IF(OR('RFM input'!$E$396='RFM input'!$G$395,'RFM input'!$E$396='RFM input'!$G$396),-INDEX('RFM input'!M$402:M$451,MATCH($D245,'RFM input'!$E$402:$E$451,0),1),-SUM(M233:M244)))</f>
        <v>0</v>
      </c>
      <c r="N245" s="1306">
        <f>IF(COUNT($H245:M245)&gt;='RFM input'!$AA$7,0,IF(OR('RFM input'!$E$396='RFM input'!$G$395,'RFM input'!$E$396='RFM input'!$G$396),-INDEX('RFM input'!N$402:N$451,MATCH($D245,'RFM input'!$E$402:$E$451,0),1),-SUM(N233:N244)))</f>
        <v>0</v>
      </c>
      <c r="O245" s="1306">
        <f>IF(COUNT($H245:N245)&gt;='RFM input'!$AA$7,0,IF(OR('RFM input'!$E$396='RFM input'!$G$395,'RFM input'!$E$396='RFM input'!$G$396),-INDEX('RFM input'!O$402:O$451,MATCH($D245,'RFM input'!$E$402:$E$451,0),1),-SUM(O233:O244)))</f>
        <v>0</v>
      </c>
      <c r="P245" s="1306">
        <f>IF(COUNT($H245:O245)&gt;='RFM input'!$AA$7,0,IF(OR('RFM input'!$E$396='RFM input'!$G$395,'RFM input'!$E$396='RFM input'!$G$396),-INDEX('RFM input'!P$402:P$451,MATCH($D245,'RFM input'!$E$402:$E$451,0),1),-SUM(P233:P244)))</f>
        <v>0</v>
      </c>
      <c r="Q245" s="1306">
        <f>IF(COUNT($H245:P245)&gt;='RFM input'!$AA$7,0,IF(OR('RFM input'!$E$396='RFM input'!$G$395,'RFM input'!$E$396='RFM input'!$G$396),-INDEX('RFM input'!Q$402:Q$451,MATCH($D245,'RFM input'!$E$402:$E$451,0),1),-SUM(Q233:Q244)))</f>
        <v>0</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3"/>
      <c r="F248" s="62">
        <v>1</v>
      </c>
      <c r="G248" s="1292"/>
      <c r="H248" s="1304"/>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2"/>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2"/>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v>
      </c>
      <c r="J258" s="1306">
        <f>IF(COUNT($H258:I258)&gt;='RFM input'!$AA$7,0,IF(OR('RFM input'!$E$396='RFM input'!$G$395,'RFM input'!$E$396='RFM input'!$G$396),-INDEX('RFM input'!J$402:J$451,MATCH($D258,'RFM input'!$E$402:$E$451,0),1),-SUM(J246:J257)))</f>
        <v>0</v>
      </c>
      <c r="K258" s="1306">
        <f>IF(COUNT($H258:J258)&gt;='RFM input'!$AA$7,0,IF(OR('RFM input'!$E$396='RFM input'!$G$395,'RFM input'!$E$396='RFM input'!$G$396),-INDEX('RFM input'!K$402:K$451,MATCH($D258,'RFM input'!$E$402:$E$451,0),1),-SUM(K246:K257)))</f>
        <v>0</v>
      </c>
      <c r="L258" s="1306">
        <f>IF(COUNT($H258:K258)&gt;='RFM input'!$AA$7,0,IF(OR('RFM input'!$E$396='RFM input'!$G$395,'RFM input'!$E$396='RFM input'!$G$396),-INDEX('RFM input'!L$402:L$451,MATCH($D258,'RFM input'!$E$402:$E$451,0),1),-SUM(L246:L257)))</f>
        <v>0</v>
      </c>
      <c r="M258" s="1306">
        <f>IF(COUNT($H258:L258)&gt;='RFM input'!$AA$7,0,IF(OR('RFM input'!$E$396='RFM input'!$G$395,'RFM input'!$E$396='RFM input'!$G$396),-INDEX('RFM input'!M$402:M$451,MATCH($D258,'RFM input'!$E$402:$E$451,0),1),-SUM(M246:M257)))</f>
        <v>0</v>
      </c>
      <c r="N258" s="1306">
        <f>IF(COUNT($H258:M258)&gt;='RFM input'!$AA$7,0,IF(OR('RFM input'!$E$396='RFM input'!$G$395,'RFM input'!$E$396='RFM input'!$G$396),-INDEX('RFM input'!N$402:N$451,MATCH($D258,'RFM input'!$E$402:$E$451,0),1),-SUM(N246:N257)))</f>
        <v>0</v>
      </c>
      <c r="O258" s="1306">
        <f>IF(COUNT($H258:N258)&gt;='RFM input'!$AA$7,0,IF(OR('RFM input'!$E$396='RFM input'!$G$395,'RFM input'!$E$396='RFM input'!$G$396),-INDEX('RFM input'!O$402:O$451,MATCH($D258,'RFM input'!$E$402:$E$451,0),1),-SUM(O246:O257)))</f>
        <v>0</v>
      </c>
      <c r="P258" s="1306">
        <f>IF(COUNT($H258:O258)&gt;='RFM input'!$AA$7,0,IF(OR('RFM input'!$E$396='RFM input'!$G$395,'RFM input'!$E$396='RFM input'!$G$396),-INDEX('RFM input'!P$402:P$451,MATCH($D258,'RFM input'!$E$402:$E$451,0),1),-SUM(P246:P257)))</f>
        <v>0</v>
      </c>
      <c r="Q258" s="1306">
        <f>IF(COUNT($H258:P258)&gt;='RFM input'!$AA$7,0,IF(OR('RFM input'!$E$396='RFM input'!$G$395,'RFM input'!$E$396='RFM input'!$G$396),-INDEX('RFM input'!Q$402:Q$451,MATCH($D258,'RFM input'!$E$402:$E$451,0),1),-SUM(Q246:Q257)))</f>
        <v>0</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1.5347704986741276E-2</v>
      </c>
      <c r="I259" s="1303">
        <f>IF(I$3&gt;A12remlife,A12value-SUM($G259:H259),IF(A12remlife="N/A","n/a",A12value/A12remlife))</f>
        <v>1.5347704986741276E-2</v>
      </c>
      <c r="J259" s="1303">
        <f>IF(J$3&gt;A12remlife,A12value-SUM($G259:I259),IF(A12remlife="N/A","n/a",A12value/A12remlife))</f>
        <v>1.5347704986741276E-2</v>
      </c>
      <c r="K259" s="1303">
        <f>IF(K$3&gt;A12remlife,A12value-SUM($G259:J259),IF(A12remlife="N/A","n/a",A12value/A12remlife))</f>
        <v>1.395652798099227E-2</v>
      </c>
      <c r="L259" s="1303">
        <f>IF(L$3&gt;A12remlife,A12value-SUM($G259:K259),IF(A12remlife="N/A","n/a",A12value/A12remlife))</f>
        <v>0</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3"/>
      <c r="F261" s="62">
        <v>1</v>
      </c>
      <c r="G261" s="1292"/>
      <c r="H261" s="1304"/>
      <c r="I261" s="18">
        <f>IF(A12stdlife="n/a","n/a",IF(I$3&gt;(A12stdlife+$F261),('RFM input'!$H$342*(1+vanilla1)^0.5)-SUM($H261:H261),('RFM input'!$H$342*(1+vanilla1)^0.5)/A12stdlife))</f>
        <v>1.6418590798011647E-2</v>
      </c>
      <c r="J261" s="18">
        <f>IF(A12stdlife="n/a","n/a",IF(J$3&gt;(A12stdlife+$F261),('RFM input'!$H$342*(1+vanilla1)^0.5)-SUM($H261:I261),('RFM input'!$H$342*(1+vanilla1)^0.5)/A12stdlife))</f>
        <v>1.6418590798011647E-2</v>
      </c>
      <c r="K261" s="18">
        <f>IF(A12stdlife="n/a","n/a",IF(K$3&gt;(A12stdlife+$F261),('RFM input'!$H$342*(1+vanilla1)^0.5)-SUM($H261:J261),('RFM input'!$H$342*(1+vanilla1)^0.5)/A12stdlife))</f>
        <v>1.6418590798011647E-2</v>
      </c>
      <c r="L261" s="18">
        <f>IF(A12stdlife="n/a","n/a",IF(L$3&gt;(A12stdlife+$F261),('RFM input'!$H$342*(1+vanilla1)^0.5)-SUM($H261:K261),('RFM input'!$H$342*(1+vanilla1)^0.5)/A12stdlife))</f>
        <v>1.6418590798011647E-2</v>
      </c>
      <c r="M261" s="18">
        <f>IF(A12stdlife="n/a","n/a",IF(M$3&gt;(A12stdlife+$F261),('RFM input'!$H$342*(1+vanilla1)^0.5)-SUM($H261:L261),('RFM input'!$H$342*(1+vanilla1)^0.5)/A12stdlife))</f>
        <v>1.6418590798011647E-2</v>
      </c>
      <c r="N261" s="18">
        <f>IF(A12stdlife="n/a","n/a",IF(N$3&gt;(A12stdlife+$F261),('RFM input'!$H$342*(1+vanilla1)^0.5)-SUM($H261:M261),('RFM input'!$H$342*(1+vanilla1)^0.5)/A12stdlife))</f>
        <v>1.3877787807814457E-17</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2"/>
      <c r="H262" s="131"/>
      <c r="I262" s="133"/>
      <c r="J262" s="18">
        <f>IF(A12stdlife="n/a","n/a",IF(J$3&gt;(A12stdlife+$F262),('RFM input'!$I$342*(1+vanilla2)^0.5)-SUM($I262:I262),('RFM input'!$I$342*(1+vanilla2)^0.5)/A12stdlife))</f>
        <v>6.8637031645318453E-3</v>
      </c>
      <c r="K262" s="18">
        <f>IF(A12stdlife="n/a","n/a",IF(K$3&gt;(A12stdlife+$F262),('RFM input'!$I$342*(1+vanilla2)^0.5)-SUM($I262:J262),('RFM input'!$I$342*(1+vanilla2)^0.5)/A12stdlife))</f>
        <v>6.8637031645318453E-3</v>
      </c>
      <c r="L262" s="18">
        <f>IF(A12stdlife="n/a","n/a",IF(L$3&gt;(A12stdlife+$F262),('RFM input'!$I$342*(1+vanilla2)^0.5)-SUM($I262:K262),('RFM input'!$I$342*(1+vanilla2)^0.5)/A12stdlife))</f>
        <v>6.8637031645318453E-3</v>
      </c>
      <c r="M262" s="18">
        <f>IF(A12stdlife="n/a","n/a",IF(M$3&gt;(A12stdlife+$F262),('RFM input'!$I$342*(1+vanilla2)^0.5)-SUM($I262:L262),('RFM input'!$I$342*(1+vanilla2)^0.5)/A12stdlife))</f>
        <v>6.8637031645318453E-3</v>
      </c>
      <c r="N262" s="18">
        <f>IF(A12stdlife="n/a","n/a",IF(N$3&gt;(A12stdlife+$F262),('RFM input'!$I$342*(1+vanilla2)^0.5)-SUM($I262:M262),('RFM input'!$I$342*(1+vanilla2)^0.5)/A12stdlife))</f>
        <v>6.8637031645318453E-3</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2"/>
      <c r="H263" s="131"/>
      <c r="I263" s="132"/>
      <c r="J263" s="133"/>
      <c r="K263" s="18">
        <f>IF(A12stdlife="n/a","n/a",IF(K$3&gt;(A12stdlife+$F263),('RFM input'!$J$342*(1+vanilla3)^0.5)-SUM($J263:J263),('RFM input'!$J$342*(1+vanilla3)^0.5)/A12stdlife))</f>
        <v>4.4550401275501557E-3</v>
      </c>
      <c r="L263" s="18">
        <f>IF(A12stdlife="n/a","n/a",IF(L$3&gt;(A12stdlife+$F263),('RFM input'!$J$342*(1+vanilla3)^0.5)-SUM($J263:K263),('RFM input'!$J$342*(1+vanilla3)^0.5)/A12stdlife))</f>
        <v>4.4550401275501557E-3</v>
      </c>
      <c r="M263" s="18">
        <f>IF(A12stdlife="n/a","n/a",IF(M$3&gt;(A12stdlife+$F263),('RFM input'!$J$342*(1+vanilla3)^0.5)-SUM($J263:L263),('RFM input'!$J$342*(1+vanilla3)^0.5)/A12stdlife))</f>
        <v>4.4550401275501557E-3</v>
      </c>
      <c r="N263" s="18">
        <f>IF(A12stdlife="n/a","n/a",IF(N$3&gt;(A12stdlife+$F263),('RFM input'!$J$342*(1+vanilla3)^0.5)-SUM($J263:M263),('RFM input'!$J$342*(1+vanilla3)^0.5)/A12stdlife))</f>
        <v>4.4550401275501557E-3</v>
      </c>
      <c r="O263" s="18">
        <f>IF(A12stdlife="n/a","n/a",IF(O$3&gt;(A12stdlife+$F263),('RFM input'!$J$342*(1+vanilla3)^0.5)-SUM($J263:N263),('RFM input'!$J$342*(1+vanilla3)^0.5)/A12stdlife))</f>
        <v>4.4550401275501557E-3</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2"/>
      <c r="H264" s="131"/>
      <c r="I264" s="132"/>
      <c r="J264" s="132"/>
      <c r="K264" s="133"/>
      <c r="L264" s="18">
        <f>IF(A12stdlife="n/a","n/a",IF(L$3&gt;(A12stdlife+$F264),('RFM input'!$K$342*(1+vanilla4)^0.5)-SUM($K264:K264),('RFM input'!$K$342*(1+vanilla4)^0.5)/A12stdlife))</f>
        <v>3.6111816118853113E-3</v>
      </c>
      <c r="M264" s="18">
        <f>IF(A12stdlife="n/a","n/a",IF(M$3&gt;(A12stdlife+$F264),('RFM input'!$K$342*(1+vanilla4)^0.5)-SUM($K264:L264),('RFM input'!$K$342*(1+vanilla4)^0.5)/A12stdlife))</f>
        <v>3.6111816118853113E-3</v>
      </c>
      <c r="N264" s="18">
        <f>IF(A12stdlife="n/a","n/a",IF(N$3&gt;(A12stdlife+$F264),('RFM input'!$K$342*(1+vanilla4)^0.5)-SUM($K264:M264),('RFM input'!$K$342*(1+vanilla4)^0.5)/A12stdlife))</f>
        <v>3.6111816118853113E-3</v>
      </c>
      <c r="O264" s="18">
        <f>IF(A12stdlife="n/a","n/a",IF(O$3&gt;(A12stdlife+$F264),('RFM input'!$K$342*(1+vanilla4)^0.5)-SUM($K264:N264),('RFM input'!$K$342*(1+vanilla4)^0.5)/A12stdlife))</f>
        <v>3.6111816118853113E-3</v>
      </c>
      <c r="P264" s="18">
        <f>IF(A12stdlife="n/a","n/a",IF(P$3&gt;(A12stdlife+$F264),('RFM input'!$K$342*(1+vanilla4)^0.5)-SUM($K264:O264),('RFM input'!$K$342*(1+vanilla4)^0.5)/A12stdlife))</f>
        <v>3.6111816118853113E-3</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1.7296016463103615E-2</v>
      </c>
      <c r="N265" s="18">
        <f>IF(A12stdlife="n/a","n/a",IF(N$3&gt;(A12stdlife+$F265),('RFM input'!$L$342*(1+vanilla5)^0.5)-SUM($L265:M265),('RFM input'!$L$342*(1+vanilla5)^0.5)/A12stdlife))</f>
        <v>1.7296016463103615E-2</v>
      </c>
      <c r="O265" s="18">
        <f>IF(A12stdlife="n/a","n/a",IF(O$3&gt;(A12stdlife+$F265),('RFM input'!$L$342*(1+vanilla5)^0.5)-SUM($L265:N265),('RFM input'!$L$342*(1+vanilla5)^0.5)/A12stdlife))</f>
        <v>1.7296016463103615E-2</v>
      </c>
      <c r="P265" s="18">
        <f>IF(A12stdlife="n/a","n/a",IF(P$3&gt;(A12stdlife+$F265),('RFM input'!$L$342*(1+vanilla5)^0.5)-SUM($L265:O265),('RFM input'!$L$342*(1+vanilla5)^0.5)/A12stdlife))</f>
        <v>1.7296016463103615E-2</v>
      </c>
      <c r="Q265" s="18">
        <f>IF(A12stdlife="n/a","n/a",IF(Q$3&gt;(A12stdlife+$F265),('RFM input'!$L$342*(1+vanilla5)^0.5)-SUM($L265:P265),('RFM input'!$L$342*(1+vanilla5)^0.5)/A12stdlife))</f>
        <v>1.7296016463103615E-2</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2.0783914383548933E-2</v>
      </c>
      <c r="O266" s="18">
        <f>IF(A12stdlife="n/a","n/a",IF(O$3&gt;(A12stdlife+$F266),('RFM input'!$M$342*(1+vanilla6)^0.5)-SUM($M266:N266),('RFM input'!$M$342*(1+vanilla6)^0.5)/A12stdlife))</f>
        <v>2.0783914383548933E-2</v>
      </c>
      <c r="P266" s="18">
        <f>IF(A12stdlife="n/a","n/a",IF(P$3&gt;(A12stdlife+$F266),('RFM input'!$M$342*(1+vanilla6)^0.5)-SUM($M266:O266),('RFM input'!$M$342*(1+vanilla6)^0.5)/A12stdlife))</f>
        <v>2.0783914383548933E-2</v>
      </c>
      <c r="Q266" s="18">
        <f>IF(A12stdlife="n/a","n/a",IF(Q$3&gt;(A12stdlife+$F266),('RFM input'!$M$342*(1+vanilla6)^0.5)-SUM($M266:P266),('RFM input'!$M$342*(1+vanilla6)^0.5)/A12stdlife))</f>
        <v>2.0783914383548933E-2</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8.8620411119511213E-3</v>
      </c>
      <c r="P267" s="18">
        <f>IF(A12stdlife="n/a","n/a",IF(P$3&gt;(A12stdlife+$F267),('RFM input'!$N$342*(1+vanilla7)^0.5)-SUM($N267:O267),('RFM input'!$N$342*(1+vanilla7)^0.5)/A12stdlife))</f>
        <v>8.8620411119511213E-3</v>
      </c>
      <c r="Q267" s="18">
        <f>IF(A12stdlife="n/a","n/a",IF(Q$3&gt;(A12stdlife+$F267),('RFM input'!$N$342*(1+vanilla7)^0.5)-SUM($N267:P267),('RFM input'!$N$342*(1+vanilla7)^0.5)/A12stdlife))</f>
        <v>8.8620411119511213E-3</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1.474927638052452E-2</v>
      </c>
      <c r="Q268" s="18">
        <f>IF(A12stdlife="n/a","n/a",IF(Q$3&gt;(A12stdlife+$F268),('RFM input'!$O$342*(1+vanilla8)^0.5)-SUM($O268:P268),('RFM input'!$O$342*(1+vanilla8)^0.5)/A12stdlife))</f>
        <v>1.474927638052452E-2</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1.9885815913494663E-2</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-1.5347704986741276E-2</v>
      </c>
      <c r="I271" s="1305">
        <f>IF(OR('RFM input'!$E$396='RFM input'!$G$395,'RFM input'!$E$396='RFM input'!$G$396),-INDEX('RFM input'!I$402:I$451,MATCH($D271,'RFM input'!$E$402:$E$451,0),1),-SUM(I259:I270))</f>
        <v>-3.1766295784752922E-2</v>
      </c>
      <c r="J271" s="1306">
        <f>IF(COUNT($H271:I271)&gt;='RFM input'!$AA$7,0,IF(OR('RFM input'!$E$396='RFM input'!$G$395,'RFM input'!$E$396='RFM input'!$G$396),-INDEX('RFM input'!J$402:J$451,MATCH($D271,'RFM input'!$E$402:$E$451,0),1),-SUM(J259:J270)))</f>
        <v>-3.8629998949284768E-2</v>
      </c>
      <c r="K271" s="1306">
        <f>IF(COUNT($H271:J271)&gt;='RFM input'!$AA$7,0,IF(OR('RFM input'!$E$396='RFM input'!$G$395,'RFM input'!$E$396='RFM input'!$G$396),-INDEX('RFM input'!K$402:K$451,MATCH($D271,'RFM input'!$E$402:$E$451,0),1),-SUM(K259:K270)))</f>
        <v>-4.169386207108592E-2</v>
      </c>
      <c r="L271" s="1306">
        <f>IF(COUNT($H271:K271)&gt;='RFM input'!$AA$7,0,IF(OR('RFM input'!$E$396='RFM input'!$G$395,'RFM input'!$E$396='RFM input'!$G$396),-INDEX('RFM input'!L$402:L$451,MATCH($D271,'RFM input'!$E$402:$E$451,0),1),-SUM(L259:L270)))</f>
        <v>-3.1348515701978955E-2</v>
      </c>
      <c r="M271" s="1306">
        <f>IF(COUNT($H271:L271)&gt;='RFM input'!$AA$7,0,IF(OR('RFM input'!$E$396='RFM input'!$G$395,'RFM input'!$E$396='RFM input'!$G$396),-INDEX('RFM input'!M$402:M$451,MATCH($D271,'RFM input'!$E$402:$E$451,0),1),-SUM(M259:M270)))</f>
        <v>-4.864453216508257E-2</v>
      </c>
      <c r="N271" s="1306">
        <f>IF(COUNT($H271:M271)&gt;='RFM input'!$AA$7,0,IF(OR('RFM input'!$E$396='RFM input'!$G$395,'RFM input'!$E$396='RFM input'!$G$396),-INDEX('RFM input'!N$402:N$451,MATCH($D271,'RFM input'!$E$402:$E$451,0),1),-SUM(N259:N270)))</f>
        <v>-5.3009855750619866E-2</v>
      </c>
      <c r="O271" s="1306">
        <f>IF(COUNT($H271:N271)&gt;='RFM input'!$AA$7,0,IF(OR('RFM input'!$E$396='RFM input'!$G$395,'RFM input'!$E$396='RFM input'!$G$396),-INDEX('RFM input'!O$402:O$451,MATCH($D271,'RFM input'!$E$402:$E$451,0),1),-SUM(O259:O270)))</f>
        <v>-5.5008193698039137E-2</v>
      </c>
      <c r="P271" s="1306">
        <f>IF(COUNT($H271:O271)&gt;='RFM input'!$AA$7,0,IF(OR('RFM input'!$E$396='RFM input'!$G$395,'RFM input'!$E$396='RFM input'!$G$396),-INDEX('RFM input'!P$402:P$451,MATCH($D271,'RFM input'!$E$402:$E$451,0),1),-SUM(P259:P270)))</f>
        <v>-6.5302429951013513E-2</v>
      </c>
      <c r="Q271" s="1306">
        <f>IF(COUNT($H271:P271)&gt;='RFM input'!$AA$7,0,IF(OR('RFM input'!$E$396='RFM input'!$G$395,'RFM input'!$E$396='RFM input'!$G$396),-INDEX('RFM input'!Q$402:Q$451,MATCH($D271,'RFM input'!$E$402:$E$451,0),1),-SUM(Q259:Q270)))</f>
        <v>-8.1577064252622858E-2</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2"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3"/>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0.24692749971460839</v>
      </c>
      <c r="I285" s="1303">
        <f>IF(I$3&gt;A14remlife,A14value-SUM($G285:H285),IF(A14remlife="N/A","n/a",A14value/A14remlife))</f>
        <v>0.24692749971460839</v>
      </c>
      <c r="J285" s="1303">
        <f>IF(J$3&gt;A14remlife,A14value-SUM($G285:I285),IF(A14remlife="N/A","n/a",A14value/A14remlife))</f>
        <v>0.24692749971460839</v>
      </c>
      <c r="K285" s="1303">
        <f>IF(K$3&gt;A14remlife,A14value-SUM($G285:J285),IF(A14remlife="N/A","n/a",A14value/A14remlife))</f>
        <v>0.24692749971460839</v>
      </c>
      <c r="L285" s="1303">
        <f>IF(L$3&gt;A14remlife,A14value-SUM($G285:K285),IF(A14remlife="N/A","n/a",A14value/A14remlife))</f>
        <v>0.24692749971460839</v>
      </c>
      <c r="M285" s="1303">
        <f>IF(M$3&gt;A14remlife,A14value-SUM($G285:L285),IF(A14remlife="N/A","n/a",A14value/A14remlife))</f>
        <v>0.24692749971460839</v>
      </c>
      <c r="N285" s="1303">
        <f>IF(N$3&gt;A14remlife,A14value-SUM($G285:M285),IF(A14remlife="N/A","n/a",A14value/A14remlife))</f>
        <v>0.24692749971460839</v>
      </c>
      <c r="O285" s="1303">
        <f>IF(O$3&gt;A14remlife,A14value-SUM($G285:N285),IF(A14remlife="N/A","n/a",A14value/A14remlife))</f>
        <v>0.24692749971460839</v>
      </c>
      <c r="P285" s="1303">
        <f>IF(P$3&gt;A14remlife,A14value-SUM($G285:O285),IF(A14remlife="N/A","n/a",A14value/A14remlife))</f>
        <v>0.24692749971460839</v>
      </c>
      <c r="Q285" s="1303">
        <f>IF(Q$3&gt;A14remlife,A14value-SUM($G285:P285),IF(A14remlife="N/A","n/a",A14value/A14remlife))</f>
        <v>0.24692749971460839</v>
      </c>
      <c r="R285" s="20"/>
      <c r="S285" s="77"/>
      <c r="T285" s="77"/>
      <c r="U285" s="77"/>
      <c r="V285" s="77"/>
      <c r="W285" s="77"/>
      <c r="X285" s="77"/>
      <c r="Y285" s="77"/>
      <c r="Z285" s="77"/>
    </row>
    <row r="286" spans="1:26" ht="12.75" hidden="1" customHeight="1" outlineLevel="2">
      <c r="A286" s="3"/>
      <c r="B286" s="3"/>
      <c r="C286" s="3"/>
      <c r="D286" s="16"/>
      <c r="E286" s="1502"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3"/>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2"/>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-0.24692749971460839</v>
      </c>
      <c r="I297" s="1305">
        <f>IF(OR('RFM input'!$E$396='RFM input'!$G$395,'RFM input'!$E$396='RFM input'!$G$396),-INDEX('RFM input'!I$402:I$451,MATCH($D297,'RFM input'!$E$402:$E$451,0),1),-SUM(I285:I296))</f>
        <v>-0.24692749971460839</v>
      </c>
      <c r="J297" s="1306">
        <f>IF(COUNT($H297:I297)&gt;='RFM input'!$AA$7,0,IF(OR('RFM input'!$E$396='RFM input'!$G$395,'RFM input'!$E$396='RFM input'!$G$396),-INDEX('RFM input'!J$402:J$451,MATCH($D297,'RFM input'!$E$402:$E$451,0),1),-SUM(J285:J296)))</f>
        <v>-0.24692749971460839</v>
      </c>
      <c r="K297" s="1306">
        <f>IF(COUNT($H297:J297)&gt;='RFM input'!$AA$7,0,IF(OR('RFM input'!$E$396='RFM input'!$G$395,'RFM input'!$E$396='RFM input'!$G$396),-INDEX('RFM input'!K$402:K$451,MATCH($D297,'RFM input'!$E$402:$E$451,0),1),-SUM(K285:K296)))</f>
        <v>-0.24692749971460839</v>
      </c>
      <c r="L297" s="1306">
        <f>IF(COUNT($H297:K297)&gt;='RFM input'!$AA$7,0,IF(OR('RFM input'!$E$396='RFM input'!$G$395,'RFM input'!$E$396='RFM input'!$G$396),-INDEX('RFM input'!L$402:L$451,MATCH($D297,'RFM input'!$E$402:$E$451,0),1),-SUM(L285:L296)))</f>
        <v>-0.24692749971460839</v>
      </c>
      <c r="M297" s="1306">
        <f>IF(COUNT($H297:L297)&gt;='RFM input'!$AA$7,0,IF(OR('RFM input'!$E$396='RFM input'!$G$395,'RFM input'!$E$396='RFM input'!$G$396),-INDEX('RFM input'!M$402:M$451,MATCH($D297,'RFM input'!$E$402:$E$451,0),1),-SUM(M285:M296)))</f>
        <v>-0.24692749971460839</v>
      </c>
      <c r="N297" s="1306">
        <f>IF(COUNT($H297:M297)&gt;='RFM input'!$AA$7,0,IF(OR('RFM input'!$E$396='RFM input'!$G$395,'RFM input'!$E$396='RFM input'!$G$396),-INDEX('RFM input'!N$402:N$451,MATCH($D297,'RFM input'!$E$402:$E$451,0),1),-SUM(N285:N296)))</f>
        <v>-0.24692749971460839</v>
      </c>
      <c r="O297" s="1306">
        <f>IF(COUNT($H297:N297)&gt;='RFM input'!$AA$7,0,IF(OR('RFM input'!$E$396='RFM input'!$G$395,'RFM input'!$E$396='RFM input'!$G$396),-INDEX('RFM input'!O$402:O$451,MATCH($D297,'RFM input'!$E$402:$E$451,0),1),-SUM(O285:O296)))</f>
        <v>-0.24692749971460839</v>
      </c>
      <c r="P297" s="1306">
        <f>IF(COUNT($H297:O297)&gt;='RFM input'!$AA$7,0,IF(OR('RFM input'!$E$396='RFM input'!$G$395,'RFM input'!$E$396='RFM input'!$G$396),-INDEX('RFM input'!P$402:P$451,MATCH($D297,'RFM input'!$E$402:$E$451,0),1),-SUM(P285:P296)))</f>
        <v>-0.24692749971460839</v>
      </c>
      <c r="Q297" s="1306">
        <f>IF(COUNT($H297:P297)&gt;='RFM input'!$AA$7,0,IF(OR('RFM input'!$E$396='RFM input'!$G$395,'RFM input'!$E$396='RFM input'!$G$396),-INDEX('RFM input'!Q$402:Q$451,MATCH($D297,'RFM input'!$E$402:$E$451,0),1),-SUM(Q285:Q296)))</f>
        <v>-0.24692749971460839</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3"/>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3"/>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3"/>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3"/>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3"/>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3"/>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3"/>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3"/>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3"/>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3"/>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2"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3"/>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3"/>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3"/>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2"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2"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3"/>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3"/>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3"/>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36.608173308036676</v>
      </c>
      <c r="H769" s="1301">
        <f t="shared" ref="H769:R769" si="4">SUM(H770:H819)</f>
        <v>37.312045860899651</v>
      </c>
      <c r="I769" s="1301">
        <f t="shared" si="4"/>
        <v>37.954980315512621</v>
      </c>
      <c r="J769" s="1301">
        <f t="shared" si="4"/>
        <v>37.891107233403147</v>
      </c>
      <c r="K769" s="1301">
        <f t="shared" si="4"/>
        <v>38.313423869672327</v>
      </c>
      <c r="L769" s="1301">
        <f t="shared" si="4"/>
        <v>38.608080818410215</v>
      </c>
      <c r="M769" s="1301">
        <f t="shared" si="4"/>
        <v>38.531437197527218</v>
      </c>
      <c r="N769" s="1301">
        <f t="shared" si="4"/>
        <v>38.115187346330806</v>
      </c>
      <c r="O769" s="1301">
        <f t="shared" si="4"/>
        <v>38.07633994991194</v>
      </c>
      <c r="P769" s="1301">
        <f t="shared" si="4"/>
        <v>38.039328005553102</v>
      </c>
      <c r="Q769" s="1301">
        <f t="shared" si="4"/>
        <v>37.853585948392841</v>
      </c>
      <c r="R769" s="1301">
        <f t="shared" si="4"/>
        <v>36.881616612061322</v>
      </c>
      <c r="S769" s="73"/>
      <c r="T769" s="73"/>
      <c r="U769" s="73"/>
      <c r="V769" s="73"/>
      <c r="W769" s="73"/>
      <c r="X769" s="73"/>
      <c r="Y769" s="73"/>
      <c r="Z769" s="73"/>
    </row>
    <row r="770" spans="1:26" hidden="1" outlineLevel="1">
      <c r="A770" s="3"/>
      <c r="B770" s="3"/>
      <c r="C770" s="3"/>
      <c r="D770" s="151" t="str">
        <f>Asset1</f>
        <v>Pipelines</v>
      </c>
      <c r="E770" s="3"/>
      <c r="F770" s="3"/>
      <c r="G770" s="1291">
        <f>'RFM input'!I7</f>
        <v>33.469202260406348</v>
      </c>
      <c r="H770" s="1292">
        <f t="shared" ref="H770:H799" si="5">G770+G822+G874+G926+G978+G1030</f>
        <v>34.332183819572137</v>
      </c>
      <c r="I770" s="1292">
        <f t="shared" ref="I770:J779" si="6">H770+H822+H874</f>
        <v>35.064293188549847</v>
      </c>
      <c r="J770" s="1292">
        <f t="shared" si="6"/>
        <v>34.954366932246835</v>
      </c>
      <c r="K770" s="1292">
        <f>IF(COUNT($H770:J770)&gt;'RFM input'!$AA$7,0, J770+J822+J874)</f>
        <v>35.605848415515595</v>
      </c>
      <c r="L770" s="1292">
        <f>IF(COUNT($H770:K770)&gt;'RFM input'!$AA$7,0, K770+K822+K874)</f>
        <v>36.133434274921839</v>
      </c>
      <c r="M770" s="1292">
        <f>IF(COUNT($H770:L770)&gt;'RFM input'!$AA$7,0, L770+L822+L874)</f>
        <v>36.253714851249988</v>
      </c>
      <c r="N770" s="1292">
        <f>IF(COUNT($H770:M770)&gt;'RFM input'!$AA$7,0, M770+M822+M874)</f>
        <v>36.051844887014745</v>
      </c>
      <c r="O770" s="1292">
        <f>IF(COUNT($H770:N770)&gt;'RFM input'!$AA$7,0, N770+N822+N874)</f>
        <v>36.170280199634121</v>
      </c>
      <c r="P770" s="1292">
        <f>IF(COUNT($H770:O770)&gt;'RFM input'!$AA$7,0, O770+O822+O874)</f>
        <v>36.331895432322227</v>
      </c>
      <c r="Q770" s="1292">
        <f>IF(COUNT($H770:P770)&gt;'RFM input'!$AA$7,0, P770+P822+P874)</f>
        <v>36.308487379024278</v>
      </c>
      <c r="R770" s="1292">
        <f>IF(COUNT($H770:Q770)&gt;'RFM input'!$AA$7,0, Q770+Q822+Q874)</f>
        <v>35.570239049861343</v>
      </c>
      <c r="S770" s="3"/>
      <c r="T770" s="3"/>
      <c r="U770" s="3"/>
      <c r="V770" s="3"/>
      <c r="W770" s="3"/>
      <c r="X770" s="3"/>
      <c r="Y770" s="3"/>
      <c r="Z770" s="3"/>
    </row>
    <row r="771" spans="1:26" hidden="1" outlineLevel="1">
      <c r="A771" s="3"/>
      <c r="B771" s="3"/>
      <c r="C771" s="29"/>
      <c r="D771" s="151" t="str">
        <f>Asset2</f>
        <v>Compressors</v>
      </c>
      <c r="E771" s="3"/>
      <c r="F771" s="3"/>
      <c r="G771" s="1291">
        <f>'RFM input'!I8</f>
        <v>0</v>
      </c>
      <c r="H771" s="1292">
        <f t="shared" si="5"/>
        <v>0</v>
      </c>
      <c r="I771" s="1292">
        <f t="shared" si="6"/>
        <v>0</v>
      </c>
      <c r="J771" s="1292">
        <f t="shared" si="6"/>
        <v>0</v>
      </c>
      <c r="K771" s="1292">
        <f>IF(COUNT($H771:J771)&gt;'RFM input'!$AA$7,0, J771+J823+J875)</f>
        <v>0</v>
      </c>
      <c r="L771" s="1292">
        <f>IF(COUNT($H771:K771)&gt;'RFM input'!$AA$7,0, K771+K823+K875)</f>
        <v>0</v>
      </c>
      <c r="M771" s="1292">
        <f>IF(COUNT($H771:L771)&gt;'RFM input'!$AA$7,0, L771+L823+L875)</f>
        <v>0</v>
      </c>
      <c r="N771" s="1292">
        <f>IF(COUNT($H771:M771)&gt;'RFM input'!$AA$7,0, M771+M823+M875)</f>
        <v>0</v>
      </c>
      <c r="O771" s="1292">
        <f>IF(COUNT($H771:N771)&gt;'RFM input'!$AA$7,0, N771+N823+N875)</f>
        <v>0</v>
      </c>
      <c r="P771" s="1292">
        <f>IF(COUNT($H771:O771)&gt;'RFM input'!$AA$7,0, O771+O823+O875)</f>
        <v>0</v>
      </c>
      <c r="Q771" s="1292">
        <f>IF(COUNT($H771:P771)&gt;'RFM input'!$AA$7,0, P771+P823+P875)</f>
        <v>0</v>
      </c>
      <c r="R771" s="1292">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0</v>
      </c>
      <c r="H772" s="1292">
        <f t="shared" si="5"/>
        <v>0</v>
      </c>
      <c r="I772" s="1292">
        <f t="shared" si="6"/>
        <v>0</v>
      </c>
      <c r="J772" s="1292">
        <f t="shared" si="6"/>
        <v>0</v>
      </c>
      <c r="K772" s="1292">
        <f>IF(COUNT($H772:J772)&gt;'RFM input'!$AA$7,0, J772+J824+J876)</f>
        <v>0</v>
      </c>
      <c r="L772" s="1292">
        <f>IF(COUNT($H772:K772)&gt;'RFM input'!$AA$7,0, K772+K824+K876)</f>
        <v>0</v>
      </c>
      <c r="M772" s="1292">
        <f>IF(COUNT($H772:L772)&gt;'RFM input'!$AA$7,0, L772+L824+L876)</f>
        <v>0</v>
      </c>
      <c r="N772" s="1292">
        <f>IF(COUNT($H772:M772)&gt;'RFM input'!$AA$7,0, M772+M824+M876)</f>
        <v>0</v>
      </c>
      <c r="O772" s="1292">
        <f>IF(COUNT($H772:N772)&gt;'RFM input'!$AA$7,0, N772+N824+N876)</f>
        <v>0</v>
      </c>
      <c r="P772" s="1292">
        <f>IF(COUNT($H772:O772)&gt;'RFM input'!$AA$7,0, O772+O824+O876)</f>
        <v>0</v>
      </c>
      <c r="Q772" s="1292">
        <f>IF(COUNT($H772:P772)&gt;'RFM input'!$AA$7,0, P772+P824+P876)</f>
        <v>0</v>
      </c>
      <c r="R772" s="1292">
        <f>IF(COUNT($H772:Q772)&gt;'RFM input'!$AA$7,0, Q772+Q824+Q876)</f>
        <v>0</v>
      </c>
      <c r="S772" s="74"/>
      <c r="T772" s="74"/>
      <c r="U772" s="74"/>
      <c r="V772" s="74"/>
      <c r="W772" s="74"/>
      <c r="X772" s="74"/>
      <c r="Y772" s="74"/>
      <c r="Z772" s="74"/>
    </row>
    <row r="773" spans="1:26" hidden="1" outlineLevel="1">
      <c r="A773" s="3"/>
      <c r="B773" s="3"/>
      <c r="C773" s="29"/>
      <c r="D773" s="151" t="str">
        <f>Asset4</f>
        <v>Metering</v>
      </c>
      <c r="E773" s="3"/>
      <c r="F773" s="3"/>
      <c r="G773" s="1291">
        <f>'RFM input'!I10</f>
        <v>0.43946015032915664</v>
      </c>
      <c r="H773" s="1292">
        <f t="shared" si="5"/>
        <v>0.44321788934403</v>
      </c>
      <c r="I773" s="1292">
        <f t="shared" si="6"/>
        <v>0.44929219909805385</v>
      </c>
      <c r="J773" s="1292">
        <f t="shared" si="6"/>
        <v>0.44433465687175788</v>
      </c>
      <c r="K773" s="1292">
        <f>IF(COUNT($H773:J773)&gt;'RFM input'!$AA$7,0, J773+J825+J877)</f>
        <v>0.44458622574628553</v>
      </c>
      <c r="L773" s="1292">
        <f>IF(COUNT($H773:K773)&gt;'RFM input'!$AA$7,0, K773+K825+K877)</f>
        <v>0.44737514422090124</v>
      </c>
      <c r="M773" s="1292">
        <f>IF(COUNT($H773:L773)&gt;'RFM input'!$AA$7,0, L773+L825+L877)</f>
        <v>0.44319630007738842</v>
      </c>
      <c r="N773" s="1292">
        <f>IF(COUNT($H773:M773)&gt;'RFM input'!$AA$7,0, M773+M825+M877)</f>
        <v>0.4366280202708453</v>
      </c>
      <c r="O773" s="1292">
        <f>IF(COUNT($H773:N773)&gt;'RFM input'!$AA$7,0, N773+N825+N877)</f>
        <v>0.43385417653878139</v>
      </c>
      <c r="P773" s="1292">
        <f>IF(COUNT($H773:O773)&gt;'RFM input'!$AA$7,0, O773+O825+O877)</f>
        <v>0.43143448138778023</v>
      </c>
      <c r="Q773" s="1292">
        <f>IF(COUNT($H773:P773)&gt;'RFM input'!$AA$7,0, P773+P825+P877)</f>
        <v>0.4266355009283021</v>
      </c>
      <c r="R773" s="1292">
        <f>IF(COUNT($H773:Q773)&gt;'RFM input'!$AA$7,0, Q773+Q825+Q877)</f>
        <v>0.41329166203718309</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0.28414967029114252</v>
      </c>
      <c r="K774" s="1292">
        <f>IF(COUNT($H774:J774)&gt;'RFM input'!$AA$7,0, J774+J826+J878)</f>
        <v>0.28734838822131359</v>
      </c>
      <c r="L774" s="1292">
        <f>IF(COUNT($H774:K774)&gt;'RFM input'!$AA$7,0, K774+K826+K878)</f>
        <v>0.29233395359920522</v>
      </c>
      <c r="M774" s="1292">
        <f>IF(COUNT($H774:L774)&gt;'RFM input'!$AA$7,0, L774+L826+L878)</f>
        <v>0.29296013758000317</v>
      </c>
      <c r="N774" s="1292">
        <f>IF(COUNT($H774:M774)&gt;'RFM input'!$AA$7,0, M774+M826+M878)</f>
        <v>0.29211002828184202</v>
      </c>
      <c r="O774" s="1292">
        <f>IF(COUNT($H774:N774)&gt;'RFM input'!$AA$7,0, N774+N826+N878)</f>
        <v>0.29387135054570096</v>
      </c>
      <c r="P774" s="1292">
        <f>IF(COUNT($H774:O774)&gt;'RFM input'!$AA$7,0, O774+O826+O878)</f>
        <v>0.29601469737621344</v>
      </c>
      <c r="Q774" s="1292">
        <f>IF(COUNT($H774:P774)&gt;'RFM input'!$AA$7,0, P774+P826+P878)</f>
        <v>0.29668526852240845</v>
      </c>
      <c r="R774" s="1292">
        <f>IF(COUNT($H774:Q774)&gt;'RFM input'!$AA$7,0, Q774+Q826+Q878)</f>
        <v>0.29154238575854929</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8.0331870981517634E-3</v>
      </c>
      <c r="H775" s="1292">
        <f t="shared" si="5"/>
        <v>7.3627056426249652E-3</v>
      </c>
      <c r="I775" s="1292">
        <f t="shared" si="6"/>
        <v>6.6795069424646159E-3</v>
      </c>
      <c r="J775" s="1292">
        <f t="shared" si="6"/>
        <v>5.7755649365047569E-3</v>
      </c>
      <c r="K775" s="1292">
        <f>IF(COUNT($H775:J775)&gt;'RFM input'!$AA$7,0, J775+J827+J879)</f>
        <v>4.9194405476849067E-3</v>
      </c>
      <c r="L775" s="1292">
        <f>IF(COUNT($H775:K775)&gt;'RFM input'!$AA$7,0, K775+K827+K879)</f>
        <v>4.0498383384849944E-3</v>
      </c>
      <c r="M775" s="1292">
        <f>IF(COUNT($H775:L775)&gt;'RFM input'!$AA$7,0, L775+L827+L879)</f>
        <v>3.0623776315078571E-3</v>
      </c>
      <c r="N775" s="1292">
        <f>IF(COUNT($H775:M775)&gt;'RFM input'!$AA$7,0, M775+M827+M879)</f>
        <v>2.0292219256233465E-3</v>
      </c>
      <c r="O775" s="1292">
        <f>IF(COUNT($H775:N775)&gt;'RFM input'!$AA$7,0, N775+N827+N879)</f>
        <v>0.11868270430244278</v>
      </c>
      <c r="P775" s="1292">
        <f>IF(COUNT($H775:O775)&gt;'RFM input'!$AA$7,0, O775+O827+O879)</f>
        <v>0.17010299714675015</v>
      </c>
      <c r="Q775" s="1292">
        <f>IF(COUNT($H775:P775)&gt;'RFM input'!$AA$7,0, P775+P827+P879)</f>
        <v>0.25772150734567345</v>
      </c>
      <c r="R775" s="1292">
        <f>IF(COUNT($H775:Q775)&gt;'RFM input'!$AA$7,0, Q775+Q827+Q879)</f>
        <v>0.23794516572582028</v>
      </c>
      <c r="S775" s="74"/>
      <c r="T775" s="74"/>
      <c r="U775" s="74"/>
      <c r="V775" s="74"/>
      <c r="W775" s="74"/>
      <c r="X775" s="74"/>
      <c r="Y775" s="74"/>
      <c r="Z775" s="74"/>
    </row>
    <row r="776" spans="1:26" hidden="1" outlineLevel="1">
      <c r="A776" s="3"/>
      <c r="B776" s="3"/>
      <c r="C776" s="29"/>
      <c r="D776" s="151" t="str">
        <f>Asset7</f>
        <v>Buildings</v>
      </c>
      <c r="E776" s="3"/>
      <c r="F776" s="3"/>
      <c r="G776" s="1291">
        <f>'RFM input'!I13</f>
        <v>0</v>
      </c>
      <c r="H776" s="1292">
        <f t="shared" si="5"/>
        <v>0</v>
      </c>
      <c r="I776" s="1292">
        <f t="shared" si="6"/>
        <v>0</v>
      </c>
      <c r="J776" s="1292">
        <f t="shared" si="6"/>
        <v>0</v>
      </c>
      <c r="K776" s="1292">
        <f>IF(COUNT($H776:J776)&gt;'RFM input'!$AA$7,0, J776+J828+J880)</f>
        <v>0</v>
      </c>
      <c r="L776" s="1292">
        <f>IF(COUNT($H776:K776)&gt;'RFM input'!$AA$7,0, K776+K828+K880)</f>
        <v>0</v>
      </c>
      <c r="M776" s="1292">
        <f>IF(COUNT($H776:L776)&gt;'RFM input'!$AA$7,0, L776+L828+L880)</f>
        <v>0</v>
      </c>
      <c r="N776" s="1292">
        <f>IF(COUNT($H776:M776)&gt;'RFM input'!$AA$7,0, M776+M828+M880)</f>
        <v>0</v>
      </c>
      <c r="O776" s="1292">
        <f>IF(COUNT($H776:N776)&gt;'RFM input'!$AA$7,0, N776+N828+N880)</f>
        <v>0</v>
      </c>
      <c r="P776" s="1292">
        <f>IF(COUNT($H776:O776)&gt;'RFM input'!$AA$7,0, O776+O828+O880)</f>
        <v>0</v>
      </c>
      <c r="Q776" s="1292">
        <f>IF(COUNT($H776:P776)&gt;'RFM input'!$AA$7,0, P776+P828+P880)</f>
        <v>0</v>
      </c>
      <c r="R776" s="1292">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0</v>
      </c>
      <c r="H777" s="1292">
        <f t="shared" si="5"/>
        <v>0</v>
      </c>
      <c r="I777" s="1292">
        <f t="shared" si="6"/>
        <v>0</v>
      </c>
      <c r="J777" s="1292">
        <f t="shared" si="6"/>
        <v>0</v>
      </c>
      <c r="K777" s="1292">
        <f>IF(COUNT($H777:J777)&gt;'RFM input'!$AA$7,0, J777+J829+J881)</f>
        <v>0</v>
      </c>
      <c r="L777" s="1292">
        <f>IF(COUNT($H777:K777)&gt;'RFM input'!$AA$7,0, K777+K829+K881)</f>
        <v>0</v>
      </c>
      <c r="M777" s="1292">
        <f>IF(COUNT($H777:L777)&gt;'RFM input'!$AA$7,0, L777+L829+L881)</f>
        <v>0</v>
      </c>
      <c r="N777" s="1292">
        <f>IF(COUNT($H777:M777)&gt;'RFM input'!$AA$7,0, M777+M829+M881)</f>
        <v>0</v>
      </c>
      <c r="O777" s="1292">
        <f>IF(COUNT($H777:N777)&gt;'RFM input'!$AA$7,0, N777+N829+N881)</f>
        <v>0</v>
      </c>
      <c r="P777" s="1292">
        <f>IF(COUNT($H777:O777)&gt;'RFM input'!$AA$7,0, O777+O829+O881)</f>
        <v>0</v>
      </c>
      <c r="Q777" s="1292">
        <f>IF(COUNT($H777:P777)&gt;'RFM input'!$AA$7,0, P777+P829+P881)</f>
        <v>0</v>
      </c>
      <c r="R777" s="1292">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0</v>
      </c>
      <c r="H778" s="1292">
        <f t="shared" si="5"/>
        <v>0</v>
      </c>
      <c r="I778" s="1292">
        <f t="shared" si="6"/>
        <v>0</v>
      </c>
      <c r="J778" s="1292">
        <f t="shared" si="6"/>
        <v>0</v>
      </c>
      <c r="K778" s="1292">
        <f>IF(COUNT($H778:J778)&gt;'RFM input'!$AA$7,0, J778+J830+J882)</f>
        <v>0</v>
      </c>
      <c r="L778" s="1292">
        <f>IF(COUNT($H778:K778)&gt;'RFM input'!$AA$7,0, K778+K830+K882)</f>
        <v>0</v>
      </c>
      <c r="M778" s="1292">
        <f>IF(COUNT($H778:L778)&gt;'RFM input'!$AA$7,0, L778+L830+L882)</f>
        <v>0</v>
      </c>
      <c r="N778" s="1292">
        <f>IF(COUNT($H778:M778)&gt;'RFM input'!$AA$7,0, M778+M830+M882)</f>
        <v>0</v>
      </c>
      <c r="O778" s="1292">
        <f>IF(COUNT($H778:N778)&gt;'RFM input'!$AA$7,0, N778+N830+N882)</f>
        <v>0</v>
      </c>
      <c r="P778" s="1292">
        <f>IF(COUNT($H778:O778)&gt;'RFM input'!$AA$7,0, O778+O830+O882)</f>
        <v>0</v>
      </c>
      <c r="Q778" s="1292">
        <f>IF(COUNT($H778:P778)&gt;'RFM input'!$AA$7,0, P778+P830+P882)</f>
        <v>0</v>
      </c>
      <c r="R778" s="1292">
        <f>IF(COUNT($H778:Q778)&gt;'RFM input'!$AA$7,0, Q778+Q830+Q882)</f>
        <v>0</v>
      </c>
      <c r="S778" s="74"/>
      <c r="T778" s="74"/>
      <c r="U778" s="74"/>
      <c r="V778" s="74"/>
      <c r="W778" s="74"/>
      <c r="X778" s="74"/>
      <c r="Y778" s="74"/>
      <c r="Z778" s="74"/>
    </row>
    <row r="779" spans="1:26" hidden="1" outlineLevel="1">
      <c r="A779" s="3"/>
      <c r="B779" s="3"/>
      <c r="C779" s="29"/>
      <c r="D779" s="151" t="str">
        <f>Asset10</f>
        <v>IT Systems</v>
      </c>
      <c r="E779" s="3"/>
      <c r="F779" s="3"/>
      <c r="G779" s="1291">
        <f>'RFM input'!I16</f>
        <v>0</v>
      </c>
      <c r="H779" s="1292">
        <f t="shared" si="5"/>
        <v>0</v>
      </c>
      <c r="I779" s="1292">
        <f t="shared" si="6"/>
        <v>0</v>
      </c>
      <c r="J779" s="1292">
        <f t="shared" si="6"/>
        <v>0</v>
      </c>
      <c r="K779" s="1292">
        <f>IF(COUNT($H779:J779)&gt;'RFM input'!$AA$7,0, J779+J831+J883)</f>
        <v>0</v>
      </c>
      <c r="L779" s="1292">
        <f>IF(COUNT($H779:K779)&gt;'RFM input'!$AA$7,0, K779+K831+K883)</f>
        <v>0</v>
      </c>
      <c r="M779" s="1292">
        <f>IF(COUNT($H779:L779)&gt;'RFM input'!$AA$7,0, L779+L831+L883)</f>
        <v>0</v>
      </c>
      <c r="N779" s="1292">
        <f>IF(COUNT($H779:M779)&gt;'RFM input'!$AA$7,0, M779+M831+M883)</f>
        <v>0</v>
      </c>
      <c r="O779" s="1292">
        <f>IF(COUNT($H779:N779)&gt;'RFM input'!$AA$7,0, N779+N831+N883)</f>
        <v>0</v>
      </c>
      <c r="P779" s="1292">
        <f>IF(COUNT($H779:O779)&gt;'RFM input'!$AA$7,0, O779+O831+O883)</f>
        <v>0</v>
      </c>
      <c r="Q779" s="1292">
        <f>IF(COUNT($H779:P779)&gt;'RFM input'!$AA$7,0, P779+P831+P883)</f>
        <v>0</v>
      </c>
      <c r="R779" s="1292">
        <f>IF(COUNT($H779:Q779)&gt;'RFM input'!$AA$7,0, Q779+Q831+Q883)</f>
        <v>1.9324618280232107E-2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0</v>
      </c>
      <c r="J780" s="1292">
        <f t="shared" si="7"/>
        <v>0</v>
      </c>
      <c r="K780" s="1292">
        <f>IF(COUNT($H780:J780)&gt;'RFM input'!$AA$7,0, J780+J832+J884)</f>
        <v>0</v>
      </c>
      <c r="L780" s="1292">
        <f>IF(COUNT($H780:K780)&gt;'RFM input'!$AA$7,0, K780+K832+K884)</f>
        <v>0</v>
      </c>
      <c r="M780" s="1292">
        <f>IF(COUNT($H780:L780)&gt;'RFM input'!$AA$7,0, L780+L832+L884)</f>
        <v>0</v>
      </c>
      <c r="N780" s="1292">
        <f>IF(COUNT($H780:M780)&gt;'RFM input'!$AA$7,0, M780+M832+M884)</f>
        <v>0</v>
      </c>
      <c r="O780" s="1292">
        <f>IF(COUNT($H780:N780)&gt;'RFM input'!$AA$7,0, N780+N832+N884)</f>
        <v>0</v>
      </c>
      <c r="P780" s="1292">
        <f>IF(COUNT($H780:O780)&gt;'RFM input'!$AA$7,0, O780+O832+O884)</f>
        <v>0</v>
      </c>
      <c r="Q780" s="1292">
        <f>IF(COUNT($H780:P780)&gt;'RFM input'!$AA$7,0, P780+P832+P884)</f>
        <v>0</v>
      </c>
      <c r="R780" s="1292">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5.130171669312672E-2</v>
      </c>
      <c r="H781" s="1292">
        <f t="shared" si="5"/>
        <v>5.9999642941216097E-2</v>
      </c>
      <c r="I781" s="1292">
        <f t="shared" si="7"/>
        <v>0.13094474103672762</v>
      </c>
      <c r="J781" s="1292">
        <f t="shared" si="7"/>
        <v>0.13521191058419879</v>
      </c>
      <c r="K781" s="1292">
        <f>IF(COUNT($H781:J781)&gt;'RFM input'!$AA$7,0, J781+J833+J885)</f>
        <v>0.12077696831590154</v>
      </c>
      <c r="L781" s="1292">
        <f>IF(COUNT($H781:K781)&gt;'RFM input'!$AA$7,0, K781+K833+K885)</f>
        <v>9.8274033128647048E-2</v>
      </c>
      <c r="M781" s="1292">
        <f>IF(COUNT($H781:L781)&gt;'RFM input'!$AA$7,0, L781+L833+L885)</f>
        <v>0.16257660398259435</v>
      </c>
      <c r="N781" s="1292">
        <f>IF(COUNT($H781:M781)&gt;'RFM input'!$AA$7,0, M781+M833+M885)</f>
        <v>0.22817300089364603</v>
      </c>
      <c r="O781" s="1292">
        <f>IF(COUNT($H781:N781)&gt;'RFM input'!$AA$7,0, N781+N833+N885)</f>
        <v>0.22241993831771897</v>
      </c>
      <c r="P781" s="1292">
        <f>IF(COUNT($H781:O781)&gt;'RFM input'!$AA$7,0, O781+O833+O885)</f>
        <v>0.2493594528692574</v>
      </c>
      <c r="Q781" s="1292">
        <f>IF(COUNT($H781:P781)&gt;'RFM input'!$AA$7,0, P781+P833+P885)</f>
        <v>0.2948229844780284</v>
      </c>
      <c r="R781" s="1292">
        <f>IF(COUNT($H781:Q781)&gt;'RFM input'!$AA$7,0, Q781+Q833+Q885)</f>
        <v>0.29932501287638036</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8.6651999513626482E-2</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2.6401759935098994</v>
      </c>
      <c r="H783" s="1292">
        <f t="shared" si="5"/>
        <v>2.4692818033996451</v>
      </c>
      <c r="I783" s="1292">
        <f t="shared" si="7"/>
        <v>2.3037706798855293</v>
      </c>
      <c r="J783" s="1292">
        <f t="shared" si="7"/>
        <v>2.0672684984727088</v>
      </c>
      <c r="K783" s="1292">
        <f>IF(COUNT($H783:J783)&gt;'RFM input'!$AA$7,0, J783+J835+J887)</f>
        <v>1.849944431325544</v>
      </c>
      <c r="L783" s="1292">
        <f>IF(COUNT($H783:K783)&gt;'RFM input'!$AA$7,0, K783+K835+K887)</f>
        <v>1.6326135742011421</v>
      </c>
      <c r="M783" s="1292">
        <f>IF(COUNT($H783:L783)&gt;'RFM input'!$AA$7,0, L783+L835+L887)</f>
        <v>1.375926927005733</v>
      </c>
      <c r="N783" s="1292">
        <f>IF(COUNT($H783:M783)&gt;'RFM input'!$AA$7,0, M783+M835+M887)</f>
        <v>1.1044021879441051</v>
      </c>
      <c r="O783" s="1292">
        <f>IF(COUNT($H783:N783)&gt;'RFM input'!$AA$7,0, N783+N835+N887)</f>
        <v>0.83723158057317426</v>
      </c>
      <c r="P783" s="1292">
        <f>IF(COUNT($H783:O783)&gt;'RFM input'!$AA$7,0, O783+O835+O887)</f>
        <v>0.56052094445086875</v>
      </c>
      <c r="Q783" s="1292">
        <f>IF(COUNT($H783:P783)&gt;'RFM input'!$AA$7,0, P783+P835+P887)</f>
        <v>0.26923330809415019</v>
      </c>
      <c r="R783" s="1292">
        <f>IF(COUNT($H783:Q783)&gt;'RFM input'!$AA$7,0, Q783+Q835+Q887)</f>
        <v>-3.6703281991803116E-2</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0.34719220307726456</v>
      </c>
      <c r="H821" s="1264">
        <f t="shared" ref="H821:Q821" si="11">SUM(H822:H871)</f>
        <v>8.4599984321491156E-2</v>
      </c>
      <c r="I821" s="1264">
        <f t="shared" si="11"/>
        <v>0.32079033718443678</v>
      </c>
      <c r="J821" s="1264">
        <f t="shared" si="11"/>
        <v>0.36905034268514358</v>
      </c>
      <c r="K821" s="1264">
        <f t="shared" si="11"/>
        <v>1.997095341216169E-2</v>
      </c>
      <c r="L821" s="1264">
        <f t="shared" si="11"/>
        <v>0.23549231335021523</v>
      </c>
      <c r="M821" s="1264">
        <f t="shared" si="11"/>
        <v>0.12019659435317546</v>
      </c>
      <c r="N821" s="1264">
        <f t="shared" si="11"/>
        <v>0.16946460735191962</v>
      </c>
      <c r="O821" s="1264">
        <f t="shared" si="11"/>
        <v>0.14588474141759197</v>
      </c>
      <c r="P821" s="1264">
        <f t="shared" si="11"/>
        <v>0.21790966992859434</v>
      </c>
      <c r="Q821" s="1264">
        <f t="shared" si="11"/>
        <v>0.21226779500694617</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0.3272949139240654</v>
      </c>
      <c r="H822" s="1292">
        <f>H12*H$7</f>
        <v>0</v>
      </c>
      <c r="I822" s="1292">
        <f t="shared" ref="I822:Q822" si="12">I12*I$7</f>
        <v>0</v>
      </c>
      <c r="J822" s="1292">
        <f t="shared" si="12"/>
        <v>0.3449877906189745</v>
      </c>
      <c r="K822" s="1292">
        <f t="shared" si="12"/>
        <v>0</v>
      </c>
      <c r="L822" s="1292">
        <f t="shared" si="12"/>
        <v>0.13695552485239268</v>
      </c>
      <c r="M822" s="1292">
        <f t="shared" si="12"/>
        <v>0</v>
      </c>
      <c r="N822" s="1292">
        <f t="shared" si="12"/>
        <v>0</v>
      </c>
      <c r="O822" s="1292">
        <f t="shared" si="12"/>
        <v>0</v>
      </c>
      <c r="P822" s="1292">
        <f t="shared" si="12"/>
        <v>0</v>
      </c>
      <c r="Q822" s="1292">
        <f t="shared" si="12"/>
        <v>0</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0</v>
      </c>
      <c r="H823" s="1292">
        <f t="shared" ref="H823:Q823" si="13">H13*H$7</f>
        <v>0</v>
      </c>
      <c r="I823" s="1292">
        <f t="shared" si="13"/>
        <v>0</v>
      </c>
      <c r="J823" s="1292">
        <f t="shared" si="13"/>
        <v>0</v>
      </c>
      <c r="K823" s="1292">
        <f t="shared" si="13"/>
        <v>0</v>
      </c>
      <c r="L823" s="1292">
        <f t="shared" si="13"/>
        <v>0</v>
      </c>
      <c r="M823" s="1292">
        <f t="shared" si="13"/>
        <v>0</v>
      </c>
      <c r="N823" s="1292">
        <f t="shared" si="13"/>
        <v>0</v>
      </c>
      <c r="O823" s="1292">
        <f t="shared" si="13"/>
        <v>0</v>
      </c>
      <c r="P823" s="1292">
        <f t="shared" si="13"/>
        <v>0</v>
      </c>
      <c r="Q823" s="1292">
        <f t="shared" si="13"/>
        <v>0</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0</v>
      </c>
      <c r="M824" s="1292">
        <f t="shared" si="14"/>
        <v>0</v>
      </c>
      <c r="N824" s="1292">
        <f t="shared" si="14"/>
        <v>0</v>
      </c>
      <c r="O824" s="1292">
        <f t="shared" si="14"/>
        <v>0</v>
      </c>
      <c r="P824" s="1292">
        <f t="shared" si="14"/>
        <v>0</v>
      </c>
      <c r="Q824" s="1292">
        <f t="shared" si="14"/>
        <v>0</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0</v>
      </c>
      <c r="J825" s="1292">
        <f t="shared" si="15"/>
        <v>0</v>
      </c>
      <c r="K825" s="1292">
        <f t="shared" si="15"/>
        <v>0</v>
      </c>
      <c r="L825" s="1292">
        <f t="shared" si="15"/>
        <v>0</v>
      </c>
      <c r="M825" s="1292">
        <f t="shared" si="15"/>
        <v>0</v>
      </c>
      <c r="N825" s="1292">
        <f t="shared" si="15"/>
        <v>0</v>
      </c>
      <c r="O825" s="1292">
        <f t="shared" si="15"/>
        <v>0</v>
      </c>
      <c r="P825" s="1292">
        <f t="shared" si="15"/>
        <v>0</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0.28414967029114252</v>
      </c>
      <c r="J826" s="1292">
        <f t="shared" si="16"/>
        <v>0</v>
      </c>
      <c r="K826" s="1292">
        <f t="shared" si="16"/>
        <v>0</v>
      </c>
      <c r="L826" s="1292">
        <f t="shared" si="16"/>
        <v>0</v>
      </c>
      <c r="M826" s="1292">
        <f t="shared" si="16"/>
        <v>0</v>
      </c>
      <c r="N826" s="1292">
        <f t="shared" si="16"/>
        <v>0</v>
      </c>
      <c r="O826" s="1292">
        <f t="shared" si="16"/>
        <v>0</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v>
      </c>
      <c r="I827" s="1292">
        <f t="shared" si="17"/>
        <v>0</v>
      </c>
      <c r="J827" s="1292">
        <f t="shared" si="17"/>
        <v>0</v>
      </c>
      <c r="K827" s="1292">
        <f t="shared" si="17"/>
        <v>0</v>
      </c>
      <c r="L827" s="1292">
        <f t="shared" si="17"/>
        <v>0</v>
      </c>
      <c r="M827" s="1292">
        <f t="shared" si="17"/>
        <v>0</v>
      </c>
      <c r="N827" s="1292">
        <f t="shared" si="17"/>
        <v>0.11768962741468543</v>
      </c>
      <c r="O827" s="1292">
        <f t="shared" si="17"/>
        <v>5.804830896880591E-2</v>
      </c>
      <c r="P827" s="1292">
        <f t="shared" si="17"/>
        <v>9.7023056335132418E-2</v>
      </c>
      <c r="Q827" s="1292">
        <f t="shared" si="17"/>
        <v>0</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0</v>
      </c>
      <c r="N828" s="1292">
        <f t="shared" si="18"/>
        <v>0</v>
      </c>
      <c r="O828" s="1292">
        <f t="shared" si="18"/>
        <v>0</v>
      </c>
      <c r="P828" s="1292">
        <f t="shared" si="18"/>
        <v>0</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0</v>
      </c>
      <c r="H830" s="1292">
        <f t="shared" ref="H830:Q830" si="20">H20*H$7</f>
        <v>0</v>
      </c>
      <c r="I830" s="1292">
        <f t="shared" si="20"/>
        <v>0</v>
      </c>
      <c r="J830" s="1292">
        <f t="shared" si="20"/>
        <v>0</v>
      </c>
      <c r="K830" s="1292">
        <f t="shared" si="20"/>
        <v>0</v>
      </c>
      <c r="L830" s="1292">
        <f t="shared" si="20"/>
        <v>0</v>
      </c>
      <c r="M830" s="1292">
        <f t="shared" si="20"/>
        <v>0</v>
      </c>
      <c r="N830" s="1292">
        <f t="shared" si="20"/>
        <v>0</v>
      </c>
      <c r="O830" s="1292">
        <f t="shared" si="20"/>
        <v>0</v>
      </c>
      <c r="P830" s="1292">
        <f t="shared" si="20"/>
        <v>0</v>
      </c>
      <c r="Q830" s="1292">
        <f t="shared" si="20"/>
        <v>0</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0</v>
      </c>
      <c r="J831" s="1292">
        <f t="shared" si="21"/>
        <v>0</v>
      </c>
      <c r="K831" s="1292">
        <f t="shared" si="21"/>
        <v>0</v>
      </c>
      <c r="L831" s="1292">
        <f t="shared" si="21"/>
        <v>0</v>
      </c>
      <c r="M831" s="1292">
        <f t="shared" si="21"/>
        <v>0</v>
      </c>
      <c r="N831" s="1292">
        <f t="shared" si="21"/>
        <v>0</v>
      </c>
      <c r="O831" s="1292">
        <f t="shared" si="21"/>
        <v>0</v>
      </c>
      <c r="P831" s="1292">
        <f t="shared" si="21"/>
        <v>0</v>
      </c>
      <c r="Q831" s="1292">
        <f t="shared" si="21"/>
        <v>1.9324618280232107E-2</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0</v>
      </c>
      <c r="I832" s="1292">
        <f t="shared" si="22"/>
        <v>0</v>
      </c>
      <c r="J832" s="1292">
        <f t="shared" si="22"/>
        <v>0</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1.9897289153199171E-2</v>
      </c>
      <c r="H833" s="1292">
        <f t="shared" ref="H833:Q833" si="23">H23*H$7</f>
        <v>8.4599984321491156E-2</v>
      </c>
      <c r="I833" s="1292">
        <f t="shared" si="23"/>
        <v>3.6640666893294253E-2</v>
      </c>
      <c r="J833" s="1292">
        <f t="shared" si="23"/>
        <v>2.4062552066169106E-2</v>
      </c>
      <c r="K833" s="1292">
        <f t="shared" si="23"/>
        <v>1.997095341216169E-2</v>
      </c>
      <c r="L833" s="1292">
        <f t="shared" si="23"/>
        <v>9.8536788497822547E-2</v>
      </c>
      <c r="M833" s="1292">
        <f t="shared" si="23"/>
        <v>0.12019659435317546</v>
      </c>
      <c r="N833" s="1292">
        <f t="shared" si="23"/>
        <v>5.1774979937234199E-2</v>
      </c>
      <c r="O833" s="1292">
        <f t="shared" si="23"/>
        <v>8.7836432448786056E-2</v>
      </c>
      <c r="P833" s="1292">
        <f t="shared" si="23"/>
        <v>0.12088661359346192</v>
      </c>
      <c r="Q833" s="1292">
        <f t="shared" si="23"/>
        <v>0.10629117721308759</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8.6651999513626482E-2</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0</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0.35668034978570984</v>
      </c>
      <c r="H873" s="1301">
        <f t="shared" ref="H873:Q873" si="62">SUM(H874:H923)</f>
        <v>0.55833447029147665</v>
      </c>
      <c r="I873" s="1301">
        <f t="shared" si="62"/>
        <v>-0.38466341929391412</v>
      </c>
      <c r="J873" s="1301">
        <f t="shared" si="62"/>
        <v>5.326629358403856E-2</v>
      </c>
      <c r="K873" s="1301">
        <f t="shared" si="62"/>
        <v>0.27468599532573618</v>
      </c>
      <c r="L873" s="1301">
        <f t="shared" si="62"/>
        <v>-0.31213593423321861</v>
      </c>
      <c r="M873" s="1301">
        <f t="shared" si="62"/>
        <v>-0.53644644554958543</v>
      </c>
      <c r="N873" s="1301">
        <f t="shared" si="62"/>
        <v>-0.20831200377078554</v>
      </c>
      <c r="O873" s="1301">
        <f t="shared" si="62"/>
        <v>-0.18289668577643522</v>
      </c>
      <c r="P873" s="1301">
        <f t="shared" si="62"/>
        <v>-0.40365172708884811</v>
      </c>
      <c r="Q873" s="1301">
        <f t="shared" si="62"/>
        <v>-1.1842371313384525</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0.53568664524172771</v>
      </c>
      <c r="H874" s="1292">
        <f t="shared" ref="H874:Q874" si="63">H1084+H1136</f>
        <v>0.73210936897770873</v>
      </c>
      <c r="I874" s="1292">
        <f t="shared" si="63"/>
        <v>-0.1099262563030145</v>
      </c>
      <c r="J874" s="1292">
        <f t="shared" si="63"/>
        <v>0.30649369264979076</v>
      </c>
      <c r="K874" s="1292">
        <f t="shared" si="63"/>
        <v>0.52758585940624692</v>
      </c>
      <c r="L874" s="1292">
        <f t="shared" si="63"/>
        <v>-1.6674948524242339E-2</v>
      </c>
      <c r="M874" s="1292">
        <f t="shared" si="63"/>
        <v>-0.20186996423524484</v>
      </c>
      <c r="N874" s="1292">
        <f t="shared" si="63"/>
        <v>0.11843531261937745</v>
      </c>
      <c r="O874" s="1292">
        <f t="shared" si="63"/>
        <v>0.16161523268810518</v>
      </c>
      <c r="P874" s="1292">
        <f t="shared" si="63"/>
        <v>-2.3408053297946485E-2</v>
      </c>
      <c r="Q874" s="1292">
        <f t="shared" si="63"/>
        <v>-0.73824832916293226</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0</v>
      </c>
      <c r="H875" s="1292">
        <f t="shared" ref="H875:Q875" si="64">H1085+H1137</f>
        <v>0</v>
      </c>
      <c r="I875" s="1292">
        <f t="shared" si="64"/>
        <v>0</v>
      </c>
      <c r="J875" s="1292">
        <f t="shared" si="64"/>
        <v>0</v>
      </c>
      <c r="K875" s="1292">
        <f t="shared" si="64"/>
        <v>0</v>
      </c>
      <c r="L875" s="1292">
        <f t="shared" si="64"/>
        <v>0</v>
      </c>
      <c r="M875" s="1292">
        <f t="shared" si="64"/>
        <v>0</v>
      </c>
      <c r="N875" s="1292">
        <f t="shared" si="64"/>
        <v>0</v>
      </c>
      <c r="O875" s="1292">
        <f t="shared" si="64"/>
        <v>0</v>
      </c>
      <c r="P875" s="1292">
        <f t="shared" si="64"/>
        <v>0</v>
      </c>
      <c r="Q875" s="1292">
        <f t="shared" si="64"/>
        <v>0</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0</v>
      </c>
      <c r="H876" s="1292">
        <f t="shared" ref="H876:Q876" si="65">H1086+H1138</f>
        <v>0</v>
      </c>
      <c r="I876" s="1292">
        <f t="shared" si="65"/>
        <v>0</v>
      </c>
      <c r="J876" s="1292">
        <f t="shared" si="65"/>
        <v>0</v>
      </c>
      <c r="K876" s="1292">
        <f t="shared" si="65"/>
        <v>0</v>
      </c>
      <c r="L876" s="1292">
        <f t="shared" si="65"/>
        <v>0</v>
      </c>
      <c r="M876" s="1292">
        <f t="shared" si="65"/>
        <v>0</v>
      </c>
      <c r="N876" s="1292">
        <f t="shared" si="65"/>
        <v>0</v>
      </c>
      <c r="O876" s="1292">
        <f t="shared" si="65"/>
        <v>0</v>
      </c>
      <c r="P876" s="1292">
        <f t="shared" si="65"/>
        <v>0</v>
      </c>
      <c r="Q876" s="1292">
        <f t="shared" si="65"/>
        <v>0</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3.7577390148733625E-3</v>
      </c>
      <c r="H877" s="1292">
        <f t="shared" ref="H877:Q877" si="66">H1087+H1139</f>
        <v>6.0743097540238503E-3</v>
      </c>
      <c r="I877" s="1292">
        <f t="shared" si="66"/>
        <v>-4.9575422262959695E-3</v>
      </c>
      <c r="J877" s="1292">
        <f t="shared" si="66"/>
        <v>2.5156887452766445E-4</v>
      </c>
      <c r="K877" s="1292">
        <f t="shared" si="66"/>
        <v>2.7889184746157213E-3</v>
      </c>
      <c r="L877" s="1292">
        <f t="shared" si="66"/>
        <v>-4.1788441435128059E-3</v>
      </c>
      <c r="M877" s="1292">
        <f t="shared" si="66"/>
        <v>-6.5682798065431107E-3</v>
      </c>
      <c r="N877" s="1292">
        <f t="shared" si="66"/>
        <v>-2.7738437320639336E-3</v>
      </c>
      <c r="O877" s="1292">
        <f t="shared" si="66"/>
        <v>-2.4196951510011659E-3</v>
      </c>
      <c r="P877" s="1292">
        <f t="shared" si="66"/>
        <v>-4.7989804594781166E-3</v>
      </c>
      <c r="Q877" s="1292">
        <f t="shared" si="66"/>
        <v>-1.3343838891118993E-2</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3.1987179301710906E-3</v>
      </c>
      <c r="K878" s="1292">
        <f t="shared" si="67"/>
        <v>4.9855653778916069E-3</v>
      </c>
      <c r="L878" s="1292">
        <f t="shared" si="67"/>
        <v>6.2618398079795695E-4</v>
      </c>
      <c r="M878" s="1292">
        <f t="shared" si="67"/>
        <v>-8.501092981611732E-4</v>
      </c>
      <c r="N878" s="1292">
        <f t="shared" si="67"/>
        <v>1.7613222638589473E-3</v>
      </c>
      <c r="O878" s="1292">
        <f t="shared" si="67"/>
        <v>2.1433468305124756E-3</v>
      </c>
      <c r="P878" s="1292">
        <f t="shared" si="67"/>
        <v>6.7057114619498755E-4</v>
      </c>
      <c r="Q878" s="1292">
        <f t="shared" si="67"/>
        <v>-5.1428827638591648E-3</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-6.7048145552679847E-4</v>
      </c>
      <c r="H879" s="1292">
        <f t="shared" ref="H879:Q879" si="68">H1089+H1141</f>
        <v>-6.8319870016034928E-4</v>
      </c>
      <c r="I879" s="1292">
        <f t="shared" si="68"/>
        <v>-9.0394200595985883E-4</v>
      </c>
      <c r="J879" s="1292">
        <f t="shared" si="68"/>
        <v>-8.5612438881985066E-4</v>
      </c>
      <c r="K879" s="1292">
        <f t="shared" si="68"/>
        <v>-8.696022091999123E-4</v>
      </c>
      <c r="L879" s="1292">
        <f t="shared" si="68"/>
        <v>-9.8746070697713754E-4</v>
      </c>
      <c r="M879" s="1292">
        <f t="shared" si="68"/>
        <v>-1.0331557058845104E-3</v>
      </c>
      <c r="N879" s="1292">
        <f t="shared" si="68"/>
        <v>-1.0361450378659836E-3</v>
      </c>
      <c r="O879" s="1292">
        <f t="shared" si="68"/>
        <v>-6.62801612449853E-3</v>
      </c>
      <c r="P879" s="1292">
        <f t="shared" si="68"/>
        <v>-9.4045461362090906E-3</v>
      </c>
      <c r="Q879" s="1292">
        <f t="shared" si="68"/>
        <v>-1.9776341619853175E-2</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0</v>
      </c>
      <c r="H880" s="1292">
        <f t="shared" ref="H880:Q880" si="69">H1090+H1142</f>
        <v>0</v>
      </c>
      <c r="I880" s="1292">
        <f t="shared" si="69"/>
        <v>0</v>
      </c>
      <c r="J880" s="1292">
        <f t="shared" si="69"/>
        <v>0</v>
      </c>
      <c r="K880" s="1292">
        <f t="shared" si="69"/>
        <v>0</v>
      </c>
      <c r="L880" s="1292">
        <f t="shared" si="69"/>
        <v>0</v>
      </c>
      <c r="M880" s="1292">
        <f t="shared" si="69"/>
        <v>0</v>
      </c>
      <c r="N880" s="1292">
        <f t="shared" si="69"/>
        <v>0</v>
      </c>
      <c r="O880" s="1292">
        <f t="shared" si="69"/>
        <v>0</v>
      </c>
      <c r="P880" s="1292">
        <f t="shared" si="69"/>
        <v>0</v>
      </c>
      <c r="Q880" s="1292">
        <f t="shared" si="69"/>
        <v>0</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0</v>
      </c>
      <c r="H881" s="1292">
        <f t="shared" ref="H881:Q881" si="70">H1091+H1143</f>
        <v>0</v>
      </c>
      <c r="I881" s="1292">
        <f t="shared" si="70"/>
        <v>0</v>
      </c>
      <c r="J881" s="1292">
        <f t="shared" si="70"/>
        <v>0</v>
      </c>
      <c r="K881" s="1292">
        <f t="shared" si="70"/>
        <v>0</v>
      </c>
      <c r="L881" s="1292">
        <f t="shared" si="70"/>
        <v>0</v>
      </c>
      <c r="M881" s="1292">
        <f t="shared" si="70"/>
        <v>0</v>
      </c>
      <c r="N881" s="1292">
        <f t="shared" si="70"/>
        <v>0</v>
      </c>
      <c r="O881" s="1292">
        <f t="shared" si="70"/>
        <v>0</v>
      </c>
      <c r="P881" s="1292">
        <f t="shared" si="70"/>
        <v>0</v>
      </c>
      <c r="Q881" s="1292">
        <f t="shared" si="70"/>
        <v>0</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0</v>
      </c>
      <c r="H882" s="1292">
        <f t="shared" ref="H882:Q882" si="71">H1092+H1144</f>
        <v>0</v>
      </c>
      <c r="I882" s="1292">
        <f t="shared" si="71"/>
        <v>0</v>
      </c>
      <c r="J882" s="1292">
        <f t="shared" si="71"/>
        <v>0</v>
      </c>
      <c r="K882" s="1292">
        <f t="shared" si="71"/>
        <v>0</v>
      </c>
      <c r="L882" s="1292">
        <f t="shared" si="71"/>
        <v>0</v>
      </c>
      <c r="M882" s="1292">
        <f t="shared" si="71"/>
        <v>0</v>
      </c>
      <c r="N882" s="1292">
        <f t="shared" si="71"/>
        <v>0</v>
      </c>
      <c r="O882" s="1292">
        <f t="shared" si="71"/>
        <v>0</v>
      </c>
      <c r="P882" s="1292">
        <f t="shared" si="71"/>
        <v>0</v>
      </c>
      <c r="Q882" s="1292">
        <f t="shared" si="71"/>
        <v>0</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0</v>
      </c>
      <c r="H883" s="1292">
        <f t="shared" ref="H883:Q883" si="72">H1093+H1145</f>
        <v>0</v>
      </c>
      <c r="I883" s="1292">
        <f t="shared" si="72"/>
        <v>0</v>
      </c>
      <c r="J883" s="1292">
        <f t="shared" si="72"/>
        <v>0</v>
      </c>
      <c r="K883" s="1292">
        <f t="shared" si="72"/>
        <v>0</v>
      </c>
      <c r="L883" s="1292">
        <f t="shared" si="72"/>
        <v>0</v>
      </c>
      <c r="M883" s="1292">
        <f t="shared" si="72"/>
        <v>0</v>
      </c>
      <c r="N883" s="1292">
        <f t="shared" si="72"/>
        <v>0</v>
      </c>
      <c r="O883" s="1292">
        <f t="shared" si="72"/>
        <v>0</v>
      </c>
      <c r="P883" s="1292">
        <f t="shared" si="72"/>
        <v>0</v>
      </c>
      <c r="Q883" s="1292">
        <f t="shared" si="72"/>
        <v>0</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0</v>
      </c>
      <c r="J884" s="1292">
        <f t="shared" si="73"/>
        <v>0</v>
      </c>
      <c r="K884" s="1292">
        <f t="shared" si="73"/>
        <v>0</v>
      </c>
      <c r="L884" s="1292">
        <f t="shared" si="73"/>
        <v>0</v>
      </c>
      <c r="M884" s="1292">
        <f t="shared" si="73"/>
        <v>0</v>
      </c>
      <c r="N884" s="1292">
        <f t="shared" si="73"/>
        <v>0</v>
      </c>
      <c r="O884" s="1292">
        <f t="shared" si="73"/>
        <v>0</v>
      </c>
      <c r="P884" s="1292">
        <f t="shared" si="73"/>
        <v>0</v>
      </c>
      <c r="Q884" s="1292">
        <f t="shared" si="73"/>
        <v>0</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-1.1199362905109801E-2</v>
      </c>
      <c r="H885" s="1292">
        <f t="shared" ref="H885:Q885" si="74">H1095+H1147</f>
        <v>-1.3654886225979618E-2</v>
      </c>
      <c r="I885" s="1292">
        <f t="shared" si="74"/>
        <v>-3.2373497345823107E-2</v>
      </c>
      <c r="J885" s="1292">
        <f t="shared" si="74"/>
        <v>-3.8497494334466371E-2</v>
      </c>
      <c r="K885" s="1292">
        <f t="shared" si="74"/>
        <v>-4.2473888599416178E-2</v>
      </c>
      <c r="L885" s="1292">
        <f t="shared" si="74"/>
        <v>-3.4234217643875249E-2</v>
      </c>
      <c r="M885" s="1292">
        <f t="shared" si="74"/>
        <v>-5.4600197442123778E-2</v>
      </c>
      <c r="N885" s="1292">
        <f t="shared" si="74"/>
        <v>-5.7528042513161272E-2</v>
      </c>
      <c r="O885" s="1292">
        <f t="shared" si="74"/>
        <v>-6.0896917897247625E-2</v>
      </c>
      <c r="P885" s="1292">
        <f t="shared" si="74"/>
        <v>-7.5423081984690873E-2</v>
      </c>
      <c r="Q885" s="1292">
        <f t="shared" si="74"/>
        <v>-0.10178914881473568</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-0.1708941901102545</v>
      </c>
      <c r="H887" s="1292">
        <f t="shared" ref="H887:Q887" si="76">H1097+H1149</f>
        <v>-0.16551112351411601</v>
      </c>
      <c r="I887" s="1292">
        <f t="shared" si="76"/>
        <v>-0.2365021814128207</v>
      </c>
      <c r="J887" s="1292">
        <f t="shared" si="76"/>
        <v>-0.21732406714716473</v>
      </c>
      <c r="K887" s="1292">
        <f t="shared" si="76"/>
        <v>-0.21733085712440192</v>
      </c>
      <c r="L887" s="1292">
        <f t="shared" si="76"/>
        <v>-0.25668664719540901</v>
      </c>
      <c r="M887" s="1292">
        <f t="shared" si="76"/>
        <v>-0.27152473906162794</v>
      </c>
      <c r="N887" s="1292">
        <f t="shared" si="76"/>
        <v>-0.26717060737093073</v>
      </c>
      <c r="O887" s="1292">
        <f t="shared" si="76"/>
        <v>-0.27671063612230556</v>
      </c>
      <c r="P887" s="1292">
        <f t="shared" si="76"/>
        <v>-0.29128763635671856</v>
      </c>
      <c r="Q887" s="1292">
        <f t="shared" si="76"/>
        <v>-0.30593659008595331</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-0.76129380513038125</v>
      </c>
      <c r="H1083" s="1297">
        <f t="shared" ref="H1083:Q1083" si="113">SUM(H1084:H1133)</f>
        <v>-0.78585312028132148</v>
      </c>
      <c r="I1083" s="1297">
        <f t="shared" si="113"/>
        <v>-0.83169347348671685</v>
      </c>
      <c r="J1083" s="1297">
        <f t="shared" si="113"/>
        <v>-0.8524972259395418</v>
      </c>
      <c r="K1083" s="1297">
        <f t="shared" si="113"/>
        <v>-0.88067989957683823</v>
      </c>
      <c r="L1083" s="1297">
        <f t="shared" si="113"/>
        <v>-0.89544971430362408</v>
      </c>
      <c r="M1083" s="1297">
        <f t="shared" si="113"/>
        <v>-0.93072161687311761</v>
      </c>
      <c r="N1083" s="1297">
        <f t="shared" si="113"/>
        <v>-0.94534601323022116</v>
      </c>
      <c r="O1083" s="1297">
        <f t="shared" si="113"/>
        <v>-0.97400401987578289</v>
      </c>
      <c r="P1083" s="1297">
        <f t="shared" si="113"/>
        <v>-1.0095879254073956</v>
      </c>
      <c r="Q1083" s="1297">
        <f t="shared" si="113"/>
        <v>-1.052343103643705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-0.4864267172018204</v>
      </c>
      <c r="H1084" s="1292">
        <f>H$128*H$7</f>
        <v>-0.504727003371785</v>
      </c>
      <c r="I1084" s="1292">
        <f t="shared" ref="I1084:Q1084" si="115">I$128*I$7</f>
        <v>-0.52291007961179115</v>
      </c>
      <c r="J1084" s="1292">
        <f t="shared" si="115"/>
        <v>-0.52906886349953519</v>
      </c>
      <c r="K1084" s="1292">
        <f t="shared" si="115"/>
        <v>-0.54613135934957768</v>
      </c>
      <c r="L1084" s="1292">
        <f t="shared" si="115"/>
        <v>-0.56260030111984716</v>
      </c>
      <c r="M1084" s="1292">
        <f t="shared" si="115"/>
        <v>-0.57283820922477768</v>
      </c>
      <c r="N1084" s="1292">
        <f t="shared" si="115"/>
        <v>-0.57869980950521727</v>
      </c>
      <c r="O1084" s="1292">
        <f t="shared" si="115"/>
        <v>-0.58989013731332918</v>
      </c>
      <c r="P1084" s="1292">
        <f t="shared" si="115"/>
        <v>-0.6021462106269756</v>
      </c>
      <c r="Q1084" s="1292">
        <f t="shared" si="115"/>
        <v>-0.61173792017678597</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v>
      </c>
      <c r="H1085" s="1292">
        <f t="shared" ref="H1085:Q1085" si="116">H$141*H$7</f>
        <v>0</v>
      </c>
      <c r="I1085" s="1292">
        <f t="shared" si="116"/>
        <v>0</v>
      </c>
      <c r="J1085" s="1292">
        <f t="shared" si="116"/>
        <v>0</v>
      </c>
      <c r="K1085" s="1292">
        <f t="shared" si="116"/>
        <v>0</v>
      </c>
      <c r="L1085" s="1292">
        <f t="shared" si="116"/>
        <v>0</v>
      </c>
      <c r="M1085" s="1292">
        <f t="shared" si="116"/>
        <v>0</v>
      </c>
      <c r="N1085" s="1292">
        <f t="shared" si="116"/>
        <v>0</v>
      </c>
      <c r="O1085" s="1292">
        <f t="shared" si="116"/>
        <v>0</v>
      </c>
      <c r="P1085" s="1292">
        <f t="shared" si="116"/>
        <v>0</v>
      </c>
      <c r="Q1085" s="1292">
        <f t="shared" si="116"/>
        <v>0</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0</v>
      </c>
      <c r="H1086" s="1292">
        <f t="shared" ref="H1086:Q1086" si="117">H$154*H$7</f>
        <v>0</v>
      </c>
      <c r="I1086" s="1292">
        <f t="shared" si="117"/>
        <v>0</v>
      </c>
      <c r="J1086" s="1292">
        <f t="shared" si="117"/>
        <v>0</v>
      </c>
      <c r="K1086" s="1292">
        <f t="shared" si="117"/>
        <v>0</v>
      </c>
      <c r="L1086" s="1292">
        <f t="shared" si="117"/>
        <v>0</v>
      </c>
      <c r="M1086" s="1292">
        <f t="shared" si="117"/>
        <v>0</v>
      </c>
      <c r="N1086" s="1292">
        <f t="shared" si="117"/>
        <v>0</v>
      </c>
      <c r="O1086" s="1292">
        <f t="shared" si="117"/>
        <v>0</v>
      </c>
      <c r="P1086" s="1292">
        <f t="shared" si="117"/>
        <v>0</v>
      </c>
      <c r="Q1086" s="1292">
        <f t="shared" si="117"/>
        <v>0</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-9.6629003065559858E-3</v>
      </c>
      <c r="H1087" s="1292">
        <f t="shared" ref="H1087:Q1087" si="118">H$167*H$7</f>
        <v>-9.8928658063073167E-3</v>
      </c>
      <c r="I1087" s="1292">
        <f t="shared" si="118"/>
        <v>-1.0249261901595553E-2</v>
      </c>
      <c r="J1087" s="1292">
        <f t="shared" si="118"/>
        <v>-1.0369976708064148E-2</v>
      </c>
      <c r="K1087" s="1292">
        <f t="shared" si="118"/>
        <v>-1.0617864597499945E-2</v>
      </c>
      <c r="L1087" s="1292">
        <f t="shared" si="118"/>
        <v>-1.0938053121354516E-2</v>
      </c>
      <c r="M1087" s="1292">
        <f t="shared" si="118"/>
        <v>-1.1103311714311713E-2</v>
      </c>
      <c r="N1087" s="1292">
        <f t="shared" si="118"/>
        <v>-1.1216926996969785E-2</v>
      </c>
      <c r="O1087" s="1292">
        <f t="shared" si="118"/>
        <v>-1.1433828900226106E-2</v>
      </c>
      <c r="P1087" s="1292">
        <f t="shared" si="118"/>
        <v>-1.1671388127602079E-2</v>
      </c>
      <c r="Q1087" s="1292">
        <f t="shared" si="118"/>
        <v>-1.1857304044678928E-2</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-3.5937044672267326E-3</v>
      </c>
      <c r="K1088" s="1292">
        <f t="shared" si="119"/>
        <v>-3.6796097532958974E-3</v>
      </c>
      <c r="L1088" s="1292">
        <f t="shared" si="119"/>
        <v>-3.7905707478019025E-3</v>
      </c>
      <c r="M1088" s="1292">
        <f t="shared" si="119"/>
        <v>-3.8478409385146787E-3</v>
      </c>
      <c r="N1088" s="1292">
        <f t="shared" si="119"/>
        <v>-3.887214194629712E-3</v>
      </c>
      <c r="O1088" s="1292">
        <f t="shared" si="119"/>
        <v>-3.9623813199402315E-3</v>
      </c>
      <c r="P1088" s="1292">
        <f t="shared" si="119"/>
        <v>-4.0447072190898485E-3</v>
      </c>
      <c r="Q1088" s="1292">
        <f t="shared" si="119"/>
        <v>-4.1091361836417218E-3</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-9.158063309793376E-4</v>
      </c>
      <c r="H1089" s="1292">
        <f t="shared" ref="H1089:Q1089" si="120">H$193*H$7</f>
        <v>-9.4844434213754237E-4</v>
      </c>
      <c r="I1089" s="1292">
        <f t="shared" si="120"/>
        <v>-9.8261258688625108E-4</v>
      </c>
      <c r="J1089" s="1292">
        <f t="shared" si="120"/>
        <v>-9.9418570204307176E-4</v>
      </c>
      <c r="K1089" s="1292">
        <f t="shared" si="120"/>
        <v>-1.0179510973110336E-3</v>
      </c>
      <c r="L1089" s="1292">
        <f t="shared" si="120"/>
        <v>-1.0486480661988178E-3</v>
      </c>
      <c r="M1089" s="1292">
        <f t="shared" si="120"/>
        <v>-1.0644916630441256E-3</v>
      </c>
      <c r="N1089" s="1292">
        <f t="shared" si="120"/>
        <v>-1.0753841358752748E-3</v>
      </c>
      <c r="O1089" s="1292">
        <f t="shared" si="120"/>
        <v>-9.0938717694454083E-3</v>
      </c>
      <c r="P1089" s="1292">
        <f t="shared" si="120"/>
        <v>-1.2114151400493618E-2</v>
      </c>
      <c r="Q1089" s="1292">
        <f t="shared" si="120"/>
        <v>-1.8878357273701012E-2</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0</v>
      </c>
      <c r="H1090" s="1292">
        <f t="shared" ref="H1090:Q1090" si="121">H$206*H$7</f>
        <v>0</v>
      </c>
      <c r="I1090" s="1292">
        <f t="shared" si="121"/>
        <v>0</v>
      </c>
      <c r="J1090" s="1292">
        <f t="shared" si="121"/>
        <v>0</v>
      </c>
      <c r="K1090" s="1292">
        <f t="shared" si="121"/>
        <v>0</v>
      </c>
      <c r="L1090" s="1292">
        <f t="shared" si="121"/>
        <v>0</v>
      </c>
      <c r="M1090" s="1292">
        <f t="shared" si="121"/>
        <v>0</v>
      </c>
      <c r="N1090" s="1292">
        <f t="shared" si="121"/>
        <v>0</v>
      </c>
      <c r="O1090" s="1292">
        <f t="shared" si="121"/>
        <v>0</v>
      </c>
      <c r="P1090" s="1292">
        <f t="shared" si="121"/>
        <v>0</v>
      </c>
      <c r="Q1090" s="1292">
        <f t="shared" si="121"/>
        <v>0</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0</v>
      </c>
      <c r="H1092" s="1292">
        <f t="shared" ref="H1092:Q1092" si="123">H$232*H$7</f>
        <v>0</v>
      </c>
      <c r="I1092" s="1292">
        <f t="shared" si="123"/>
        <v>0</v>
      </c>
      <c r="J1092" s="1292">
        <f t="shared" si="123"/>
        <v>0</v>
      </c>
      <c r="K1092" s="1292">
        <f t="shared" si="123"/>
        <v>0</v>
      </c>
      <c r="L1092" s="1292">
        <f t="shared" si="123"/>
        <v>0</v>
      </c>
      <c r="M1092" s="1292">
        <f t="shared" si="123"/>
        <v>0</v>
      </c>
      <c r="N1092" s="1292">
        <f t="shared" si="123"/>
        <v>0</v>
      </c>
      <c r="O1092" s="1292">
        <f t="shared" si="123"/>
        <v>0</v>
      </c>
      <c r="P1092" s="1292">
        <f t="shared" si="123"/>
        <v>0</v>
      </c>
      <c r="Q1092" s="1292">
        <f t="shared" si="123"/>
        <v>0</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0</v>
      </c>
      <c r="H1093" s="1292">
        <f t="shared" ref="H1093:Q1093" si="124">H$245*H$7</f>
        <v>0</v>
      </c>
      <c r="I1093" s="1292">
        <f t="shared" si="124"/>
        <v>0</v>
      </c>
      <c r="J1093" s="1292">
        <f t="shared" si="124"/>
        <v>0</v>
      </c>
      <c r="K1093" s="1292">
        <f t="shared" si="124"/>
        <v>0</v>
      </c>
      <c r="L1093" s="1292">
        <f t="shared" si="124"/>
        <v>0</v>
      </c>
      <c r="M1093" s="1292">
        <f t="shared" si="124"/>
        <v>0</v>
      </c>
      <c r="N1093" s="1292">
        <f t="shared" si="124"/>
        <v>0</v>
      </c>
      <c r="O1093" s="1292">
        <f t="shared" si="124"/>
        <v>0</v>
      </c>
      <c r="P1093" s="1292">
        <f t="shared" si="124"/>
        <v>0</v>
      </c>
      <c r="Q1093" s="1292">
        <f t="shared" si="124"/>
        <v>0</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v>
      </c>
      <c r="J1094" s="1292">
        <f t="shared" si="125"/>
        <v>0</v>
      </c>
      <c r="K1094" s="1292">
        <f t="shared" si="125"/>
        <v>0</v>
      </c>
      <c r="L1094" s="1292">
        <f t="shared" si="125"/>
        <v>0</v>
      </c>
      <c r="M1094" s="1292">
        <f t="shared" si="125"/>
        <v>0</v>
      </c>
      <c r="N1094" s="1292">
        <f t="shared" si="125"/>
        <v>0</v>
      </c>
      <c r="O1094" s="1292">
        <f t="shared" si="125"/>
        <v>0</v>
      </c>
      <c r="P1094" s="1292">
        <f t="shared" si="125"/>
        <v>0</v>
      </c>
      <c r="Q1094" s="1292">
        <f t="shared" si="125"/>
        <v>0</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-1.276606203765439E-2</v>
      </c>
      <c r="H1095" s="1292">
        <f t="shared" ref="H1095:Q1095" si="126">H$271*H$7</f>
        <v>-1.5816407354599844E-2</v>
      </c>
      <c r="I1095" s="1292">
        <f t="shared" si="126"/>
        <v>-3.3915751727074533E-2</v>
      </c>
      <c r="J1095" s="1292">
        <f t="shared" si="126"/>
        <v>-4.1729651559586661E-2</v>
      </c>
      <c r="K1095" s="1292">
        <f t="shared" si="126"/>
        <v>-4.6115995620615559E-2</v>
      </c>
      <c r="L1095" s="1292">
        <f t="shared" si="126"/>
        <v>-3.5719000014090868E-2</v>
      </c>
      <c r="M1095" s="1292">
        <f t="shared" si="126"/>
        <v>-5.6263771994503803E-2</v>
      </c>
      <c r="N1095" s="1292">
        <f t="shared" si="126"/>
        <v>-6.194022761331465E-2</v>
      </c>
      <c r="O1095" s="1292">
        <f t="shared" si="126"/>
        <v>-6.5518109027606755E-2</v>
      </c>
      <c r="P1095" s="1292">
        <f t="shared" si="126"/>
        <v>-7.939517946402419E-2</v>
      </c>
      <c r="Q1095" s="1292">
        <f t="shared" si="126"/>
        <v>-0.10076189102909795</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-0.25152231925337126</v>
      </c>
      <c r="H1097" s="1292">
        <f t="shared" ref="H1097:Q1097" si="128">H$297*H$7</f>
        <v>-0.25446839940649163</v>
      </c>
      <c r="I1097" s="1292">
        <f t="shared" si="128"/>
        <v>-0.26363576765936936</v>
      </c>
      <c r="J1097" s="1292">
        <f t="shared" si="128"/>
        <v>-0.26674084400308601</v>
      </c>
      <c r="K1097" s="1292">
        <f t="shared" si="128"/>
        <v>-0.2731171191585382</v>
      </c>
      <c r="L1097" s="1292">
        <f t="shared" si="128"/>
        <v>-0.28135314123433075</v>
      </c>
      <c r="M1097" s="1292">
        <f t="shared" si="128"/>
        <v>-0.2856039913379656</v>
      </c>
      <c r="N1097" s="1292">
        <f t="shared" si="128"/>
        <v>-0.28852645078421452</v>
      </c>
      <c r="O1097" s="1292">
        <f t="shared" si="128"/>
        <v>-0.29410569154523519</v>
      </c>
      <c r="P1097" s="1292">
        <f t="shared" si="128"/>
        <v>-0.30021628856921029</v>
      </c>
      <c r="Q1097" s="1292">
        <f t="shared" si="128"/>
        <v>-0.3049984949357995</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1.1179741549160913</v>
      </c>
      <c r="H1135" s="80">
        <f t="shared" ref="H1135:P1135" si="165">SUM(H1136:H1185)</f>
        <v>1.344187590572798</v>
      </c>
      <c r="I1135" s="80">
        <f t="shared" si="165"/>
        <v>0.44703005419280267</v>
      </c>
      <c r="J1135" s="80">
        <f t="shared" si="165"/>
        <v>0.90576351952358036</v>
      </c>
      <c r="K1135" s="80">
        <f t="shared" si="165"/>
        <v>1.1553658949025745</v>
      </c>
      <c r="L1135" s="80">
        <f t="shared" si="165"/>
        <v>0.58331378007040535</v>
      </c>
      <c r="M1135" s="80">
        <f>SUM(M1136:M1185)</f>
        <v>0.39427517132353224</v>
      </c>
      <c r="N1135" s="80">
        <f t="shared" si="165"/>
        <v>0.73703400945943565</v>
      </c>
      <c r="O1135" s="80">
        <f t="shared" si="165"/>
        <v>0.79110733409934764</v>
      </c>
      <c r="P1135" s="80">
        <f t="shared" si="165"/>
        <v>0.6059361983185475</v>
      </c>
      <c r="Q1135" s="80">
        <f>SUM(Q1136:Q1185)</f>
        <v>-0.13189402769474748</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1.0221133624435481</v>
      </c>
      <c r="H1136" s="1292">
        <f>H770*H$6</f>
        <v>1.2368363723494937</v>
      </c>
      <c r="I1136" s="1292">
        <f t="shared" si="166"/>
        <v>0.41298382330877664</v>
      </c>
      <c r="J1136" s="1292">
        <f t="shared" si="166"/>
        <v>0.83556255614932595</v>
      </c>
      <c r="K1136" s="1292">
        <f>IF(COUNT($H1136:J1136)&gt;='RFM input'!$AA$7,0,K770*K$6)</f>
        <v>1.0737172187558246</v>
      </c>
      <c r="L1136" s="1292">
        <f>IF(COUNT($H1136:K1136)&gt;='RFM input'!$AA$7,0,L770*L$6)</f>
        <v>0.54592535259560482</v>
      </c>
      <c r="M1136" s="1292">
        <f>IF(COUNT($H1136:L1136)&gt;='RFM input'!$AA$7,0,M770*M$6)</f>
        <v>0.37096824498953285</v>
      </c>
      <c r="N1136" s="1292">
        <f>IF(COUNT($H1136:M1136)&gt;='RFM input'!$AA$7,0,N770*N$6)</f>
        <v>0.69713512212459472</v>
      </c>
      <c r="O1136" s="1292">
        <f>IF(COUNT($H1136:N1136)&gt;='RFM input'!$AA$7,0,O770*O$6)</f>
        <v>0.75150537000143436</v>
      </c>
      <c r="P1136" s="1292">
        <f>IF(COUNT($H1136:O1136)&gt;='RFM input'!$AA$7,0,P770*P$6)</f>
        <v>0.57873815732902911</v>
      </c>
      <c r="Q1136" s="1292">
        <f>IF(COUNT($H1136:P1136)&gt;='RFM input'!$AA$7,0,Q770*Q$6)</f>
        <v>-0.12651040898614627</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v>
      </c>
      <c r="H1137" s="1292">
        <f t="shared" si="166"/>
        <v>0</v>
      </c>
      <c r="I1137" s="1292">
        <f t="shared" si="166"/>
        <v>0</v>
      </c>
      <c r="J1137" s="1292">
        <f t="shared" si="166"/>
        <v>0</v>
      </c>
      <c r="K1137" s="1292">
        <f>IF(COUNT($H1137:J1137)&gt;='RFM input'!$AA$7,0,K771*K$6)</f>
        <v>0</v>
      </c>
      <c r="L1137" s="1292">
        <f>IF(COUNT($H1137:K1137)&gt;='RFM input'!$AA$7,0,L771*L$6)</f>
        <v>0</v>
      </c>
      <c r="M1137" s="1292">
        <f>IF(COUNT($H1137:L1137)&gt;='RFM input'!$AA$7,0,M771*M$6)</f>
        <v>0</v>
      </c>
      <c r="N1137" s="1292">
        <f>IF(COUNT($H1137:M1137)&gt;='RFM input'!$AA$7,0,N771*N$6)</f>
        <v>0</v>
      </c>
      <c r="O1137" s="1292">
        <f>IF(COUNT($H1137:N1137)&gt;='RFM input'!$AA$7,0,O771*O$6)</f>
        <v>0</v>
      </c>
      <c r="P1137" s="1292">
        <f>IF(COUNT($H1137:O1137)&gt;='RFM input'!$AA$7,0,P771*P$6)</f>
        <v>0</v>
      </c>
      <c r="Q1137" s="1292">
        <f>IF(COUNT($H1137:P1137)&gt;='RFM input'!$AA$7,0,Q771*Q$6)</f>
        <v>0</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0</v>
      </c>
      <c r="H1138" s="1292">
        <f t="shared" si="166"/>
        <v>0</v>
      </c>
      <c r="I1138" s="1292">
        <f t="shared" si="166"/>
        <v>0</v>
      </c>
      <c r="J1138" s="1292">
        <f t="shared" si="166"/>
        <v>0</v>
      </c>
      <c r="K1138" s="1292">
        <f>IF(COUNT($H1138:J1138)&gt;='RFM input'!$AA$7,0,K772*K$6)</f>
        <v>0</v>
      </c>
      <c r="L1138" s="1292">
        <f>IF(COUNT($H1138:K1138)&gt;='RFM input'!$AA$7,0,L772*L$6)</f>
        <v>0</v>
      </c>
      <c r="M1138" s="1292">
        <f>IF(COUNT($H1138:L1138)&gt;='RFM input'!$AA$7,0,M772*M$6)</f>
        <v>0</v>
      </c>
      <c r="N1138" s="1292">
        <f>IF(COUNT($H1138:M1138)&gt;='RFM input'!$AA$7,0,N772*N$6)</f>
        <v>0</v>
      </c>
      <c r="O1138" s="1292">
        <f>IF(COUNT($H1138:N1138)&gt;='RFM input'!$AA$7,0,O772*O$6)</f>
        <v>0</v>
      </c>
      <c r="P1138" s="1292">
        <f>IF(COUNT($H1138:O1138)&gt;='RFM input'!$AA$7,0,P772*P$6)</f>
        <v>0</v>
      </c>
      <c r="Q1138" s="1292">
        <f>IF(COUNT($H1138:P1138)&gt;='RFM input'!$AA$7,0,Q772*Q$6)</f>
        <v>0</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1.3420639321429348E-2</v>
      </c>
      <c r="H1139" s="1292">
        <f t="shared" si="166"/>
        <v>1.5967175560331167E-2</v>
      </c>
      <c r="I1139" s="1292">
        <f t="shared" si="166"/>
        <v>5.291719675299583E-3</v>
      </c>
      <c r="J1139" s="1292">
        <f t="shared" si="166"/>
        <v>1.0621545582591813E-2</v>
      </c>
      <c r="K1139" s="1292">
        <f>IF(COUNT($H1139:J1139)&gt;='RFM input'!$AA$7,0,K773*K$6)</f>
        <v>1.3406783072115666E-2</v>
      </c>
      <c r="L1139" s="1292">
        <f>IF(COUNT($H1139:K1139)&gt;='RFM input'!$AA$7,0,L773*L$6)</f>
        <v>6.7592089778417104E-3</v>
      </c>
      <c r="M1139" s="1292">
        <f>IF(COUNT($H1139:L1139)&gt;='RFM input'!$AA$7,0,M773*M$6)</f>
        <v>4.5350319077686026E-3</v>
      </c>
      <c r="N1139" s="1292">
        <f>IF(COUNT($H1139:M1139)&gt;='RFM input'!$AA$7,0,N773*N$6)</f>
        <v>8.4430832649058513E-3</v>
      </c>
      <c r="O1139" s="1292">
        <f>IF(COUNT($H1139:N1139)&gt;='RFM input'!$AA$7,0,O773*O$6)</f>
        <v>9.0141337492249396E-3</v>
      </c>
      <c r="P1139" s="1292">
        <f>IF(COUNT($H1139:O1139)&gt;='RFM input'!$AA$7,0,P773*P$6)</f>
        <v>6.8724076681239629E-3</v>
      </c>
      <c r="Q1139" s="1292">
        <f>IF(COUNT($H1139:P1139)&gt;='RFM input'!$AA$7,0,Q773*Q$6)</f>
        <v>-1.4865348464400648E-3</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6.7924223973978232E-3</v>
      </c>
      <c r="K1140" s="1292">
        <f>IF(COUNT($H1140:J1140)&gt;='RFM input'!$AA$7,0,K774*K$6)</f>
        <v>8.6651751311875042E-3</v>
      </c>
      <c r="L1140" s="1292">
        <f>IF(COUNT($H1140:K1140)&gt;='RFM input'!$AA$7,0,L774*L$6)</f>
        <v>4.4167547285998594E-3</v>
      </c>
      <c r="M1140" s="1292">
        <f>IF(COUNT($H1140:L1140)&gt;='RFM input'!$AA$7,0,M774*M$6)</f>
        <v>2.9977316403535055E-3</v>
      </c>
      <c r="N1140" s="1292">
        <f>IF(COUNT($H1140:M1140)&gt;='RFM input'!$AA$7,0,N774*N$6)</f>
        <v>5.6485364584886594E-3</v>
      </c>
      <c r="O1140" s="1292">
        <f>IF(COUNT($H1140:N1140)&gt;='RFM input'!$AA$7,0,O774*O$6)</f>
        <v>6.1057281504527071E-3</v>
      </c>
      <c r="P1140" s="1292">
        <f>IF(COUNT($H1140:O1140)&gt;='RFM input'!$AA$7,0,P774*P$6)</f>
        <v>4.7152783652848361E-3</v>
      </c>
      <c r="Q1140" s="1292">
        <f>IF(COUNT($H1140:P1140)&gt;='RFM input'!$AA$7,0,Q774*Q$6)</f>
        <v>-1.0337465802174426E-3</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2.4532487545253913E-4</v>
      </c>
      <c r="H1141" s="1292">
        <f t="shared" si="166"/>
        <v>2.6524564197719303E-4</v>
      </c>
      <c r="I1141" s="1292">
        <f t="shared" si="166"/>
        <v>7.8670580926392213E-5</v>
      </c>
      <c r="J1141" s="1292">
        <f t="shared" si="166"/>
        <v>1.3806131322322116E-4</v>
      </c>
      <c r="K1141" s="1292">
        <f>IF(COUNT($H1141:J1141)&gt;='RFM input'!$AA$7,0,K775*K$6)</f>
        <v>1.4834888811112129E-4</v>
      </c>
      <c r="L1141" s="1292">
        <f>IF(COUNT($H1141:K1141)&gt;='RFM input'!$AA$7,0,L775*L$6)</f>
        <v>6.1187359221680324E-5</v>
      </c>
      <c r="M1141" s="1292">
        <f>IF(COUNT($H1141:L1141)&gt;='RFM input'!$AA$7,0,M775*M$6)</f>
        <v>3.1335957159615121E-5</v>
      </c>
      <c r="N1141" s="1292">
        <f>IF(COUNT($H1141:M1141)&gt;='RFM input'!$AA$7,0,N775*N$6)</f>
        <v>3.9239098009291243E-5</v>
      </c>
      <c r="O1141" s="1292">
        <f>IF(COUNT($H1141:N1141)&gt;='RFM input'!$AA$7,0,O775*O$6)</f>
        <v>2.4658556449468779E-3</v>
      </c>
      <c r="P1141" s="1292">
        <f>IF(COUNT($H1141:O1141)&gt;='RFM input'!$AA$7,0,P775*P$6)</f>
        <v>2.7096052642845273E-3</v>
      </c>
      <c r="Q1141" s="1292">
        <f>IF(COUNT($H1141:P1141)&gt;='RFM input'!$AA$7,0,Q775*Q$6)</f>
        <v>-8.9798434615216487E-4</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v>
      </c>
      <c r="H1142" s="1292">
        <f t="shared" si="166"/>
        <v>0</v>
      </c>
      <c r="I1142" s="1292">
        <f t="shared" si="166"/>
        <v>0</v>
      </c>
      <c r="J1142" s="1292">
        <f t="shared" si="166"/>
        <v>0</v>
      </c>
      <c r="K1142" s="1292">
        <f>IF(COUNT($H1142:J1142)&gt;='RFM input'!$AA$7,0,K776*K$6)</f>
        <v>0</v>
      </c>
      <c r="L1142" s="1292">
        <f>IF(COUNT($H1142:K1142)&gt;='RFM input'!$AA$7,0,L776*L$6)</f>
        <v>0</v>
      </c>
      <c r="M1142" s="1292">
        <f>IF(COUNT($H1142:L1142)&gt;='RFM input'!$AA$7,0,M776*M$6)</f>
        <v>0</v>
      </c>
      <c r="N1142" s="1292">
        <f>IF(COUNT($H1142:M1142)&gt;='RFM input'!$AA$7,0,N776*N$6)</f>
        <v>0</v>
      </c>
      <c r="O1142" s="1292">
        <f>IF(COUNT($H1142:N1142)&gt;='RFM input'!$AA$7,0,O776*O$6)</f>
        <v>0</v>
      </c>
      <c r="P1142" s="1292">
        <f>IF(COUNT($H1142:O1142)&gt;='RFM input'!$AA$7,0,P776*P$6)</f>
        <v>0</v>
      </c>
      <c r="Q1142" s="1292">
        <f>IF(COUNT($H1142:P1142)&gt;='RFM input'!$AA$7,0,Q776*Q$6)</f>
        <v>0</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0</v>
      </c>
      <c r="H1143" s="1292">
        <f t="shared" si="166"/>
        <v>0</v>
      </c>
      <c r="I1143" s="1292">
        <f t="shared" si="166"/>
        <v>0</v>
      </c>
      <c r="J1143" s="1292">
        <f t="shared" si="166"/>
        <v>0</v>
      </c>
      <c r="K1143" s="1292">
        <f>IF(COUNT($H1143:J1143)&gt;='RFM input'!$AA$7,0,K777*K$6)</f>
        <v>0</v>
      </c>
      <c r="L1143" s="1292">
        <f>IF(COUNT($H1143:K1143)&gt;='RFM input'!$AA$7,0,L777*L$6)</f>
        <v>0</v>
      </c>
      <c r="M1143" s="1292">
        <f>IF(COUNT($H1143:L1143)&gt;='RFM input'!$AA$7,0,M777*M$6)</f>
        <v>0</v>
      </c>
      <c r="N1143" s="1292">
        <f>IF(COUNT($H1143:M1143)&gt;='RFM input'!$AA$7,0,N777*N$6)</f>
        <v>0</v>
      </c>
      <c r="O1143" s="1292">
        <f>IF(COUNT($H1143:N1143)&gt;='RFM input'!$AA$7,0,O777*O$6)</f>
        <v>0</v>
      </c>
      <c r="P1143" s="1292">
        <f>IF(COUNT($H1143:O1143)&gt;='RFM input'!$AA$7,0,P777*P$6)</f>
        <v>0</v>
      </c>
      <c r="Q1143" s="1292">
        <f>IF(COUNT($H1143:P1143)&gt;='RFM input'!$AA$7,0,Q777*Q$6)</f>
        <v>0</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0</v>
      </c>
      <c r="H1144" s="1292">
        <f t="shared" si="166"/>
        <v>0</v>
      </c>
      <c r="I1144" s="1292">
        <f t="shared" si="166"/>
        <v>0</v>
      </c>
      <c r="J1144" s="1292">
        <f t="shared" si="166"/>
        <v>0</v>
      </c>
      <c r="K1144" s="1292">
        <f>IF(COUNT($H1144:J1144)&gt;='RFM input'!$AA$7,0,K778*K$6)</f>
        <v>0</v>
      </c>
      <c r="L1144" s="1292">
        <f>IF(COUNT($H1144:K1144)&gt;='RFM input'!$AA$7,0,L778*L$6)</f>
        <v>0</v>
      </c>
      <c r="M1144" s="1292">
        <f>IF(COUNT($H1144:L1144)&gt;='RFM input'!$AA$7,0,M778*M$6)</f>
        <v>0</v>
      </c>
      <c r="N1144" s="1292">
        <f>IF(COUNT($H1144:M1144)&gt;='RFM input'!$AA$7,0,N778*N$6)</f>
        <v>0</v>
      </c>
      <c r="O1144" s="1292">
        <f>IF(COUNT($H1144:N1144)&gt;='RFM input'!$AA$7,0,O778*O$6)</f>
        <v>0</v>
      </c>
      <c r="P1144" s="1292">
        <f>IF(COUNT($H1144:O1144)&gt;='RFM input'!$AA$7,0,P778*P$6)</f>
        <v>0</v>
      </c>
      <c r="Q1144" s="1292">
        <f>IF(COUNT($H1144:P1144)&gt;='RFM input'!$AA$7,0,Q778*Q$6)</f>
        <v>0</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0</v>
      </c>
      <c r="H1145" s="1292">
        <f t="shared" si="166"/>
        <v>0</v>
      </c>
      <c r="I1145" s="1292">
        <f t="shared" si="166"/>
        <v>0</v>
      </c>
      <c r="J1145" s="1292">
        <f t="shared" si="166"/>
        <v>0</v>
      </c>
      <c r="K1145" s="1292">
        <f>IF(COUNT($H1145:J1145)&gt;='RFM input'!$AA$7,0,K779*K$6)</f>
        <v>0</v>
      </c>
      <c r="L1145" s="1292">
        <f>IF(COUNT($H1145:K1145)&gt;='RFM input'!$AA$7,0,L779*L$6)</f>
        <v>0</v>
      </c>
      <c r="M1145" s="1292">
        <f>IF(COUNT($H1145:L1145)&gt;='RFM input'!$AA$7,0,M779*M$6)</f>
        <v>0</v>
      </c>
      <c r="N1145" s="1292">
        <f>IF(COUNT($H1145:M1145)&gt;='RFM input'!$AA$7,0,N779*N$6)</f>
        <v>0</v>
      </c>
      <c r="O1145" s="1292">
        <f>IF(COUNT($H1145:N1145)&gt;='RFM input'!$AA$7,0,O779*O$6)</f>
        <v>0</v>
      </c>
      <c r="P1145" s="1292">
        <f>IF(COUNT($H1145:O1145)&gt;='RFM input'!$AA$7,0,P779*P$6)</f>
        <v>0</v>
      </c>
      <c r="Q1145" s="1292">
        <f>IF(COUNT($H1145:P1145)&gt;='RFM input'!$AA$7,0,Q779*Q$6)</f>
        <v>0</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v>
      </c>
      <c r="J1146" s="1292">
        <f t="shared" si="167"/>
        <v>0</v>
      </c>
      <c r="K1146" s="1292">
        <f>IF(COUNT($H1146:J1146)&gt;='RFM input'!$AA$7,0,K780*K$6)</f>
        <v>0</v>
      </c>
      <c r="L1146" s="1292">
        <f>IF(COUNT($H1146:K1146)&gt;='RFM input'!$AA$7,0,L780*L$6)</f>
        <v>0</v>
      </c>
      <c r="M1146" s="1292">
        <f>IF(COUNT($H1146:L1146)&gt;='RFM input'!$AA$7,0,M780*M$6)</f>
        <v>0</v>
      </c>
      <c r="N1146" s="1292">
        <f>IF(COUNT($H1146:M1146)&gt;='RFM input'!$AA$7,0,N780*N$6)</f>
        <v>0</v>
      </c>
      <c r="O1146" s="1292">
        <f>IF(COUNT($H1146:N1146)&gt;='RFM input'!$AA$7,0,O780*O$6)</f>
        <v>0</v>
      </c>
      <c r="P1146" s="1292">
        <f>IF(COUNT($H1146:O1146)&gt;='RFM input'!$AA$7,0,P780*P$6)</f>
        <v>0</v>
      </c>
      <c r="Q1146" s="1292">
        <f>IF(COUNT($H1146:P1146)&gt;='RFM input'!$AA$7,0,Q780*Q$6)</f>
        <v>0</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1.5666991325445901E-3</v>
      </c>
      <c r="H1147" s="1292">
        <f t="shared" si="167"/>
        <v>2.161521128620226E-3</v>
      </c>
      <c r="I1147" s="1292">
        <f t="shared" si="167"/>
        <v>1.5422543812514233E-3</v>
      </c>
      <c r="J1147" s="1292">
        <f t="shared" si="167"/>
        <v>3.2321572251202868E-3</v>
      </c>
      <c r="K1147" s="1292">
        <f>IF(COUNT($H1147:J1147)&gt;='RFM input'!$AA$7,0,K781*K$6)</f>
        <v>3.6421070211993794E-3</v>
      </c>
      <c r="L1147" s="1292">
        <f>IF(COUNT($H1147:K1147)&gt;='RFM input'!$AA$7,0,L781*L$6)</f>
        <v>1.4847823702156203E-3</v>
      </c>
      <c r="M1147" s="1292">
        <f>IF(COUNT($H1147:L1147)&gt;='RFM input'!$AA$7,0,M781*M$6)</f>
        <v>1.6635745523800266E-3</v>
      </c>
      <c r="N1147" s="1292">
        <f>IF(COUNT($H1147:M1147)&gt;='RFM input'!$AA$7,0,N781*N$6)</f>
        <v>4.4121851001533777E-3</v>
      </c>
      <c r="O1147" s="1292">
        <f>IF(COUNT($H1147:N1147)&gt;='RFM input'!$AA$7,0,O781*O$6)</f>
        <v>4.6211911303591282E-3</v>
      </c>
      <c r="P1147" s="1292">
        <f>IF(COUNT($H1147:O1147)&gt;='RFM input'!$AA$7,0,P781*P$6)</f>
        <v>3.9720974793333213E-3</v>
      </c>
      <c r="Q1147" s="1292">
        <f>IF(COUNT($H1147:P1147)&gt;='RFM input'!$AA$7,0,Q781*Q$6)</f>
        <v>-1.0272577856377213E-3</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8.0628129143116761E-2</v>
      </c>
      <c r="H1149" s="1292">
        <f t="shared" si="167"/>
        <v>8.895727589237562E-2</v>
      </c>
      <c r="I1149" s="1292">
        <f t="shared" si="167"/>
        <v>2.7133586246548651E-2</v>
      </c>
      <c r="J1149" s="1292">
        <f t="shared" si="167"/>
        <v>4.9416776855921281E-2</v>
      </c>
      <c r="K1149" s="1292">
        <f>IF(COUNT($H1149:J1149)&gt;='RFM input'!$AA$7,0,K783*K$6)</f>
        <v>5.5786262034136266E-2</v>
      </c>
      <c r="L1149" s="1292">
        <f>IF(COUNT($H1149:K1149)&gt;='RFM input'!$AA$7,0,L783*L$6)</f>
        <v>2.4666494038921714E-2</v>
      </c>
      <c r="M1149" s="1292">
        <f>IF(COUNT($H1149:L1149)&gt;='RFM input'!$AA$7,0,M783*M$6)</f>
        <v>1.4079252276337662E-2</v>
      </c>
      <c r="N1149" s="1292">
        <f>IF(COUNT($H1149:M1149)&gt;='RFM input'!$AA$7,0,N783*N$6)</f>
        <v>2.1355843413283806E-2</v>
      </c>
      <c r="O1149" s="1292">
        <f>IF(COUNT($H1149:N1149)&gt;='RFM input'!$AA$7,0,O783*O$6)</f>
        <v>1.7395055422929611E-2</v>
      </c>
      <c r="P1149" s="1292">
        <f>IF(COUNT($H1149:O1149)&gt;='RFM input'!$AA$7,0,P783*P$6)</f>
        <v>8.9286522124917538E-3</v>
      </c>
      <c r="Q1149" s="1292">
        <f>IF(COUNT($H1149:P1149)&gt;='RFM input'!$AA$7,0,Q783*Q$6)</f>
        <v>-9.3809515015382569E-4</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36.608173308036676</v>
      </c>
      <c r="H1189" s="1319">
        <f>SUM(H1190:H1239)</f>
        <v>37.312045860899651</v>
      </c>
      <c r="I1189" s="1319">
        <f t="shared" ref="I1189:R1189" si="170">SUM(I1190:I1239)</f>
        <v>37.954980315512621</v>
      </c>
      <c r="J1189" s="1319">
        <f t="shared" si="170"/>
        <v>37.891107233403147</v>
      </c>
      <c r="K1189" s="1319">
        <f t="shared" si="170"/>
        <v>38.313423869672327</v>
      </c>
      <c r="L1189" s="1319">
        <f t="shared" si="170"/>
        <v>38.608080818410215</v>
      </c>
      <c r="M1189" s="1319">
        <f t="shared" si="170"/>
        <v>38.531437197527218</v>
      </c>
      <c r="N1189" s="1319">
        <f t="shared" si="170"/>
        <v>38.115187346330806</v>
      </c>
      <c r="O1189" s="1319">
        <f t="shared" si="170"/>
        <v>38.07633994991194</v>
      </c>
      <c r="P1189" s="1319">
        <f t="shared" si="170"/>
        <v>38.039328005553102</v>
      </c>
      <c r="Q1189" s="1319">
        <f t="shared" si="170"/>
        <v>37.853585948392841</v>
      </c>
      <c r="R1189" s="1319">
        <f t="shared" si="170"/>
        <v>36.881616612061322</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33.469202260406348</v>
      </c>
      <c r="H1190" s="1267">
        <f t="shared" ref="H1190:H1219" si="171">G1190+G1242+G1294+G1346+G1398+G1450</f>
        <v>34.332183819572137</v>
      </c>
      <c r="I1190" s="1292">
        <f t="shared" ref="I1190:J1199" si="172">H1190+H1242+H1294</f>
        <v>35.064293188549847</v>
      </c>
      <c r="J1190" s="1292">
        <f t="shared" si="172"/>
        <v>34.954366932246835</v>
      </c>
      <c r="K1190" s="1292">
        <f>IF(COUNT($H1190:J1190)&gt;'RFM input'!$AA$7,0, J1190+J1242+J1294)</f>
        <v>35.605848415515595</v>
      </c>
      <c r="L1190" s="1292">
        <f>IF(COUNT($H1190:K1190)&gt;'RFM input'!$AA$7,0, K1190+K1242+K1294)</f>
        <v>36.133434274921839</v>
      </c>
      <c r="M1190" s="1292">
        <f>IF(COUNT($H1190:L1190)&gt;'RFM input'!$AA$7,0, L1190+L1242+L1294)</f>
        <v>36.253714851249988</v>
      </c>
      <c r="N1190" s="1292">
        <f>IF(COUNT($H1190:M1190)&gt;'RFM input'!$AA$7,0, M1190+M1242+M1294)</f>
        <v>36.051844887014745</v>
      </c>
      <c r="O1190" s="1292">
        <f>IF(COUNT($H1190:N1190)&gt;'RFM input'!$AA$7,0, N1190+N1242+N1294)</f>
        <v>36.170280199634121</v>
      </c>
      <c r="P1190" s="1292">
        <f>IF(COUNT($H1190:O1190)&gt;'RFM input'!$AA$7,0, O1190+O1242+O1294)</f>
        <v>36.331895432322227</v>
      </c>
      <c r="Q1190" s="1292">
        <f>IF(COUNT($H1190:P1190)&gt;'RFM input'!$AA$7,0, P1190+P1242+P1294)</f>
        <v>36.308487379024278</v>
      </c>
      <c r="R1190" s="1292">
        <f>IF(COUNT($H1190:Q1190)&gt;'RFM input'!$AA$7,0, Q1190+Q1242+Q1294)</f>
        <v>35.570239049861343</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0</v>
      </c>
      <c r="H1191" s="1267">
        <f t="shared" si="171"/>
        <v>0</v>
      </c>
      <c r="I1191" s="1292">
        <f t="shared" si="172"/>
        <v>0</v>
      </c>
      <c r="J1191" s="1292">
        <f t="shared" si="172"/>
        <v>0</v>
      </c>
      <c r="K1191" s="1292">
        <f>IF(COUNT($H1191:J1191)&gt;'RFM input'!$AA$7,0, J1191+J1243+J1295)</f>
        <v>0</v>
      </c>
      <c r="L1191" s="1292">
        <f>IF(COUNT($H1191:K1191)&gt;'RFM input'!$AA$7,0, K1191+K1243+K1295)</f>
        <v>0</v>
      </c>
      <c r="M1191" s="1292">
        <f>IF(COUNT($H1191:L1191)&gt;'RFM input'!$AA$7,0, L1191+L1243+L1295)</f>
        <v>0</v>
      </c>
      <c r="N1191" s="1292">
        <f>IF(COUNT($H1191:M1191)&gt;'RFM input'!$AA$7,0, M1191+M1243+M1295)</f>
        <v>0</v>
      </c>
      <c r="O1191" s="1292">
        <f>IF(COUNT($H1191:N1191)&gt;'RFM input'!$AA$7,0, N1191+N1243+N1295)</f>
        <v>0</v>
      </c>
      <c r="P1191" s="1292">
        <f>IF(COUNT($H1191:O1191)&gt;'RFM input'!$AA$7,0, O1191+O1243+O1295)</f>
        <v>0</v>
      </c>
      <c r="Q1191" s="1292">
        <f>IF(COUNT($H1191:P1191)&gt;'RFM input'!$AA$7,0, P1191+P1243+P1295)</f>
        <v>0</v>
      </c>
      <c r="R1191" s="1292">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0</v>
      </c>
      <c r="H1192" s="1267">
        <f t="shared" si="171"/>
        <v>0</v>
      </c>
      <c r="I1192" s="1292">
        <f t="shared" si="172"/>
        <v>0</v>
      </c>
      <c r="J1192" s="1292">
        <f t="shared" si="172"/>
        <v>0</v>
      </c>
      <c r="K1192" s="1292">
        <f>IF(COUNT($H1192:J1192)&gt;'RFM input'!$AA$7,0, J1192+J1244+J1296)</f>
        <v>0</v>
      </c>
      <c r="L1192" s="1292">
        <f>IF(COUNT($H1192:K1192)&gt;'RFM input'!$AA$7,0, K1192+K1244+K1296)</f>
        <v>0</v>
      </c>
      <c r="M1192" s="1292">
        <f>IF(COUNT($H1192:L1192)&gt;'RFM input'!$AA$7,0, L1192+L1244+L1296)</f>
        <v>0</v>
      </c>
      <c r="N1192" s="1292">
        <f>IF(COUNT($H1192:M1192)&gt;'RFM input'!$AA$7,0, M1192+M1244+M1296)</f>
        <v>0</v>
      </c>
      <c r="O1192" s="1292">
        <f>IF(COUNT($H1192:N1192)&gt;'RFM input'!$AA$7,0, N1192+N1244+N1296)</f>
        <v>0</v>
      </c>
      <c r="P1192" s="1292">
        <f>IF(COUNT($H1192:O1192)&gt;'RFM input'!$AA$7,0, O1192+O1244+O1296)</f>
        <v>0</v>
      </c>
      <c r="Q1192" s="1292">
        <f>IF(COUNT($H1192:P1192)&gt;'RFM input'!$AA$7,0, P1192+P1244+P1296)</f>
        <v>0</v>
      </c>
      <c r="R1192" s="1292">
        <f>IF(COUNT($H1192:Q1192)&gt;'RFM input'!$AA$7,0, Q1192+Q1244+Q1296)</f>
        <v>0</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0.43946015032915664</v>
      </c>
      <c r="H1193" s="1267">
        <f t="shared" si="171"/>
        <v>0.44321788934403</v>
      </c>
      <c r="I1193" s="1292">
        <f t="shared" si="172"/>
        <v>0.44929219909805385</v>
      </c>
      <c r="J1193" s="1292">
        <f t="shared" si="172"/>
        <v>0.44433465687175788</v>
      </c>
      <c r="K1193" s="1292">
        <f>IF(COUNT($H1193:J1193)&gt;'RFM input'!$AA$7,0, J1193+J1245+J1297)</f>
        <v>0.44458622574628553</v>
      </c>
      <c r="L1193" s="1292">
        <f>IF(COUNT($H1193:K1193)&gt;'RFM input'!$AA$7,0, K1193+K1245+K1297)</f>
        <v>0.44737514422090124</v>
      </c>
      <c r="M1193" s="1292">
        <f>IF(COUNT($H1193:L1193)&gt;'RFM input'!$AA$7,0, L1193+L1245+L1297)</f>
        <v>0.44319630007738842</v>
      </c>
      <c r="N1193" s="1292">
        <f>IF(COUNT($H1193:M1193)&gt;'RFM input'!$AA$7,0, M1193+M1245+M1297)</f>
        <v>0.4366280202708453</v>
      </c>
      <c r="O1193" s="1292">
        <f>IF(COUNT($H1193:N1193)&gt;'RFM input'!$AA$7,0, N1193+N1245+N1297)</f>
        <v>0.43385417653878139</v>
      </c>
      <c r="P1193" s="1292">
        <f>IF(COUNT($H1193:O1193)&gt;'RFM input'!$AA$7,0, O1193+O1245+O1297)</f>
        <v>0.43143448138778023</v>
      </c>
      <c r="Q1193" s="1292">
        <f>IF(COUNT($H1193:P1193)&gt;'RFM input'!$AA$7,0, P1193+P1245+P1297)</f>
        <v>0.4266355009283021</v>
      </c>
      <c r="R1193" s="1292">
        <f>IF(COUNT($H1193:Q1193)&gt;'RFM input'!$AA$7,0, Q1193+Q1245+Q1297)</f>
        <v>0.41329166203718309</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0.28414967029114252</v>
      </c>
      <c r="K1194" s="1292">
        <f>IF(COUNT($H1194:J1194)&gt;'RFM input'!$AA$7,0, J1194+J1246+J1298)</f>
        <v>0.28734838822131359</v>
      </c>
      <c r="L1194" s="1292">
        <f>IF(COUNT($H1194:K1194)&gt;'RFM input'!$AA$7,0, K1194+K1246+K1298)</f>
        <v>0.29233395359920522</v>
      </c>
      <c r="M1194" s="1292">
        <f>IF(COUNT($H1194:L1194)&gt;'RFM input'!$AA$7,0, L1194+L1246+L1298)</f>
        <v>0.29296013758000317</v>
      </c>
      <c r="N1194" s="1292">
        <f>IF(COUNT($H1194:M1194)&gt;'RFM input'!$AA$7,0, M1194+M1246+M1298)</f>
        <v>0.29211002828184202</v>
      </c>
      <c r="O1194" s="1292">
        <f>IF(COUNT($H1194:N1194)&gt;'RFM input'!$AA$7,0, N1194+N1246+N1298)</f>
        <v>0.29387135054570096</v>
      </c>
      <c r="P1194" s="1292">
        <f>IF(COUNT($H1194:O1194)&gt;'RFM input'!$AA$7,0, O1194+O1246+O1298)</f>
        <v>0.29601469737621344</v>
      </c>
      <c r="Q1194" s="1292">
        <f>IF(COUNT($H1194:P1194)&gt;'RFM input'!$AA$7,0, P1194+P1246+P1298)</f>
        <v>0.29668526852240845</v>
      </c>
      <c r="R1194" s="1292">
        <f>IF(COUNT($H1194:Q1194)&gt;'RFM input'!$AA$7,0, Q1194+Q1246+Q1298)</f>
        <v>0.29154238575854929</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8.0331870981517634E-3</v>
      </c>
      <c r="H1195" s="1267">
        <f t="shared" si="171"/>
        <v>7.3627056426249652E-3</v>
      </c>
      <c r="I1195" s="1292">
        <f t="shared" si="172"/>
        <v>6.6795069424646159E-3</v>
      </c>
      <c r="J1195" s="1292">
        <f t="shared" si="172"/>
        <v>5.7755649365047569E-3</v>
      </c>
      <c r="K1195" s="1292">
        <f>IF(COUNT($H1195:J1195)&gt;'RFM input'!$AA$7,0, J1195+J1247+J1299)</f>
        <v>4.9194405476849067E-3</v>
      </c>
      <c r="L1195" s="1292">
        <f>IF(COUNT($H1195:K1195)&gt;'RFM input'!$AA$7,0, K1195+K1247+K1299)</f>
        <v>4.0498383384849944E-3</v>
      </c>
      <c r="M1195" s="1292">
        <f>IF(COUNT($H1195:L1195)&gt;'RFM input'!$AA$7,0, L1195+L1247+L1299)</f>
        <v>3.0623776315078571E-3</v>
      </c>
      <c r="N1195" s="1292">
        <f>IF(COUNT($H1195:M1195)&gt;'RFM input'!$AA$7,0, M1195+M1247+M1299)</f>
        <v>2.0292219256233465E-3</v>
      </c>
      <c r="O1195" s="1292">
        <f>IF(COUNT($H1195:N1195)&gt;'RFM input'!$AA$7,0, N1195+N1247+N1299)</f>
        <v>0.11868270430244278</v>
      </c>
      <c r="P1195" s="1292">
        <f>IF(COUNT($H1195:O1195)&gt;'RFM input'!$AA$7,0, O1195+O1247+O1299)</f>
        <v>0.17010299714675015</v>
      </c>
      <c r="Q1195" s="1292">
        <f>IF(COUNT($H1195:P1195)&gt;'RFM input'!$AA$7,0, P1195+P1247+P1299)</f>
        <v>0.25772150734567345</v>
      </c>
      <c r="R1195" s="1292">
        <f>IF(COUNT($H1195:Q1195)&gt;'RFM input'!$AA$7,0, Q1195+Q1247+Q1299)</f>
        <v>0.23794516572582028</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0</v>
      </c>
      <c r="H1196" s="1267">
        <f t="shared" si="171"/>
        <v>0</v>
      </c>
      <c r="I1196" s="1292">
        <f t="shared" si="172"/>
        <v>0</v>
      </c>
      <c r="J1196" s="1292">
        <f t="shared" si="172"/>
        <v>0</v>
      </c>
      <c r="K1196" s="1292">
        <f>IF(COUNT($H1196:J1196)&gt;'RFM input'!$AA$7,0, J1196+J1248+J1300)</f>
        <v>0</v>
      </c>
      <c r="L1196" s="1292">
        <f>IF(COUNT($H1196:K1196)&gt;'RFM input'!$AA$7,0, K1196+K1248+K1300)</f>
        <v>0</v>
      </c>
      <c r="M1196" s="1292">
        <f>IF(COUNT($H1196:L1196)&gt;'RFM input'!$AA$7,0, L1196+L1248+L1300)</f>
        <v>0</v>
      </c>
      <c r="N1196" s="1292">
        <f>IF(COUNT($H1196:M1196)&gt;'RFM input'!$AA$7,0, M1196+M1248+M1300)</f>
        <v>0</v>
      </c>
      <c r="O1196" s="1292">
        <f>IF(COUNT($H1196:N1196)&gt;'RFM input'!$AA$7,0, N1196+N1248+N1300)</f>
        <v>0</v>
      </c>
      <c r="P1196" s="1292">
        <f>IF(COUNT($H1196:O1196)&gt;'RFM input'!$AA$7,0, O1196+O1248+O1300)</f>
        <v>0</v>
      </c>
      <c r="Q1196" s="1292">
        <f>IF(COUNT($H1196:P1196)&gt;'RFM input'!$AA$7,0, P1196+P1248+P1300)</f>
        <v>0</v>
      </c>
      <c r="R1196" s="1292">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0</v>
      </c>
      <c r="H1197" s="1267">
        <f t="shared" si="171"/>
        <v>0</v>
      </c>
      <c r="I1197" s="1292">
        <f t="shared" si="172"/>
        <v>0</v>
      </c>
      <c r="J1197" s="1292">
        <f t="shared" si="172"/>
        <v>0</v>
      </c>
      <c r="K1197" s="1292">
        <f>IF(COUNT($H1197:J1197)&gt;'RFM input'!$AA$7,0, J1197+J1249+J1301)</f>
        <v>0</v>
      </c>
      <c r="L1197" s="1292">
        <f>IF(COUNT($H1197:K1197)&gt;'RFM input'!$AA$7,0, K1197+K1249+K1301)</f>
        <v>0</v>
      </c>
      <c r="M1197" s="1292">
        <f>IF(COUNT($H1197:L1197)&gt;'RFM input'!$AA$7,0, L1197+L1249+L1301)</f>
        <v>0</v>
      </c>
      <c r="N1197" s="1292">
        <f>IF(COUNT($H1197:M1197)&gt;'RFM input'!$AA$7,0, M1197+M1249+M1301)</f>
        <v>0</v>
      </c>
      <c r="O1197" s="1292">
        <f>IF(COUNT($H1197:N1197)&gt;'RFM input'!$AA$7,0, N1197+N1249+N1301)</f>
        <v>0</v>
      </c>
      <c r="P1197" s="1292">
        <f>IF(COUNT($H1197:O1197)&gt;'RFM input'!$AA$7,0, O1197+O1249+O1301)</f>
        <v>0</v>
      </c>
      <c r="Q1197" s="1292">
        <f>IF(COUNT($H1197:P1197)&gt;'RFM input'!$AA$7,0, P1197+P1249+P1301)</f>
        <v>0</v>
      </c>
      <c r="R1197" s="1292">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0</v>
      </c>
      <c r="H1198" s="1267">
        <f t="shared" si="171"/>
        <v>0</v>
      </c>
      <c r="I1198" s="1292">
        <f t="shared" si="172"/>
        <v>0</v>
      </c>
      <c r="J1198" s="1292">
        <f t="shared" si="172"/>
        <v>0</v>
      </c>
      <c r="K1198" s="1292">
        <f>IF(COUNT($H1198:J1198)&gt;'RFM input'!$AA$7,0, J1198+J1250+J1302)</f>
        <v>0</v>
      </c>
      <c r="L1198" s="1292">
        <f>IF(COUNT($H1198:K1198)&gt;'RFM input'!$AA$7,0, K1198+K1250+K1302)</f>
        <v>0</v>
      </c>
      <c r="M1198" s="1292">
        <f>IF(COUNT($H1198:L1198)&gt;'RFM input'!$AA$7,0, L1198+L1250+L1302)</f>
        <v>0</v>
      </c>
      <c r="N1198" s="1292">
        <f>IF(COUNT($H1198:M1198)&gt;'RFM input'!$AA$7,0, M1198+M1250+M1302)</f>
        <v>0</v>
      </c>
      <c r="O1198" s="1292">
        <f>IF(COUNT($H1198:N1198)&gt;'RFM input'!$AA$7,0, N1198+N1250+N1302)</f>
        <v>0</v>
      </c>
      <c r="P1198" s="1292">
        <f>IF(COUNT($H1198:O1198)&gt;'RFM input'!$AA$7,0, O1198+O1250+O1302)</f>
        <v>0</v>
      </c>
      <c r="Q1198" s="1292">
        <f>IF(COUNT($H1198:P1198)&gt;'RFM input'!$AA$7,0, P1198+P1250+P1302)</f>
        <v>0</v>
      </c>
      <c r="R1198" s="1292">
        <f>IF(COUNT($H1198:Q1198)&gt;'RFM input'!$AA$7,0, Q1198+Q1250+Q1302)</f>
        <v>0</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0</v>
      </c>
      <c r="H1199" s="1267">
        <f t="shared" si="171"/>
        <v>0</v>
      </c>
      <c r="I1199" s="1292">
        <f t="shared" si="172"/>
        <v>0</v>
      </c>
      <c r="J1199" s="1292">
        <f t="shared" si="172"/>
        <v>0</v>
      </c>
      <c r="K1199" s="1292">
        <f>IF(COUNT($H1199:J1199)&gt;'RFM input'!$AA$7,0, J1199+J1251+J1303)</f>
        <v>0</v>
      </c>
      <c r="L1199" s="1292">
        <f>IF(COUNT($H1199:K1199)&gt;'RFM input'!$AA$7,0, K1199+K1251+K1303)</f>
        <v>0</v>
      </c>
      <c r="M1199" s="1292">
        <f>IF(COUNT($H1199:L1199)&gt;'RFM input'!$AA$7,0, L1199+L1251+L1303)</f>
        <v>0</v>
      </c>
      <c r="N1199" s="1292">
        <f>IF(COUNT($H1199:M1199)&gt;'RFM input'!$AA$7,0, M1199+M1251+M1303)</f>
        <v>0</v>
      </c>
      <c r="O1199" s="1292">
        <f>IF(COUNT($H1199:N1199)&gt;'RFM input'!$AA$7,0, N1199+N1251+N1303)</f>
        <v>0</v>
      </c>
      <c r="P1199" s="1292">
        <f>IF(COUNT($H1199:O1199)&gt;'RFM input'!$AA$7,0, O1199+O1251+O1303)</f>
        <v>0</v>
      </c>
      <c r="Q1199" s="1292">
        <f>IF(COUNT($H1199:P1199)&gt;'RFM input'!$AA$7,0, P1199+P1251+P1303)</f>
        <v>0</v>
      </c>
      <c r="R1199" s="1292">
        <f>IF(COUNT($H1199:Q1199)&gt;'RFM input'!$AA$7,0, Q1199+Q1251+Q1303)</f>
        <v>1.9324618280232107E-2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0</v>
      </c>
      <c r="J1200" s="1292">
        <f t="shared" si="173"/>
        <v>0</v>
      </c>
      <c r="K1200" s="1292">
        <f>IF(COUNT($H1200:J1200)&gt;'RFM input'!$AA$7,0, J1200+J1252+J1304)</f>
        <v>0</v>
      </c>
      <c r="L1200" s="1292">
        <f>IF(COUNT($H1200:K1200)&gt;'RFM input'!$AA$7,0, K1200+K1252+K1304)</f>
        <v>0</v>
      </c>
      <c r="M1200" s="1292">
        <f>IF(COUNT($H1200:L1200)&gt;'RFM input'!$AA$7,0, L1200+L1252+L1304)</f>
        <v>0</v>
      </c>
      <c r="N1200" s="1292">
        <f>IF(COUNT($H1200:M1200)&gt;'RFM input'!$AA$7,0, M1200+M1252+M1304)</f>
        <v>0</v>
      </c>
      <c r="O1200" s="1292">
        <f>IF(COUNT($H1200:N1200)&gt;'RFM input'!$AA$7,0, N1200+N1252+N1304)</f>
        <v>0</v>
      </c>
      <c r="P1200" s="1292">
        <f>IF(COUNT($H1200:O1200)&gt;'RFM input'!$AA$7,0, O1200+O1252+O1304)</f>
        <v>0</v>
      </c>
      <c r="Q1200" s="1292">
        <f>IF(COUNT($H1200:P1200)&gt;'RFM input'!$AA$7,0, P1200+P1252+P1304)</f>
        <v>0</v>
      </c>
      <c r="R1200" s="1292">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5.130171669312672E-2</v>
      </c>
      <c r="H1201" s="1267">
        <f t="shared" si="171"/>
        <v>5.9999642941216097E-2</v>
      </c>
      <c r="I1201" s="1292">
        <f t="shared" si="173"/>
        <v>0.13094474103672762</v>
      </c>
      <c r="J1201" s="1292">
        <f t="shared" si="173"/>
        <v>0.13521191058419879</v>
      </c>
      <c r="K1201" s="1292">
        <f>IF(COUNT($H1201:J1201)&gt;'RFM input'!$AA$7,0, J1201+J1253+J1305)</f>
        <v>0.12077696831590154</v>
      </c>
      <c r="L1201" s="1292">
        <f>IF(COUNT($H1201:K1201)&gt;'RFM input'!$AA$7,0, K1201+K1253+K1305)</f>
        <v>9.8274033128647048E-2</v>
      </c>
      <c r="M1201" s="1292">
        <f>IF(COUNT($H1201:L1201)&gt;'RFM input'!$AA$7,0, L1201+L1253+L1305)</f>
        <v>0.16257660398259435</v>
      </c>
      <c r="N1201" s="1292">
        <f>IF(COUNT($H1201:M1201)&gt;'RFM input'!$AA$7,0, M1201+M1253+M1305)</f>
        <v>0.22817300089364603</v>
      </c>
      <c r="O1201" s="1292">
        <f>IF(COUNT($H1201:N1201)&gt;'RFM input'!$AA$7,0, N1201+N1253+N1305)</f>
        <v>0.22241993831771897</v>
      </c>
      <c r="P1201" s="1292">
        <f>IF(COUNT($H1201:O1201)&gt;'RFM input'!$AA$7,0, O1201+O1253+O1305)</f>
        <v>0.2493594528692574</v>
      </c>
      <c r="Q1201" s="1292">
        <f>IF(COUNT($H1201:P1201)&gt;'RFM input'!$AA$7,0, P1201+P1253+P1305)</f>
        <v>0.2948229844780284</v>
      </c>
      <c r="R1201" s="1292">
        <f>IF(COUNT($H1201:Q1201)&gt;'RFM input'!$AA$7,0, Q1201+Q1253+Q1305)</f>
        <v>0.29932501287638036</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8.6651999513626482E-2</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2.6401759935098994</v>
      </c>
      <c r="H1203" s="1267">
        <f t="shared" si="171"/>
        <v>2.4692818033996451</v>
      </c>
      <c r="I1203" s="1292">
        <f t="shared" si="173"/>
        <v>2.3037706798855293</v>
      </c>
      <c r="J1203" s="1292">
        <f t="shared" si="173"/>
        <v>2.0672684984727088</v>
      </c>
      <c r="K1203" s="1292">
        <f>IF(COUNT($H1203:J1203)&gt;'RFM input'!$AA$7,0, J1203+J1255+J1307)</f>
        <v>1.849944431325544</v>
      </c>
      <c r="L1203" s="1292">
        <f>IF(COUNT($H1203:K1203)&gt;'RFM input'!$AA$7,0, K1203+K1255+K1307)</f>
        <v>1.6326135742011421</v>
      </c>
      <c r="M1203" s="1292">
        <f>IF(COUNT($H1203:L1203)&gt;'RFM input'!$AA$7,0, L1203+L1255+L1307)</f>
        <v>1.375926927005733</v>
      </c>
      <c r="N1203" s="1292">
        <f>IF(COUNT($H1203:M1203)&gt;'RFM input'!$AA$7,0, M1203+M1255+M1307)</f>
        <v>1.1044021879441051</v>
      </c>
      <c r="O1203" s="1292">
        <f>IF(COUNT($H1203:N1203)&gt;'RFM input'!$AA$7,0, N1203+N1255+N1307)</f>
        <v>0.83723158057317426</v>
      </c>
      <c r="P1203" s="1292">
        <f>IF(COUNT($H1203:O1203)&gt;'RFM input'!$AA$7,0, O1203+O1255+O1307)</f>
        <v>0.56052094445086875</v>
      </c>
      <c r="Q1203" s="1292">
        <f>IF(COUNT($H1203:P1203)&gt;'RFM input'!$AA$7,0, P1203+P1255+P1307)</f>
        <v>0.26923330809415019</v>
      </c>
      <c r="R1203" s="1292">
        <f>IF(COUNT($H1203:Q1203)&gt;'RFM input'!$AA$7,0, Q1203+Q1255+Q1307)</f>
        <v>-3.6703281991803116E-2</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0.34719220307726456</v>
      </c>
      <c r="H1241" s="1264">
        <f t="shared" ref="H1241:Q1241" si="177">SUM(H1242:H1291)</f>
        <v>8.4599984321491156E-2</v>
      </c>
      <c r="I1241" s="1264">
        <f t="shared" si="177"/>
        <v>0.32079033718443678</v>
      </c>
      <c r="J1241" s="1264">
        <f t="shared" si="177"/>
        <v>0.36905034268514358</v>
      </c>
      <c r="K1241" s="1264">
        <f t="shared" si="177"/>
        <v>1.997095341216169E-2</v>
      </c>
      <c r="L1241" s="1264">
        <f t="shared" si="177"/>
        <v>0.23549231335021523</v>
      </c>
      <c r="M1241" s="1264">
        <f t="shared" si="177"/>
        <v>0.12019659435317546</v>
      </c>
      <c r="N1241" s="1264">
        <f t="shared" si="177"/>
        <v>0.16946460735191962</v>
      </c>
      <c r="O1241" s="1264">
        <f t="shared" si="177"/>
        <v>0.14588474141759197</v>
      </c>
      <c r="P1241" s="1264">
        <f t="shared" si="177"/>
        <v>0.21790966992859434</v>
      </c>
      <c r="Q1241" s="1264">
        <f t="shared" si="177"/>
        <v>0.21226779500694617</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0.3272949139240654</v>
      </c>
      <c r="H1242" s="1292">
        <f t="shared" ref="H1242:Q1242" si="178">H64*H$7</f>
        <v>0</v>
      </c>
      <c r="I1242" s="1292">
        <f t="shared" si="178"/>
        <v>0</v>
      </c>
      <c r="J1242" s="1292">
        <f t="shared" si="178"/>
        <v>0.3449877906189745</v>
      </c>
      <c r="K1242" s="1292">
        <f t="shared" si="178"/>
        <v>0</v>
      </c>
      <c r="L1242" s="1292">
        <f t="shared" si="178"/>
        <v>0.13695552485239268</v>
      </c>
      <c r="M1242" s="1292">
        <f t="shared" si="178"/>
        <v>0</v>
      </c>
      <c r="N1242" s="1292">
        <f t="shared" si="178"/>
        <v>0</v>
      </c>
      <c r="O1242" s="1292">
        <f t="shared" si="178"/>
        <v>0</v>
      </c>
      <c r="P1242" s="1292">
        <f t="shared" si="178"/>
        <v>0</v>
      </c>
      <c r="Q1242" s="1292">
        <f t="shared" si="178"/>
        <v>0</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0</v>
      </c>
      <c r="H1243" s="1292">
        <f t="shared" ref="H1243:Q1243" si="179">H65*H$7</f>
        <v>0</v>
      </c>
      <c r="I1243" s="1292">
        <f t="shared" si="179"/>
        <v>0</v>
      </c>
      <c r="J1243" s="1292">
        <f t="shared" si="179"/>
        <v>0</v>
      </c>
      <c r="K1243" s="1292">
        <f t="shared" si="179"/>
        <v>0</v>
      </c>
      <c r="L1243" s="1292">
        <f t="shared" si="179"/>
        <v>0</v>
      </c>
      <c r="M1243" s="1292">
        <f t="shared" si="179"/>
        <v>0</v>
      </c>
      <c r="N1243" s="1292">
        <f t="shared" si="179"/>
        <v>0</v>
      </c>
      <c r="O1243" s="1292">
        <f t="shared" si="179"/>
        <v>0</v>
      </c>
      <c r="P1243" s="1292">
        <f t="shared" si="179"/>
        <v>0</v>
      </c>
      <c r="Q1243" s="1292">
        <f t="shared" si="179"/>
        <v>0</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0</v>
      </c>
      <c r="M1244" s="1292">
        <f t="shared" si="180"/>
        <v>0</v>
      </c>
      <c r="N1244" s="1292">
        <f t="shared" si="180"/>
        <v>0</v>
      </c>
      <c r="O1244" s="1292">
        <f t="shared" si="180"/>
        <v>0</v>
      </c>
      <c r="P1244" s="1292">
        <f t="shared" si="180"/>
        <v>0</v>
      </c>
      <c r="Q1244" s="1292">
        <f t="shared" si="180"/>
        <v>0</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0</v>
      </c>
      <c r="J1245" s="1292">
        <f t="shared" si="181"/>
        <v>0</v>
      </c>
      <c r="K1245" s="1292">
        <f t="shared" si="181"/>
        <v>0</v>
      </c>
      <c r="L1245" s="1292">
        <f t="shared" si="181"/>
        <v>0</v>
      </c>
      <c r="M1245" s="1292">
        <f t="shared" si="181"/>
        <v>0</v>
      </c>
      <c r="N1245" s="1292">
        <f t="shared" si="181"/>
        <v>0</v>
      </c>
      <c r="O1245" s="1292">
        <f t="shared" si="181"/>
        <v>0</v>
      </c>
      <c r="P1245" s="1292">
        <f t="shared" si="181"/>
        <v>0</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0.28414967029114252</v>
      </c>
      <c r="J1246" s="1292">
        <f t="shared" si="182"/>
        <v>0</v>
      </c>
      <c r="K1246" s="1292">
        <f t="shared" si="182"/>
        <v>0</v>
      </c>
      <c r="L1246" s="1292">
        <f t="shared" si="182"/>
        <v>0</v>
      </c>
      <c r="M1246" s="1292">
        <f t="shared" si="182"/>
        <v>0</v>
      </c>
      <c r="N1246" s="1292">
        <f t="shared" si="182"/>
        <v>0</v>
      </c>
      <c r="O1246" s="1292">
        <f t="shared" si="182"/>
        <v>0</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v>
      </c>
      <c r="I1247" s="1292">
        <f t="shared" si="183"/>
        <v>0</v>
      </c>
      <c r="J1247" s="1292">
        <f t="shared" si="183"/>
        <v>0</v>
      </c>
      <c r="K1247" s="1292">
        <f t="shared" si="183"/>
        <v>0</v>
      </c>
      <c r="L1247" s="1292">
        <f t="shared" si="183"/>
        <v>0</v>
      </c>
      <c r="M1247" s="1292">
        <f t="shared" si="183"/>
        <v>0</v>
      </c>
      <c r="N1247" s="1292">
        <f t="shared" si="183"/>
        <v>0.11768962741468543</v>
      </c>
      <c r="O1247" s="1292">
        <f t="shared" si="183"/>
        <v>5.804830896880591E-2</v>
      </c>
      <c r="P1247" s="1292">
        <f t="shared" si="183"/>
        <v>9.7023056335132418E-2</v>
      </c>
      <c r="Q1247" s="1292">
        <f t="shared" si="183"/>
        <v>0</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0</v>
      </c>
      <c r="N1248" s="1292">
        <f t="shared" si="184"/>
        <v>0</v>
      </c>
      <c r="O1248" s="1292">
        <f t="shared" si="184"/>
        <v>0</v>
      </c>
      <c r="P1248" s="1292">
        <f t="shared" si="184"/>
        <v>0</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0</v>
      </c>
      <c r="H1250" s="1292">
        <f t="shared" ref="H1250:Q1250" si="186">H72*H$7</f>
        <v>0</v>
      </c>
      <c r="I1250" s="1292">
        <f t="shared" si="186"/>
        <v>0</v>
      </c>
      <c r="J1250" s="1292">
        <f t="shared" si="186"/>
        <v>0</v>
      </c>
      <c r="K1250" s="1292">
        <f t="shared" si="186"/>
        <v>0</v>
      </c>
      <c r="L1250" s="1292">
        <f t="shared" si="186"/>
        <v>0</v>
      </c>
      <c r="M1250" s="1292">
        <f t="shared" si="186"/>
        <v>0</v>
      </c>
      <c r="N1250" s="1292">
        <f t="shared" si="186"/>
        <v>0</v>
      </c>
      <c r="O1250" s="1292">
        <f t="shared" si="186"/>
        <v>0</v>
      </c>
      <c r="P1250" s="1292">
        <f t="shared" si="186"/>
        <v>0</v>
      </c>
      <c r="Q1250" s="1292">
        <f t="shared" si="186"/>
        <v>0</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0</v>
      </c>
      <c r="J1251" s="1292">
        <f t="shared" si="187"/>
        <v>0</v>
      </c>
      <c r="K1251" s="1292">
        <f t="shared" si="187"/>
        <v>0</v>
      </c>
      <c r="L1251" s="1292">
        <f t="shared" si="187"/>
        <v>0</v>
      </c>
      <c r="M1251" s="1292">
        <f t="shared" si="187"/>
        <v>0</v>
      </c>
      <c r="N1251" s="1292">
        <f t="shared" si="187"/>
        <v>0</v>
      </c>
      <c r="O1251" s="1292">
        <f t="shared" si="187"/>
        <v>0</v>
      </c>
      <c r="P1251" s="1292">
        <f t="shared" si="187"/>
        <v>0</v>
      </c>
      <c r="Q1251" s="1292">
        <f t="shared" si="187"/>
        <v>1.9324618280232107E-2</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0</v>
      </c>
      <c r="I1252" s="1292">
        <f t="shared" si="188"/>
        <v>0</v>
      </c>
      <c r="J1252" s="1292">
        <f t="shared" si="188"/>
        <v>0</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1.9897289153199171E-2</v>
      </c>
      <c r="H1253" s="1292">
        <f t="shared" ref="H1253:Q1253" si="189">H75*H$7</f>
        <v>8.4599984321491156E-2</v>
      </c>
      <c r="I1253" s="1292">
        <f t="shared" si="189"/>
        <v>3.6640666893294253E-2</v>
      </c>
      <c r="J1253" s="1292">
        <f t="shared" si="189"/>
        <v>2.4062552066169106E-2</v>
      </c>
      <c r="K1253" s="1292">
        <f t="shared" si="189"/>
        <v>1.997095341216169E-2</v>
      </c>
      <c r="L1253" s="1292">
        <f t="shared" si="189"/>
        <v>9.8536788497822547E-2</v>
      </c>
      <c r="M1253" s="1292">
        <f t="shared" si="189"/>
        <v>0.12019659435317546</v>
      </c>
      <c r="N1253" s="1292">
        <f t="shared" si="189"/>
        <v>5.1774979937234199E-2</v>
      </c>
      <c r="O1253" s="1292">
        <f t="shared" si="189"/>
        <v>8.7836432448786056E-2</v>
      </c>
      <c r="P1253" s="1292">
        <f t="shared" si="189"/>
        <v>0.12088661359346192</v>
      </c>
      <c r="Q1253" s="1292">
        <f t="shared" si="189"/>
        <v>0.10629117721308759</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8.6651999513626482E-2</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0</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0.35668034978570984</v>
      </c>
      <c r="H1293" s="1301">
        <f>SUM(H1294:H1343)</f>
        <v>0.55833447029147665</v>
      </c>
      <c r="I1293" s="1301">
        <f t="shared" ref="I1293:Q1293" si="228">SUM(I1294:I1343)</f>
        <v>-0.38466341929391412</v>
      </c>
      <c r="J1293" s="1301">
        <f t="shared" si="228"/>
        <v>5.326629358403856E-2</v>
      </c>
      <c r="K1293" s="1301">
        <f t="shared" si="228"/>
        <v>0.27468599532573618</v>
      </c>
      <c r="L1293" s="1301">
        <f t="shared" si="228"/>
        <v>-0.31213593423321861</v>
      </c>
      <c r="M1293" s="1301">
        <f t="shared" si="228"/>
        <v>-0.53644644554958543</v>
      </c>
      <c r="N1293" s="1301">
        <f t="shared" si="228"/>
        <v>-0.20831200377078554</v>
      </c>
      <c r="O1293" s="1301">
        <f t="shared" si="228"/>
        <v>-0.18289668577643522</v>
      </c>
      <c r="P1293" s="1301">
        <f t="shared" si="228"/>
        <v>-0.40365172708884811</v>
      </c>
      <c r="Q1293" s="1301">
        <f t="shared" si="228"/>
        <v>-1.1842371313384525</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0.53568664524172771</v>
      </c>
      <c r="H1294" s="1292">
        <f>H1504+H1556</f>
        <v>0.73210936897770873</v>
      </c>
      <c r="I1294" s="1292">
        <f t="shared" ref="I1294:Q1294" si="229">I1504+I1556</f>
        <v>-0.1099262563030145</v>
      </c>
      <c r="J1294" s="1292">
        <f t="shared" si="229"/>
        <v>0.30649369264979076</v>
      </c>
      <c r="K1294" s="1292">
        <f t="shared" si="229"/>
        <v>0.52758585940624692</v>
      </c>
      <c r="L1294" s="1292">
        <f t="shared" si="229"/>
        <v>-1.6674948524242339E-2</v>
      </c>
      <c r="M1294" s="1292">
        <f t="shared" si="229"/>
        <v>-0.20186996423524484</v>
      </c>
      <c r="N1294" s="1292">
        <f t="shared" si="229"/>
        <v>0.11843531261937745</v>
      </c>
      <c r="O1294" s="1292">
        <f t="shared" si="229"/>
        <v>0.16161523268810518</v>
      </c>
      <c r="P1294" s="1292">
        <f t="shared" si="229"/>
        <v>-2.3408053297946485E-2</v>
      </c>
      <c r="Q1294" s="1292">
        <f t="shared" si="229"/>
        <v>-0.73824832916293226</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0</v>
      </c>
      <c r="H1295" s="1292">
        <f t="shared" ref="H1295:Q1295" si="230">H1505+H1557</f>
        <v>0</v>
      </c>
      <c r="I1295" s="1292">
        <f t="shared" si="230"/>
        <v>0</v>
      </c>
      <c r="J1295" s="1292">
        <f t="shared" si="230"/>
        <v>0</v>
      </c>
      <c r="K1295" s="1292">
        <f t="shared" si="230"/>
        <v>0</v>
      </c>
      <c r="L1295" s="1292">
        <f t="shared" si="230"/>
        <v>0</v>
      </c>
      <c r="M1295" s="1292">
        <f t="shared" si="230"/>
        <v>0</v>
      </c>
      <c r="N1295" s="1292">
        <f t="shared" si="230"/>
        <v>0</v>
      </c>
      <c r="O1295" s="1292">
        <f t="shared" si="230"/>
        <v>0</v>
      </c>
      <c r="P1295" s="1292">
        <f t="shared" si="230"/>
        <v>0</v>
      </c>
      <c r="Q1295" s="1292">
        <f t="shared" si="230"/>
        <v>0</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0</v>
      </c>
      <c r="H1296" s="1292">
        <f t="shared" ref="H1296:Q1296" si="231">H1506+H1558</f>
        <v>0</v>
      </c>
      <c r="I1296" s="1292">
        <f t="shared" si="231"/>
        <v>0</v>
      </c>
      <c r="J1296" s="1292">
        <f t="shared" si="231"/>
        <v>0</v>
      </c>
      <c r="K1296" s="1292">
        <f t="shared" si="231"/>
        <v>0</v>
      </c>
      <c r="L1296" s="1292">
        <f t="shared" si="231"/>
        <v>0</v>
      </c>
      <c r="M1296" s="1292">
        <f t="shared" si="231"/>
        <v>0</v>
      </c>
      <c r="N1296" s="1292">
        <f t="shared" si="231"/>
        <v>0</v>
      </c>
      <c r="O1296" s="1292">
        <f t="shared" si="231"/>
        <v>0</v>
      </c>
      <c r="P1296" s="1292">
        <f t="shared" si="231"/>
        <v>0</v>
      </c>
      <c r="Q1296" s="1292">
        <f t="shared" si="231"/>
        <v>0</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3.7577390148733625E-3</v>
      </c>
      <c r="H1297" s="1292">
        <f t="shared" ref="H1297:Q1297" si="232">H1507+H1559</f>
        <v>6.0743097540238503E-3</v>
      </c>
      <c r="I1297" s="1292">
        <f t="shared" si="232"/>
        <v>-4.9575422262959695E-3</v>
      </c>
      <c r="J1297" s="1292">
        <f t="shared" si="232"/>
        <v>2.5156887452766445E-4</v>
      </c>
      <c r="K1297" s="1292">
        <f t="shared" si="232"/>
        <v>2.7889184746157213E-3</v>
      </c>
      <c r="L1297" s="1292">
        <f t="shared" si="232"/>
        <v>-4.1788441435128059E-3</v>
      </c>
      <c r="M1297" s="1292">
        <f t="shared" si="232"/>
        <v>-6.5682798065431107E-3</v>
      </c>
      <c r="N1297" s="1292">
        <f t="shared" si="232"/>
        <v>-2.7738437320639336E-3</v>
      </c>
      <c r="O1297" s="1292">
        <f t="shared" si="232"/>
        <v>-2.4196951510011659E-3</v>
      </c>
      <c r="P1297" s="1292">
        <f t="shared" si="232"/>
        <v>-4.7989804594781166E-3</v>
      </c>
      <c r="Q1297" s="1292">
        <f t="shared" si="232"/>
        <v>-1.3343838891118993E-2</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3.1987179301710906E-3</v>
      </c>
      <c r="K1298" s="1292">
        <f t="shared" si="233"/>
        <v>4.9855653778916069E-3</v>
      </c>
      <c r="L1298" s="1292">
        <f t="shared" si="233"/>
        <v>6.2618398079795695E-4</v>
      </c>
      <c r="M1298" s="1292">
        <f t="shared" si="233"/>
        <v>-8.501092981611732E-4</v>
      </c>
      <c r="N1298" s="1292">
        <f t="shared" si="233"/>
        <v>1.7613222638589473E-3</v>
      </c>
      <c r="O1298" s="1292">
        <f t="shared" si="233"/>
        <v>2.1433468305124756E-3</v>
      </c>
      <c r="P1298" s="1292">
        <f t="shared" si="233"/>
        <v>6.7057114619498755E-4</v>
      </c>
      <c r="Q1298" s="1292">
        <f t="shared" si="233"/>
        <v>-5.1428827638591648E-3</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-6.7048145552679847E-4</v>
      </c>
      <c r="H1299" s="1292">
        <f t="shared" ref="H1299:Q1299" si="234">H1509+H1561</f>
        <v>-6.8319870016034928E-4</v>
      </c>
      <c r="I1299" s="1292">
        <f t="shared" si="234"/>
        <v>-9.0394200595985883E-4</v>
      </c>
      <c r="J1299" s="1292">
        <f t="shared" si="234"/>
        <v>-8.5612438881985066E-4</v>
      </c>
      <c r="K1299" s="1292">
        <f t="shared" si="234"/>
        <v>-8.696022091999123E-4</v>
      </c>
      <c r="L1299" s="1292">
        <f t="shared" si="234"/>
        <v>-9.8746070697713754E-4</v>
      </c>
      <c r="M1299" s="1292">
        <f t="shared" si="234"/>
        <v>-1.0331557058845104E-3</v>
      </c>
      <c r="N1299" s="1292">
        <f t="shared" si="234"/>
        <v>-1.0361450378659836E-3</v>
      </c>
      <c r="O1299" s="1292">
        <f t="shared" si="234"/>
        <v>-6.62801612449853E-3</v>
      </c>
      <c r="P1299" s="1292">
        <f t="shared" si="234"/>
        <v>-9.4045461362090906E-3</v>
      </c>
      <c r="Q1299" s="1292">
        <f t="shared" si="234"/>
        <v>-1.9776341619853175E-2</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0</v>
      </c>
      <c r="H1300" s="1292">
        <f t="shared" ref="H1300:Q1300" si="235">H1510+H1562</f>
        <v>0</v>
      </c>
      <c r="I1300" s="1292">
        <f t="shared" si="235"/>
        <v>0</v>
      </c>
      <c r="J1300" s="1292">
        <f t="shared" si="235"/>
        <v>0</v>
      </c>
      <c r="K1300" s="1292">
        <f t="shared" si="235"/>
        <v>0</v>
      </c>
      <c r="L1300" s="1292">
        <f t="shared" si="235"/>
        <v>0</v>
      </c>
      <c r="M1300" s="1292">
        <f t="shared" si="235"/>
        <v>0</v>
      </c>
      <c r="N1300" s="1292">
        <f t="shared" si="235"/>
        <v>0</v>
      </c>
      <c r="O1300" s="1292">
        <f t="shared" si="235"/>
        <v>0</v>
      </c>
      <c r="P1300" s="1292">
        <f t="shared" si="235"/>
        <v>0</v>
      </c>
      <c r="Q1300" s="1292">
        <f t="shared" si="235"/>
        <v>0</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0</v>
      </c>
      <c r="H1301" s="1292">
        <f t="shared" ref="H1301:Q1301" si="236">H1511+H1563</f>
        <v>0</v>
      </c>
      <c r="I1301" s="1292">
        <f t="shared" si="236"/>
        <v>0</v>
      </c>
      <c r="J1301" s="1292">
        <f t="shared" si="236"/>
        <v>0</v>
      </c>
      <c r="K1301" s="1292">
        <f t="shared" si="236"/>
        <v>0</v>
      </c>
      <c r="L1301" s="1292">
        <f t="shared" si="236"/>
        <v>0</v>
      </c>
      <c r="M1301" s="1292">
        <f t="shared" si="236"/>
        <v>0</v>
      </c>
      <c r="N1301" s="1292">
        <f t="shared" si="236"/>
        <v>0</v>
      </c>
      <c r="O1301" s="1292">
        <f t="shared" si="236"/>
        <v>0</v>
      </c>
      <c r="P1301" s="1292">
        <f t="shared" si="236"/>
        <v>0</v>
      </c>
      <c r="Q1301" s="1292">
        <f t="shared" si="236"/>
        <v>0</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0</v>
      </c>
      <c r="H1302" s="1292">
        <f t="shared" ref="H1302:Q1302" si="237">H1512+H1564</f>
        <v>0</v>
      </c>
      <c r="I1302" s="1292">
        <f t="shared" si="237"/>
        <v>0</v>
      </c>
      <c r="J1302" s="1292">
        <f t="shared" si="237"/>
        <v>0</v>
      </c>
      <c r="K1302" s="1292">
        <f t="shared" si="237"/>
        <v>0</v>
      </c>
      <c r="L1302" s="1292">
        <f t="shared" si="237"/>
        <v>0</v>
      </c>
      <c r="M1302" s="1292">
        <f t="shared" si="237"/>
        <v>0</v>
      </c>
      <c r="N1302" s="1292">
        <f t="shared" si="237"/>
        <v>0</v>
      </c>
      <c r="O1302" s="1292">
        <f t="shared" si="237"/>
        <v>0</v>
      </c>
      <c r="P1302" s="1292">
        <f t="shared" si="237"/>
        <v>0</v>
      </c>
      <c r="Q1302" s="1292">
        <f t="shared" si="237"/>
        <v>0</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0</v>
      </c>
      <c r="H1303" s="1292">
        <f t="shared" ref="H1303:Q1303" si="238">H1513+H1565</f>
        <v>0</v>
      </c>
      <c r="I1303" s="1292">
        <f t="shared" si="238"/>
        <v>0</v>
      </c>
      <c r="J1303" s="1292">
        <f t="shared" si="238"/>
        <v>0</v>
      </c>
      <c r="K1303" s="1292">
        <f t="shared" si="238"/>
        <v>0</v>
      </c>
      <c r="L1303" s="1292">
        <f t="shared" si="238"/>
        <v>0</v>
      </c>
      <c r="M1303" s="1292">
        <f t="shared" si="238"/>
        <v>0</v>
      </c>
      <c r="N1303" s="1292">
        <f t="shared" si="238"/>
        <v>0</v>
      </c>
      <c r="O1303" s="1292">
        <f t="shared" si="238"/>
        <v>0</v>
      </c>
      <c r="P1303" s="1292">
        <f t="shared" si="238"/>
        <v>0</v>
      </c>
      <c r="Q1303" s="1292">
        <f t="shared" si="238"/>
        <v>0</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0</v>
      </c>
      <c r="J1304" s="1292">
        <f t="shared" si="239"/>
        <v>0</v>
      </c>
      <c r="K1304" s="1292">
        <f t="shared" si="239"/>
        <v>0</v>
      </c>
      <c r="L1304" s="1292">
        <f t="shared" si="239"/>
        <v>0</v>
      </c>
      <c r="M1304" s="1292">
        <f t="shared" si="239"/>
        <v>0</v>
      </c>
      <c r="N1304" s="1292">
        <f t="shared" si="239"/>
        <v>0</v>
      </c>
      <c r="O1304" s="1292">
        <f t="shared" si="239"/>
        <v>0</v>
      </c>
      <c r="P1304" s="1292">
        <f t="shared" si="239"/>
        <v>0</v>
      </c>
      <c r="Q1304" s="1292">
        <f t="shared" si="239"/>
        <v>0</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-1.1199362905109801E-2</v>
      </c>
      <c r="H1305" s="1292">
        <f t="shared" ref="H1305:Q1305" si="240">H1515+H1567</f>
        <v>-1.3654886225979618E-2</v>
      </c>
      <c r="I1305" s="1292">
        <f t="shared" si="240"/>
        <v>-3.2373497345823107E-2</v>
      </c>
      <c r="J1305" s="1292">
        <f t="shared" si="240"/>
        <v>-3.8497494334466371E-2</v>
      </c>
      <c r="K1305" s="1292">
        <f t="shared" si="240"/>
        <v>-4.2473888599416178E-2</v>
      </c>
      <c r="L1305" s="1292">
        <f t="shared" si="240"/>
        <v>-3.4234217643875249E-2</v>
      </c>
      <c r="M1305" s="1292">
        <f t="shared" si="240"/>
        <v>-5.4600197442123778E-2</v>
      </c>
      <c r="N1305" s="1292">
        <f t="shared" si="240"/>
        <v>-5.7528042513161272E-2</v>
      </c>
      <c r="O1305" s="1292">
        <f t="shared" si="240"/>
        <v>-6.0896917897247625E-2</v>
      </c>
      <c r="P1305" s="1292">
        <f t="shared" si="240"/>
        <v>-7.5423081984690873E-2</v>
      </c>
      <c r="Q1305" s="1292">
        <f t="shared" si="240"/>
        <v>-0.10178914881473568</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-0.1708941901102545</v>
      </c>
      <c r="H1307" s="1292">
        <f t="shared" ref="H1307:Q1307" si="242">H1517+H1569</f>
        <v>-0.16551112351411601</v>
      </c>
      <c r="I1307" s="1292">
        <f t="shared" si="242"/>
        <v>-0.2365021814128207</v>
      </c>
      <c r="J1307" s="1292">
        <f t="shared" si="242"/>
        <v>-0.21732406714716473</v>
      </c>
      <c r="K1307" s="1292">
        <f t="shared" si="242"/>
        <v>-0.21733085712440192</v>
      </c>
      <c r="L1307" s="1292">
        <f t="shared" si="242"/>
        <v>-0.25668664719540901</v>
      </c>
      <c r="M1307" s="1292">
        <f t="shared" si="242"/>
        <v>-0.27152473906162794</v>
      </c>
      <c r="N1307" s="1292">
        <f t="shared" si="242"/>
        <v>-0.26717060737093073</v>
      </c>
      <c r="O1307" s="1292">
        <f t="shared" si="242"/>
        <v>-0.27671063612230556</v>
      </c>
      <c r="P1307" s="1292">
        <f t="shared" si="242"/>
        <v>-0.29128763635671856</v>
      </c>
      <c r="Q1307" s="1292">
        <f t="shared" si="242"/>
        <v>-0.30593659008595331</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-0.76129380513038125</v>
      </c>
      <c r="H1503" s="1297">
        <f t="shared" ref="H1503:Q1503" si="279">SUM(H1504:H1553)</f>
        <v>-0.78585312028132148</v>
      </c>
      <c r="I1503" s="1297">
        <f t="shared" si="279"/>
        <v>-0.83169347348671685</v>
      </c>
      <c r="J1503" s="1297">
        <f t="shared" si="279"/>
        <v>-0.8524972259395418</v>
      </c>
      <c r="K1503" s="1297">
        <f t="shared" si="279"/>
        <v>-0.88067989957683823</v>
      </c>
      <c r="L1503" s="1297">
        <f t="shared" si="279"/>
        <v>-0.89544971430362408</v>
      </c>
      <c r="M1503" s="1297">
        <f t="shared" si="279"/>
        <v>-0.93072161687311761</v>
      </c>
      <c r="N1503" s="1297">
        <f t="shared" si="279"/>
        <v>-0.94534601323022116</v>
      </c>
      <c r="O1503" s="1297">
        <f t="shared" si="279"/>
        <v>-0.97400401987578289</v>
      </c>
      <c r="P1503" s="1297">
        <f t="shared" si="279"/>
        <v>-1.0095879254073956</v>
      </c>
      <c r="Q1503" s="1297">
        <f t="shared" si="279"/>
        <v>-1.052343103643705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-0.4864267172018204</v>
      </c>
      <c r="H1504" s="1292">
        <f t="shared" ref="H1504:Q1504" si="281">H$128*H$7</f>
        <v>-0.504727003371785</v>
      </c>
      <c r="I1504" s="1292">
        <f t="shared" si="281"/>
        <v>-0.52291007961179115</v>
      </c>
      <c r="J1504" s="1292">
        <f t="shared" si="281"/>
        <v>-0.52906886349953519</v>
      </c>
      <c r="K1504" s="1292">
        <f t="shared" si="281"/>
        <v>-0.54613135934957768</v>
      </c>
      <c r="L1504" s="1292">
        <f t="shared" si="281"/>
        <v>-0.56260030111984716</v>
      </c>
      <c r="M1504" s="1292">
        <f t="shared" si="281"/>
        <v>-0.57283820922477768</v>
      </c>
      <c r="N1504" s="1292">
        <f t="shared" si="281"/>
        <v>-0.57869980950521727</v>
      </c>
      <c r="O1504" s="1292">
        <f t="shared" si="281"/>
        <v>-0.58989013731332918</v>
      </c>
      <c r="P1504" s="1292">
        <f t="shared" si="281"/>
        <v>-0.6021462106269756</v>
      </c>
      <c r="Q1504" s="1292">
        <f t="shared" si="281"/>
        <v>-0.61173792017678597</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v>
      </c>
      <c r="H1505" s="1292">
        <f t="shared" ref="H1505:Q1505" si="282">H$141*H$7</f>
        <v>0</v>
      </c>
      <c r="I1505" s="1292">
        <f t="shared" si="282"/>
        <v>0</v>
      </c>
      <c r="J1505" s="1292">
        <f t="shared" si="282"/>
        <v>0</v>
      </c>
      <c r="K1505" s="1292">
        <f t="shared" si="282"/>
        <v>0</v>
      </c>
      <c r="L1505" s="1292">
        <f t="shared" si="282"/>
        <v>0</v>
      </c>
      <c r="M1505" s="1292">
        <f t="shared" si="282"/>
        <v>0</v>
      </c>
      <c r="N1505" s="1292">
        <f t="shared" si="282"/>
        <v>0</v>
      </c>
      <c r="O1505" s="1292">
        <f t="shared" si="282"/>
        <v>0</v>
      </c>
      <c r="P1505" s="1292">
        <f t="shared" si="282"/>
        <v>0</v>
      </c>
      <c r="Q1505" s="1292">
        <f t="shared" si="282"/>
        <v>0</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0</v>
      </c>
      <c r="H1506" s="1292">
        <f t="shared" ref="H1506:Q1506" si="283">H$154*H$7</f>
        <v>0</v>
      </c>
      <c r="I1506" s="1292">
        <f t="shared" si="283"/>
        <v>0</v>
      </c>
      <c r="J1506" s="1292">
        <f t="shared" si="283"/>
        <v>0</v>
      </c>
      <c r="K1506" s="1292">
        <f t="shared" si="283"/>
        <v>0</v>
      </c>
      <c r="L1506" s="1292">
        <f t="shared" si="283"/>
        <v>0</v>
      </c>
      <c r="M1506" s="1292">
        <f t="shared" si="283"/>
        <v>0</v>
      </c>
      <c r="N1506" s="1292">
        <f t="shared" si="283"/>
        <v>0</v>
      </c>
      <c r="O1506" s="1292">
        <f t="shared" si="283"/>
        <v>0</v>
      </c>
      <c r="P1506" s="1292">
        <f t="shared" si="283"/>
        <v>0</v>
      </c>
      <c r="Q1506" s="1292">
        <f t="shared" si="283"/>
        <v>0</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-9.6629003065559858E-3</v>
      </c>
      <c r="H1507" s="1292">
        <f>H$167*H$7</f>
        <v>-9.8928658063073167E-3</v>
      </c>
      <c r="I1507" s="1292">
        <f t="shared" ref="I1507:Q1507" si="284">I$167*I$7</f>
        <v>-1.0249261901595553E-2</v>
      </c>
      <c r="J1507" s="1292">
        <f t="shared" si="284"/>
        <v>-1.0369976708064148E-2</v>
      </c>
      <c r="K1507" s="1292">
        <f t="shared" si="284"/>
        <v>-1.0617864597499945E-2</v>
      </c>
      <c r="L1507" s="1292">
        <f t="shared" si="284"/>
        <v>-1.0938053121354516E-2</v>
      </c>
      <c r="M1507" s="1292">
        <f t="shared" si="284"/>
        <v>-1.1103311714311713E-2</v>
      </c>
      <c r="N1507" s="1292">
        <f t="shared" si="284"/>
        <v>-1.1216926996969785E-2</v>
      </c>
      <c r="O1507" s="1292">
        <f t="shared" si="284"/>
        <v>-1.1433828900226106E-2</v>
      </c>
      <c r="P1507" s="1292">
        <f t="shared" si="284"/>
        <v>-1.1671388127602079E-2</v>
      </c>
      <c r="Q1507" s="1292">
        <f t="shared" si="284"/>
        <v>-1.1857304044678928E-2</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-3.5937044672267326E-3</v>
      </c>
      <c r="K1508" s="1292">
        <f t="shared" si="285"/>
        <v>-3.6796097532958974E-3</v>
      </c>
      <c r="L1508" s="1292">
        <f t="shared" si="285"/>
        <v>-3.7905707478019025E-3</v>
      </c>
      <c r="M1508" s="1292">
        <f t="shared" si="285"/>
        <v>-3.8478409385146787E-3</v>
      </c>
      <c r="N1508" s="1292">
        <f t="shared" si="285"/>
        <v>-3.887214194629712E-3</v>
      </c>
      <c r="O1508" s="1292">
        <f t="shared" si="285"/>
        <v>-3.9623813199402315E-3</v>
      </c>
      <c r="P1508" s="1292">
        <f t="shared" si="285"/>
        <v>-4.0447072190898485E-3</v>
      </c>
      <c r="Q1508" s="1292">
        <f t="shared" si="285"/>
        <v>-4.1091361836417218E-3</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-9.158063309793376E-4</v>
      </c>
      <c r="H1509" s="1292">
        <f t="shared" ref="H1509:Q1509" si="286">H$193*H$7</f>
        <v>-9.4844434213754237E-4</v>
      </c>
      <c r="I1509" s="1292">
        <f t="shared" si="286"/>
        <v>-9.8261258688625108E-4</v>
      </c>
      <c r="J1509" s="1292">
        <f t="shared" si="286"/>
        <v>-9.9418570204307176E-4</v>
      </c>
      <c r="K1509" s="1292">
        <f t="shared" si="286"/>
        <v>-1.0179510973110336E-3</v>
      </c>
      <c r="L1509" s="1292">
        <f t="shared" si="286"/>
        <v>-1.0486480661988178E-3</v>
      </c>
      <c r="M1509" s="1292">
        <f t="shared" si="286"/>
        <v>-1.0644916630441256E-3</v>
      </c>
      <c r="N1509" s="1292">
        <f t="shared" si="286"/>
        <v>-1.0753841358752748E-3</v>
      </c>
      <c r="O1509" s="1292">
        <f t="shared" si="286"/>
        <v>-9.0938717694454083E-3</v>
      </c>
      <c r="P1509" s="1292">
        <f t="shared" si="286"/>
        <v>-1.2114151400493618E-2</v>
      </c>
      <c r="Q1509" s="1292">
        <f t="shared" si="286"/>
        <v>-1.8878357273701012E-2</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0</v>
      </c>
      <c r="H1510" s="1292">
        <f t="shared" ref="H1510:Q1510" si="287">H$206*H$7</f>
        <v>0</v>
      </c>
      <c r="I1510" s="1292">
        <f t="shared" si="287"/>
        <v>0</v>
      </c>
      <c r="J1510" s="1292">
        <f t="shared" si="287"/>
        <v>0</v>
      </c>
      <c r="K1510" s="1292">
        <f t="shared" si="287"/>
        <v>0</v>
      </c>
      <c r="L1510" s="1292">
        <f t="shared" si="287"/>
        <v>0</v>
      </c>
      <c r="M1510" s="1292">
        <f t="shared" si="287"/>
        <v>0</v>
      </c>
      <c r="N1510" s="1292">
        <f t="shared" si="287"/>
        <v>0</v>
      </c>
      <c r="O1510" s="1292">
        <f t="shared" si="287"/>
        <v>0</v>
      </c>
      <c r="P1510" s="1292">
        <f t="shared" si="287"/>
        <v>0</v>
      </c>
      <c r="Q1510" s="1292">
        <f t="shared" si="287"/>
        <v>0</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0</v>
      </c>
      <c r="H1512" s="1292">
        <f t="shared" ref="H1512:Q1512" si="289">H$232*H$7</f>
        <v>0</v>
      </c>
      <c r="I1512" s="1292">
        <f t="shared" si="289"/>
        <v>0</v>
      </c>
      <c r="J1512" s="1292">
        <f t="shared" si="289"/>
        <v>0</v>
      </c>
      <c r="K1512" s="1292">
        <f t="shared" si="289"/>
        <v>0</v>
      </c>
      <c r="L1512" s="1292">
        <f t="shared" si="289"/>
        <v>0</v>
      </c>
      <c r="M1512" s="1292">
        <f t="shared" si="289"/>
        <v>0</v>
      </c>
      <c r="N1512" s="1292">
        <f t="shared" si="289"/>
        <v>0</v>
      </c>
      <c r="O1512" s="1292">
        <f t="shared" si="289"/>
        <v>0</v>
      </c>
      <c r="P1512" s="1292">
        <f t="shared" si="289"/>
        <v>0</v>
      </c>
      <c r="Q1512" s="1292">
        <f t="shared" si="289"/>
        <v>0</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0</v>
      </c>
      <c r="H1513" s="1292">
        <f t="shared" ref="H1513:Q1513" si="290">H$245*H$7</f>
        <v>0</v>
      </c>
      <c r="I1513" s="1292">
        <f t="shared" si="290"/>
        <v>0</v>
      </c>
      <c r="J1513" s="1292">
        <f t="shared" si="290"/>
        <v>0</v>
      </c>
      <c r="K1513" s="1292">
        <f t="shared" si="290"/>
        <v>0</v>
      </c>
      <c r="L1513" s="1292">
        <f t="shared" si="290"/>
        <v>0</v>
      </c>
      <c r="M1513" s="1292">
        <f t="shared" si="290"/>
        <v>0</v>
      </c>
      <c r="N1513" s="1292">
        <f t="shared" si="290"/>
        <v>0</v>
      </c>
      <c r="O1513" s="1292">
        <f t="shared" si="290"/>
        <v>0</v>
      </c>
      <c r="P1513" s="1292">
        <f t="shared" si="290"/>
        <v>0</v>
      </c>
      <c r="Q1513" s="1292">
        <f t="shared" si="290"/>
        <v>0</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v>
      </c>
      <c r="J1514" s="1292">
        <f t="shared" si="291"/>
        <v>0</v>
      </c>
      <c r="K1514" s="1292">
        <f t="shared" si="291"/>
        <v>0</v>
      </c>
      <c r="L1514" s="1292">
        <f t="shared" si="291"/>
        <v>0</v>
      </c>
      <c r="M1514" s="1292">
        <f t="shared" si="291"/>
        <v>0</v>
      </c>
      <c r="N1514" s="1292">
        <f t="shared" si="291"/>
        <v>0</v>
      </c>
      <c r="O1514" s="1292">
        <f t="shared" si="291"/>
        <v>0</v>
      </c>
      <c r="P1514" s="1292">
        <f t="shared" si="291"/>
        <v>0</v>
      </c>
      <c r="Q1514" s="1292">
        <f t="shared" si="291"/>
        <v>0</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-1.276606203765439E-2</v>
      </c>
      <c r="H1515" s="1292">
        <f t="shared" ref="H1515:Q1515" si="292">H$271*H$7</f>
        <v>-1.5816407354599844E-2</v>
      </c>
      <c r="I1515" s="1292">
        <f t="shared" si="292"/>
        <v>-3.3915751727074533E-2</v>
      </c>
      <c r="J1515" s="1292">
        <f t="shared" si="292"/>
        <v>-4.1729651559586661E-2</v>
      </c>
      <c r="K1515" s="1292">
        <f t="shared" si="292"/>
        <v>-4.6115995620615559E-2</v>
      </c>
      <c r="L1515" s="1292">
        <f t="shared" si="292"/>
        <v>-3.5719000014090868E-2</v>
      </c>
      <c r="M1515" s="1292">
        <f t="shared" si="292"/>
        <v>-5.6263771994503803E-2</v>
      </c>
      <c r="N1515" s="1292">
        <f t="shared" si="292"/>
        <v>-6.194022761331465E-2</v>
      </c>
      <c r="O1515" s="1292">
        <f t="shared" si="292"/>
        <v>-6.5518109027606755E-2</v>
      </c>
      <c r="P1515" s="1292">
        <f t="shared" si="292"/>
        <v>-7.939517946402419E-2</v>
      </c>
      <c r="Q1515" s="1292">
        <f t="shared" si="292"/>
        <v>-0.10076189102909795</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-0.25152231925337126</v>
      </c>
      <c r="H1517" s="1292">
        <f t="shared" ref="H1517:Q1517" si="294">H$297*H$7</f>
        <v>-0.25446839940649163</v>
      </c>
      <c r="I1517" s="1292">
        <f t="shared" si="294"/>
        <v>-0.26363576765936936</v>
      </c>
      <c r="J1517" s="1292">
        <f t="shared" si="294"/>
        <v>-0.26674084400308601</v>
      </c>
      <c r="K1517" s="1292">
        <f t="shared" si="294"/>
        <v>-0.2731171191585382</v>
      </c>
      <c r="L1517" s="1292">
        <f t="shared" si="294"/>
        <v>-0.28135314123433075</v>
      </c>
      <c r="M1517" s="1292">
        <f t="shared" si="294"/>
        <v>-0.2856039913379656</v>
      </c>
      <c r="N1517" s="1292">
        <f t="shared" si="294"/>
        <v>-0.28852645078421452</v>
      </c>
      <c r="O1517" s="1292">
        <f t="shared" si="294"/>
        <v>-0.29410569154523519</v>
      </c>
      <c r="P1517" s="1292">
        <f t="shared" si="294"/>
        <v>-0.30021628856921029</v>
      </c>
      <c r="Q1517" s="1292">
        <f t="shared" si="294"/>
        <v>-0.3049984949357995</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1.1179741549160913</v>
      </c>
      <c r="H1555" s="80">
        <f t="shared" ref="H1555:Q1555" si="331">SUM(H1556:H1605)</f>
        <v>1.344187590572798</v>
      </c>
      <c r="I1555" s="80">
        <f t="shared" si="331"/>
        <v>0.44703005419280267</v>
      </c>
      <c r="J1555" s="80">
        <f t="shared" si="331"/>
        <v>0.90576351952358036</v>
      </c>
      <c r="K1555" s="80">
        <f t="shared" si="331"/>
        <v>1.1553658949025745</v>
      </c>
      <c r="L1555" s="80">
        <f t="shared" si="331"/>
        <v>0.58331378007040535</v>
      </c>
      <c r="M1555" s="80">
        <f t="shared" si="331"/>
        <v>0.39427517132353224</v>
      </c>
      <c r="N1555" s="80">
        <f t="shared" si="331"/>
        <v>0.73703400945943565</v>
      </c>
      <c r="O1555" s="80">
        <f t="shared" si="331"/>
        <v>0.79110733409934764</v>
      </c>
      <c r="P1555" s="80">
        <f t="shared" si="331"/>
        <v>0.6059361983185475</v>
      </c>
      <c r="Q1555" s="80">
        <f t="shared" si="331"/>
        <v>-0.13189402769474748</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1.0221133624435481</v>
      </c>
      <c r="H1556" s="1292">
        <f>H1190*H$6</f>
        <v>1.2368363723494937</v>
      </c>
      <c r="I1556" s="1292">
        <f>I1190*I$6</f>
        <v>0.41298382330877664</v>
      </c>
      <c r="J1556" s="1292">
        <f>J1190*J$6</f>
        <v>0.83556255614932595</v>
      </c>
      <c r="K1556" s="1292">
        <f>IF(COUNT($H1556:J1556)&gt;='RFM input'!$AA$7,0,K1190*K$6)</f>
        <v>1.0737172187558246</v>
      </c>
      <c r="L1556" s="1292">
        <f>IF(COUNT($H1556:K1556)&gt;='RFM input'!$AA$7,0,L1190*L$6)</f>
        <v>0.54592535259560482</v>
      </c>
      <c r="M1556" s="1292">
        <f>IF(COUNT($H1556:L1556)&gt;='RFM input'!$AA$7,0,M1190*M$6)</f>
        <v>0.37096824498953285</v>
      </c>
      <c r="N1556" s="1292">
        <f>IF(COUNT($H1556:M1556)&gt;='RFM input'!$AA$7,0,N1190*N$6)</f>
        <v>0.69713512212459472</v>
      </c>
      <c r="O1556" s="1292">
        <f>IF(COUNT($H1556:N1556)&gt;='RFM input'!$AA$7,0,O1190*O$6)</f>
        <v>0.75150537000143436</v>
      </c>
      <c r="P1556" s="1292">
        <f>IF(COUNT($H1556:O1556)&gt;='RFM input'!$AA$7,0,P1190*P$6)</f>
        <v>0.57873815732902911</v>
      </c>
      <c r="Q1556" s="1292">
        <f>IF(COUNT($H1556:P1556)&gt;='RFM input'!$AA$7,0,Q1190*Q$6)</f>
        <v>-0.12651040898614627</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v>
      </c>
      <c r="H1557" s="1292">
        <f t="shared" si="332"/>
        <v>0</v>
      </c>
      <c r="I1557" s="1292">
        <f t="shared" si="332"/>
        <v>0</v>
      </c>
      <c r="J1557" s="1292">
        <f t="shared" si="332"/>
        <v>0</v>
      </c>
      <c r="K1557" s="1292">
        <f>IF(COUNT($H1557:J1557)&gt;='RFM input'!$AA$7,0,K1191*K$6)</f>
        <v>0</v>
      </c>
      <c r="L1557" s="1292">
        <f>IF(COUNT($H1557:K1557)&gt;='RFM input'!$AA$7,0,L1191*L$6)</f>
        <v>0</v>
      </c>
      <c r="M1557" s="1292">
        <f>IF(COUNT($H1557:L1557)&gt;='RFM input'!$AA$7,0,M1191*M$6)</f>
        <v>0</v>
      </c>
      <c r="N1557" s="1292">
        <f>IF(COUNT($H1557:M1557)&gt;='RFM input'!$AA$7,0,N1191*N$6)</f>
        <v>0</v>
      </c>
      <c r="O1557" s="1292">
        <f>IF(COUNT($H1557:N1557)&gt;='RFM input'!$AA$7,0,O1191*O$6)</f>
        <v>0</v>
      </c>
      <c r="P1557" s="1292">
        <f>IF(COUNT($H1557:O1557)&gt;='RFM input'!$AA$7,0,P1191*P$6)</f>
        <v>0</v>
      </c>
      <c r="Q1557" s="1292">
        <f>IF(COUNT($H1557:P1557)&gt;='RFM input'!$AA$7,0,Q1191*Q$6)</f>
        <v>0</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0</v>
      </c>
      <c r="H1558" s="1292">
        <f t="shared" si="332"/>
        <v>0</v>
      </c>
      <c r="I1558" s="1292">
        <f t="shared" si="332"/>
        <v>0</v>
      </c>
      <c r="J1558" s="1292">
        <f t="shared" si="332"/>
        <v>0</v>
      </c>
      <c r="K1558" s="1292">
        <f>IF(COUNT($H1558:J1558)&gt;='RFM input'!$AA$7,0,K1192*K$6)</f>
        <v>0</v>
      </c>
      <c r="L1558" s="1292">
        <f>IF(COUNT($H1558:K1558)&gt;='RFM input'!$AA$7,0,L1192*L$6)</f>
        <v>0</v>
      </c>
      <c r="M1558" s="1292">
        <f>IF(COUNT($H1558:L1558)&gt;='RFM input'!$AA$7,0,M1192*M$6)</f>
        <v>0</v>
      </c>
      <c r="N1558" s="1292">
        <f>IF(COUNT($H1558:M1558)&gt;='RFM input'!$AA$7,0,N1192*N$6)</f>
        <v>0</v>
      </c>
      <c r="O1558" s="1292">
        <f>IF(COUNT($H1558:N1558)&gt;='RFM input'!$AA$7,0,O1192*O$6)</f>
        <v>0</v>
      </c>
      <c r="P1558" s="1292">
        <f>IF(COUNT($H1558:O1558)&gt;='RFM input'!$AA$7,0,P1192*P$6)</f>
        <v>0</v>
      </c>
      <c r="Q1558" s="1292">
        <f>IF(COUNT($H1558:P1558)&gt;='RFM input'!$AA$7,0,Q1192*Q$6)</f>
        <v>0</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1.3420639321429348E-2</v>
      </c>
      <c r="H1559" s="1292">
        <f t="shared" si="332"/>
        <v>1.5967175560331167E-2</v>
      </c>
      <c r="I1559" s="1292">
        <f t="shared" si="332"/>
        <v>5.291719675299583E-3</v>
      </c>
      <c r="J1559" s="1292">
        <f t="shared" si="332"/>
        <v>1.0621545582591813E-2</v>
      </c>
      <c r="K1559" s="1292">
        <f>IF(COUNT($H1559:J1559)&gt;='RFM input'!$AA$7,0,K1193*K$6)</f>
        <v>1.3406783072115666E-2</v>
      </c>
      <c r="L1559" s="1292">
        <f>IF(COUNT($H1559:K1559)&gt;='RFM input'!$AA$7,0,L1193*L$6)</f>
        <v>6.7592089778417104E-3</v>
      </c>
      <c r="M1559" s="1292">
        <f>IF(COUNT($H1559:L1559)&gt;='RFM input'!$AA$7,0,M1193*M$6)</f>
        <v>4.5350319077686026E-3</v>
      </c>
      <c r="N1559" s="1292">
        <f>IF(COUNT($H1559:M1559)&gt;='RFM input'!$AA$7,0,N1193*N$6)</f>
        <v>8.4430832649058513E-3</v>
      </c>
      <c r="O1559" s="1292">
        <f>IF(COUNT($H1559:N1559)&gt;='RFM input'!$AA$7,0,O1193*O$6)</f>
        <v>9.0141337492249396E-3</v>
      </c>
      <c r="P1559" s="1292">
        <f>IF(COUNT($H1559:O1559)&gt;='RFM input'!$AA$7,0,P1193*P$6)</f>
        <v>6.8724076681239629E-3</v>
      </c>
      <c r="Q1559" s="1292">
        <f>IF(COUNT($H1559:P1559)&gt;='RFM input'!$AA$7,0,Q1193*Q$6)</f>
        <v>-1.4865348464400648E-3</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6.7924223973978232E-3</v>
      </c>
      <c r="K1560" s="1292">
        <f>IF(COUNT($H1560:J1560)&gt;='RFM input'!$AA$7,0,K1194*K$6)</f>
        <v>8.6651751311875042E-3</v>
      </c>
      <c r="L1560" s="1292">
        <f>IF(COUNT($H1560:K1560)&gt;='RFM input'!$AA$7,0,L1194*L$6)</f>
        <v>4.4167547285998594E-3</v>
      </c>
      <c r="M1560" s="1292">
        <f>IF(COUNT($H1560:L1560)&gt;='RFM input'!$AA$7,0,M1194*M$6)</f>
        <v>2.9977316403535055E-3</v>
      </c>
      <c r="N1560" s="1292">
        <f>IF(COUNT($H1560:M1560)&gt;='RFM input'!$AA$7,0,N1194*N$6)</f>
        <v>5.6485364584886594E-3</v>
      </c>
      <c r="O1560" s="1292">
        <f>IF(COUNT($H1560:N1560)&gt;='RFM input'!$AA$7,0,O1194*O$6)</f>
        <v>6.1057281504527071E-3</v>
      </c>
      <c r="P1560" s="1292">
        <f>IF(COUNT($H1560:O1560)&gt;='RFM input'!$AA$7,0,P1194*P$6)</f>
        <v>4.7152783652848361E-3</v>
      </c>
      <c r="Q1560" s="1292">
        <f>IF(COUNT($H1560:P1560)&gt;='RFM input'!$AA$7,0,Q1194*Q$6)</f>
        <v>-1.0337465802174426E-3</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2.4532487545253913E-4</v>
      </c>
      <c r="H1561" s="1292">
        <f t="shared" si="332"/>
        <v>2.6524564197719303E-4</v>
      </c>
      <c r="I1561" s="1292">
        <f t="shared" si="332"/>
        <v>7.8670580926392213E-5</v>
      </c>
      <c r="J1561" s="1292">
        <f t="shared" si="332"/>
        <v>1.3806131322322116E-4</v>
      </c>
      <c r="K1561" s="1292">
        <f>IF(COUNT($H1561:J1561)&gt;='RFM input'!$AA$7,0,K1195*K$6)</f>
        <v>1.4834888811112129E-4</v>
      </c>
      <c r="L1561" s="1292">
        <f>IF(COUNT($H1561:K1561)&gt;='RFM input'!$AA$7,0,L1195*L$6)</f>
        <v>6.1187359221680324E-5</v>
      </c>
      <c r="M1561" s="1292">
        <f>IF(COUNT($H1561:L1561)&gt;='RFM input'!$AA$7,0,M1195*M$6)</f>
        <v>3.1335957159615121E-5</v>
      </c>
      <c r="N1561" s="1292">
        <f>IF(COUNT($H1561:M1561)&gt;='RFM input'!$AA$7,0,N1195*N$6)</f>
        <v>3.9239098009291243E-5</v>
      </c>
      <c r="O1561" s="1292">
        <f>IF(COUNT($H1561:N1561)&gt;='RFM input'!$AA$7,0,O1195*O$6)</f>
        <v>2.4658556449468779E-3</v>
      </c>
      <c r="P1561" s="1292">
        <f>IF(COUNT($H1561:O1561)&gt;='RFM input'!$AA$7,0,P1195*P$6)</f>
        <v>2.7096052642845273E-3</v>
      </c>
      <c r="Q1561" s="1292">
        <f>IF(COUNT($H1561:P1561)&gt;='RFM input'!$AA$7,0,Q1195*Q$6)</f>
        <v>-8.9798434615216487E-4</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v>
      </c>
      <c r="H1562" s="1292">
        <f t="shared" si="332"/>
        <v>0</v>
      </c>
      <c r="I1562" s="1292">
        <f t="shared" si="332"/>
        <v>0</v>
      </c>
      <c r="J1562" s="1292">
        <f t="shared" si="332"/>
        <v>0</v>
      </c>
      <c r="K1562" s="1292">
        <f>IF(COUNT($H1562:J1562)&gt;='RFM input'!$AA$7,0,K1196*K$6)</f>
        <v>0</v>
      </c>
      <c r="L1562" s="1292">
        <f>IF(COUNT($H1562:K1562)&gt;='RFM input'!$AA$7,0,L1196*L$6)</f>
        <v>0</v>
      </c>
      <c r="M1562" s="1292">
        <f>IF(COUNT($H1562:L1562)&gt;='RFM input'!$AA$7,0,M1196*M$6)</f>
        <v>0</v>
      </c>
      <c r="N1562" s="1292">
        <f>IF(COUNT($H1562:M1562)&gt;='RFM input'!$AA$7,0,N1196*N$6)</f>
        <v>0</v>
      </c>
      <c r="O1562" s="1292">
        <f>IF(COUNT($H1562:N1562)&gt;='RFM input'!$AA$7,0,O1196*O$6)</f>
        <v>0</v>
      </c>
      <c r="P1562" s="1292">
        <f>IF(COUNT($H1562:O1562)&gt;='RFM input'!$AA$7,0,P1196*P$6)</f>
        <v>0</v>
      </c>
      <c r="Q1562" s="1292">
        <f>IF(COUNT($H1562:P1562)&gt;='RFM input'!$AA$7,0,Q1196*Q$6)</f>
        <v>0</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0</v>
      </c>
      <c r="H1563" s="1292">
        <f t="shared" si="332"/>
        <v>0</v>
      </c>
      <c r="I1563" s="1292">
        <f t="shared" si="332"/>
        <v>0</v>
      </c>
      <c r="J1563" s="1292">
        <f t="shared" si="332"/>
        <v>0</v>
      </c>
      <c r="K1563" s="1292">
        <f>IF(COUNT($H1563:J1563)&gt;='RFM input'!$AA$7,0,K1197*K$6)</f>
        <v>0</v>
      </c>
      <c r="L1563" s="1292">
        <f>IF(COUNT($H1563:K1563)&gt;='RFM input'!$AA$7,0,L1197*L$6)</f>
        <v>0</v>
      </c>
      <c r="M1563" s="1292">
        <f>IF(COUNT($H1563:L1563)&gt;='RFM input'!$AA$7,0,M1197*M$6)</f>
        <v>0</v>
      </c>
      <c r="N1563" s="1292">
        <f>IF(COUNT($H1563:M1563)&gt;='RFM input'!$AA$7,0,N1197*N$6)</f>
        <v>0</v>
      </c>
      <c r="O1563" s="1292">
        <f>IF(COUNT($H1563:N1563)&gt;='RFM input'!$AA$7,0,O1197*O$6)</f>
        <v>0</v>
      </c>
      <c r="P1563" s="1292">
        <f>IF(COUNT($H1563:O1563)&gt;='RFM input'!$AA$7,0,P1197*P$6)</f>
        <v>0</v>
      </c>
      <c r="Q1563" s="1292">
        <f>IF(COUNT($H1563:P1563)&gt;='RFM input'!$AA$7,0,Q1197*Q$6)</f>
        <v>0</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0</v>
      </c>
      <c r="H1564" s="1292">
        <f t="shared" si="332"/>
        <v>0</v>
      </c>
      <c r="I1564" s="1292">
        <f t="shared" si="332"/>
        <v>0</v>
      </c>
      <c r="J1564" s="1292">
        <f t="shared" si="332"/>
        <v>0</v>
      </c>
      <c r="K1564" s="1292">
        <f>IF(COUNT($H1564:J1564)&gt;='RFM input'!$AA$7,0,K1198*K$6)</f>
        <v>0</v>
      </c>
      <c r="L1564" s="1292">
        <f>IF(COUNT($H1564:K1564)&gt;='RFM input'!$AA$7,0,L1198*L$6)</f>
        <v>0</v>
      </c>
      <c r="M1564" s="1292">
        <f>IF(COUNT($H1564:L1564)&gt;='RFM input'!$AA$7,0,M1198*M$6)</f>
        <v>0</v>
      </c>
      <c r="N1564" s="1292">
        <f>IF(COUNT($H1564:M1564)&gt;='RFM input'!$AA$7,0,N1198*N$6)</f>
        <v>0</v>
      </c>
      <c r="O1564" s="1292">
        <f>IF(COUNT($H1564:N1564)&gt;='RFM input'!$AA$7,0,O1198*O$6)</f>
        <v>0</v>
      </c>
      <c r="P1564" s="1292">
        <f>IF(COUNT($H1564:O1564)&gt;='RFM input'!$AA$7,0,P1198*P$6)</f>
        <v>0</v>
      </c>
      <c r="Q1564" s="1292">
        <f>IF(COUNT($H1564:P1564)&gt;='RFM input'!$AA$7,0,Q1198*Q$6)</f>
        <v>0</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0</v>
      </c>
      <c r="H1565" s="1292">
        <f t="shared" si="332"/>
        <v>0</v>
      </c>
      <c r="I1565" s="1292">
        <f t="shared" si="332"/>
        <v>0</v>
      </c>
      <c r="J1565" s="1292">
        <f t="shared" si="332"/>
        <v>0</v>
      </c>
      <c r="K1565" s="1292">
        <f>IF(COUNT($H1565:J1565)&gt;='RFM input'!$AA$7,0,K1199*K$6)</f>
        <v>0</v>
      </c>
      <c r="L1565" s="1292">
        <f>IF(COUNT($H1565:K1565)&gt;='RFM input'!$AA$7,0,L1199*L$6)</f>
        <v>0</v>
      </c>
      <c r="M1565" s="1292">
        <f>IF(COUNT($H1565:L1565)&gt;='RFM input'!$AA$7,0,M1199*M$6)</f>
        <v>0</v>
      </c>
      <c r="N1565" s="1292">
        <f>IF(COUNT($H1565:M1565)&gt;='RFM input'!$AA$7,0,N1199*N$6)</f>
        <v>0</v>
      </c>
      <c r="O1565" s="1292">
        <f>IF(COUNT($H1565:N1565)&gt;='RFM input'!$AA$7,0,O1199*O$6)</f>
        <v>0</v>
      </c>
      <c r="P1565" s="1292">
        <f>IF(COUNT($H1565:O1565)&gt;='RFM input'!$AA$7,0,P1199*P$6)</f>
        <v>0</v>
      </c>
      <c r="Q1565" s="1292">
        <f>IF(COUNT($H1565:P1565)&gt;='RFM input'!$AA$7,0,Q1199*Q$6)</f>
        <v>0</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v>
      </c>
      <c r="J1566" s="1292">
        <f t="shared" si="332"/>
        <v>0</v>
      </c>
      <c r="K1566" s="1292">
        <f>IF(COUNT($H1566:J1566)&gt;='RFM input'!$AA$7,0,K1200*K$6)</f>
        <v>0</v>
      </c>
      <c r="L1566" s="1292">
        <f>IF(COUNT($H1566:K1566)&gt;='RFM input'!$AA$7,0,L1200*L$6)</f>
        <v>0</v>
      </c>
      <c r="M1566" s="1292">
        <f>IF(COUNT($H1566:L1566)&gt;='RFM input'!$AA$7,0,M1200*M$6)</f>
        <v>0</v>
      </c>
      <c r="N1566" s="1292">
        <f>IF(COUNT($H1566:M1566)&gt;='RFM input'!$AA$7,0,N1200*N$6)</f>
        <v>0</v>
      </c>
      <c r="O1566" s="1292">
        <f>IF(COUNT($H1566:N1566)&gt;='RFM input'!$AA$7,0,O1200*O$6)</f>
        <v>0</v>
      </c>
      <c r="P1566" s="1292">
        <f>IF(COUNT($H1566:O1566)&gt;='RFM input'!$AA$7,0,P1200*P$6)</f>
        <v>0</v>
      </c>
      <c r="Q1566" s="1292">
        <f>IF(COUNT($H1566:P1566)&gt;='RFM input'!$AA$7,0,Q1200*Q$6)</f>
        <v>0</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1.5666991325445901E-3</v>
      </c>
      <c r="H1567" s="1292">
        <f t="shared" si="332"/>
        <v>2.161521128620226E-3</v>
      </c>
      <c r="I1567" s="1292">
        <f t="shared" si="332"/>
        <v>1.5422543812514233E-3</v>
      </c>
      <c r="J1567" s="1292">
        <f t="shared" si="332"/>
        <v>3.2321572251202868E-3</v>
      </c>
      <c r="K1567" s="1292">
        <f>IF(COUNT($H1567:J1567)&gt;='RFM input'!$AA$7,0,K1201*K$6)</f>
        <v>3.6421070211993794E-3</v>
      </c>
      <c r="L1567" s="1292">
        <f>IF(COUNT($H1567:K1567)&gt;='RFM input'!$AA$7,0,L1201*L$6)</f>
        <v>1.4847823702156203E-3</v>
      </c>
      <c r="M1567" s="1292">
        <f>IF(COUNT($H1567:L1567)&gt;='RFM input'!$AA$7,0,M1201*M$6)</f>
        <v>1.6635745523800266E-3</v>
      </c>
      <c r="N1567" s="1292">
        <f>IF(COUNT($H1567:M1567)&gt;='RFM input'!$AA$7,0,N1201*N$6)</f>
        <v>4.4121851001533777E-3</v>
      </c>
      <c r="O1567" s="1292">
        <f>IF(COUNT($H1567:N1567)&gt;='RFM input'!$AA$7,0,O1201*O$6)</f>
        <v>4.6211911303591282E-3</v>
      </c>
      <c r="P1567" s="1292">
        <f>IF(COUNT($H1567:O1567)&gt;='RFM input'!$AA$7,0,P1201*P$6)</f>
        <v>3.9720974793333213E-3</v>
      </c>
      <c r="Q1567" s="1292">
        <f>IF(COUNT($H1567:P1567)&gt;='RFM input'!$AA$7,0,Q1201*Q$6)</f>
        <v>-1.0272577856377213E-3</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8.0628129143116761E-2</v>
      </c>
      <c r="H1569" s="1292">
        <f t="shared" si="332"/>
        <v>8.895727589237562E-2</v>
      </c>
      <c r="I1569" s="1292">
        <f t="shared" si="332"/>
        <v>2.7133586246548651E-2</v>
      </c>
      <c r="J1569" s="1292">
        <f t="shared" si="332"/>
        <v>4.9416776855921281E-2</v>
      </c>
      <c r="K1569" s="1292">
        <f>IF(COUNT($H1569:J1569)&gt;='RFM input'!$AA$7,0,K1203*K$6)</f>
        <v>5.5786262034136266E-2</v>
      </c>
      <c r="L1569" s="1292">
        <f>IF(COUNT($H1569:K1569)&gt;='RFM input'!$AA$7,0,L1203*L$6)</f>
        <v>2.4666494038921714E-2</v>
      </c>
      <c r="M1569" s="1292">
        <f>IF(COUNT($H1569:L1569)&gt;='RFM input'!$AA$7,0,M1203*M$6)</f>
        <v>1.4079252276337662E-2</v>
      </c>
      <c r="N1569" s="1292">
        <f>IF(COUNT($H1569:M1569)&gt;='RFM input'!$AA$7,0,N1203*N$6)</f>
        <v>2.1355843413283806E-2</v>
      </c>
      <c r="O1569" s="1292">
        <f>IF(COUNT($H1569:N1569)&gt;='RFM input'!$AA$7,0,O1203*O$6)</f>
        <v>1.7395055422929611E-2</v>
      </c>
      <c r="P1569" s="1292">
        <f>IF(COUNT($H1569:O1569)&gt;='RFM input'!$AA$7,0,P1203*P$6)</f>
        <v>8.9286522124917538E-3</v>
      </c>
      <c r="Q1569" s="1292">
        <f>IF(COUNT($H1569:P1569)&gt;='RFM input'!$AA$7,0,Q1203*Q$6)</f>
        <v>-9.3809515015382569E-4</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Central West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36.608173308036676</v>
      </c>
      <c r="H7" s="1322">
        <f t="shared" ref="H7:Q7" si="1">SUM(H8:H57)</f>
        <v>37.312045860899651</v>
      </c>
      <c r="I7" s="1322">
        <f t="shared" si="1"/>
        <v>37.954980315512621</v>
      </c>
      <c r="J7" s="1322">
        <f t="shared" si="1"/>
        <v>37.891107233403147</v>
      </c>
      <c r="K7" s="1322">
        <f t="shared" si="1"/>
        <v>38.313423869672327</v>
      </c>
      <c r="L7" s="1322">
        <f t="shared" si="1"/>
        <v>38.608080818410215</v>
      </c>
      <c r="M7" s="1322">
        <f t="shared" si="1"/>
        <v>38.531437197527218</v>
      </c>
      <c r="N7" s="1322">
        <f t="shared" si="1"/>
        <v>38.115187346330806</v>
      </c>
      <c r="O7" s="1322">
        <f t="shared" si="1"/>
        <v>38.07633994991194</v>
      </c>
      <c r="P7" s="1322">
        <f t="shared" si="1"/>
        <v>38.039328005553102</v>
      </c>
      <c r="Q7" s="1322">
        <f t="shared" si="1"/>
        <v>37.853585948392841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33.469202260406348</v>
      </c>
      <c r="H8" s="1292">
        <f t="shared" ref="H8:H37" si="2">G8+G60+G112+G164+G216+G268</f>
        <v>34.332183819572137</v>
      </c>
      <c r="I8" s="1292">
        <f t="shared" ref="I8:I37" si="3">H8+H60+H112</f>
        <v>35.064293188549847</v>
      </c>
      <c r="J8" s="1292">
        <f>IF(COUNT($H8:I8)&gt;='RFM input'!$AA$7,0,I8+I60+I112)</f>
        <v>34.954366932246835</v>
      </c>
      <c r="K8" s="1292">
        <f>IF(COUNT($H8:J8)&gt;='RFM input'!$AA$7,0,J8+J60+J112)</f>
        <v>35.605848415515595</v>
      </c>
      <c r="L8" s="1292">
        <f>IF(COUNT($H8:K8)&gt;='RFM input'!$AA$7,0,K8+K60+K112)</f>
        <v>36.133434274921839</v>
      </c>
      <c r="M8" s="1292">
        <f>IF(COUNT($H8:L8)&gt;='RFM input'!$AA$7,0,L8+L60+L112)</f>
        <v>36.253714851249988</v>
      </c>
      <c r="N8" s="1292">
        <f>IF(COUNT($H8:M8)&gt;='RFM input'!$AA$7,0,M8+M60+M112)</f>
        <v>36.051844887014745</v>
      </c>
      <c r="O8" s="1292">
        <f>IF(COUNT($H8:N8)&gt;='RFM input'!$AA$7,0,N8+N60+N112)</f>
        <v>36.170280199634121</v>
      </c>
      <c r="P8" s="1292">
        <f>IF(COUNT($H8:O8)&gt;='RFM input'!$AA$7,0,O8+O60+O112)</f>
        <v>36.331895432322227</v>
      </c>
      <c r="Q8" s="1292">
        <f>IF(COUNT($H8:P8)&gt;='RFM input'!$AA$7,0,P8+P60+P112)</f>
        <v>36.308487379024278</v>
      </c>
      <c r="R8" s="1292"/>
      <c r="S8" s="3"/>
      <c r="T8" s="3"/>
      <c r="U8" s="3"/>
      <c r="V8" s="3"/>
      <c r="W8" s="3"/>
      <c r="X8" s="3"/>
      <c r="Y8" s="3"/>
      <c r="Z8" s="3"/>
      <c r="AA8" s="170"/>
    </row>
    <row r="9" spans="1:27" hidden="1" outlineLevel="1">
      <c r="A9" s="3"/>
      <c r="B9" s="3"/>
      <c r="C9" s="29"/>
      <c r="D9" s="151" t="str">
        <f>Asset2</f>
        <v>Compressors</v>
      </c>
      <c r="E9" s="3"/>
      <c r="F9" s="3"/>
      <c r="G9" s="1291">
        <f>'Capital base roll forward'!G771</f>
        <v>0</v>
      </c>
      <c r="H9" s="1292">
        <f t="shared" si="2"/>
        <v>0</v>
      </c>
      <c r="I9" s="1292">
        <f t="shared" si="3"/>
        <v>0</v>
      </c>
      <c r="J9" s="1292">
        <f>IF(COUNT($H9:I9)&gt;='RFM input'!$AA$7,0,I9+I61+I113)</f>
        <v>0</v>
      </c>
      <c r="K9" s="1292">
        <f>IF(COUNT($H9:J9)&gt;='RFM input'!$AA$7,0,J9+J61+J113)</f>
        <v>0</v>
      </c>
      <c r="L9" s="1292">
        <f>IF(COUNT($H9:K9)&gt;='RFM input'!$AA$7,0,K9+K61+K113)</f>
        <v>0</v>
      </c>
      <c r="M9" s="1292">
        <f>IF(COUNT($H9:L9)&gt;='RFM input'!$AA$7,0,L9+L61+L113)</f>
        <v>0</v>
      </c>
      <c r="N9" s="1292">
        <f>IF(COUNT($H9:M9)&gt;='RFM input'!$AA$7,0,M9+M61+M113)</f>
        <v>0</v>
      </c>
      <c r="O9" s="1292">
        <f>IF(COUNT($H9:N9)&gt;='RFM input'!$AA$7,0,N9+N61+N113)</f>
        <v>0</v>
      </c>
      <c r="P9" s="1292">
        <f>IF(COUNT($H9:O9)&gt;='RFM input'!$AA$7,0,O9+O61+O113)</f>
        <v>0</v>
      </c>
      <c r="Q9" s="1292">
        <f>IF(COUNT($H9:P9)&gt;='RFM input'!$AA$7,0,P9+P61+P113)</f>
        <v>0</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0</v>
      </c>
      <c r="H10" s="1292">
        <f t="shared" si="2"/>
        <v>0</v>
      </c>
      <c r="I10" s="1292">
        <f t="shared" si="3"/>
        <v>0</v>
      </c>
      <c r="J10" s="1292">
        <f>IF(COUNT($H10:I10)&gt;='RFM input'!$AA$7,0,I10+I62+I114)</f>
        <v>0</v>
      </c>
      <c r="K10" s="1292">
        <f>IF(COUNT($H10:J10)&gt;='RFM input'!$AA$7,0,J10+J62+J114)</f>
        <v>0</v>
      </c>
      <c r="L10" s="1292">
        <f>IF(COUNT($H10:K10)&gt;='RFM input'!$AA$7,0,K10+K62+K114)</f>
        <v>0</v>
      </c>
      <c r="M10" s="1292">
        <f>IF(COUNT($H10:L10)&gt;='RFM input'!$AA$7,0,L10+L62+L114)</f>
        <v>0</v>
      </c>
      <c r="N10" s="1292">
        <f>IF(COUNT($H10:M10)&gt;='RFM input'!$AA$7,0,M10+M62+M114)</f>
        <v>0</v>
      </c>
      <c r="O10" s="1292">
        <f>IF(COUNT($H10:N10)&gt;='RFM input'!$AA$7,0,N10+N62+N114)</f>
        <v>0</v>
      </c>
      <c r="P10" s="1292">
        <f>IF(COUNT($H10:O10)&gt;='RFM input'!$AA$7,0,O10+O62+O114)</f>
        <v>0</v>
      </c>
      <c r="Q10" s="1292">
        <f>IF(COUNT($H10:P10)&gt;='RFM input'!$AA$7,0,P10+P62+P114)</f>
        <v>0</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0.43946015032915664</v>
      </c>
      <c r="H11" s="1292">
        <f t="shared" si="2"/>
        <v>0.44321788934403</v>
      </c>
      <c r="I11" s="1292">
        <f t="shared" si="3"/>
        <v>0.44929219909805385</v>
      </c>
      <c r="J11" s="1292">
        <f>IF(COUNT($H11:I11)&gt;='RFM input'!$AA$7,0,I11+I63+I115)</f>
        <v>0.44433465687175788</v>
      </c>
      <c r="K11" s="1292">
        <f>IF(COUNT($H11:J11)&gt;='RFM input'!$AA$7,0,J11+J63+J115)</f>
        <v>0.44458622574628553</v>
      </c>
      <c r="L11" s="1292">
        <f>IF(COUNT($H11:K11)&gt;='RFM input'!$AA$7,0,K11+K63+K115)</f>
        <v>0.44737514422090124</v>
      </c>
      <c r="M11" s="1292">
        <f>IF(COUNT($H11:L11)&gt;='RFM input'!$AA$7,0,L11+L63+L115)</f>
        <v>0.44319630007738842</v>
      </c>
      <c r="N11" s="1292">
        <f>IF(COUNT($H11:M11)&gt;='RFM input'!$AA$7,0,M11+M63+M115)</f>
        <v>0.4366280202708453</v>
      </c>
      <c r="O11" s="1292">
        <f>IF(COUNT($H11:N11)&gt;='RFM input'!$AA$7,0,N11+N63+N115)</f>
        <v>0.43385417653878139</v>
      </c>
      <c r="P11" s="1292">
        <f>IF(COUNT($H11:O11)&gt;='RFM input'!$AA$7,0,O11+O63+O115)</f>
        <v>0.43143448138778023</v>
      </c>
      <c r="Q11" s="1292">
        <f>IF(COUNT($H11:P11)&gt;='RFM input'!$AA$7,0,P11+P63+P115)</f>
        <v>0.4266355009283021</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0.28414967029114252</v>
      </c>
      <c r="K12" s="1292">
        <f>IF(COUNT($H12:J12)&gt;='RFM input'!$AA$7,0,J12+J64+J116)</f>
        <v>0.28734838822131359</v>
      </c>
      <c r="L12" s="1292">
        <f>IF(COUNT($H12:K12)&gt;='RFM input'!$AA$7,0,K12+K64+K116)</f>
        <v>0.29233395359920522</v>
      </c>
      <c r="M12" s="1292">
        <f>IF(COUNT($H12:L12)&gt;='RFM input'!$AA$7,0,L12+L64+L116)</f>
        <v>0.29296013758000317</v>
      </c>
      <c r="N12" s="1292">
        <f>IF(COUNT($H12:M12)&gt;='RFM input'!$AA$7,0,M12+M64+M116)</f>
        <v>0.29211002828184202</v>
      </c>
      <c r="O12" s="1292">
        <f>IF(COUNT($H12:N12)&gt;='RFM input'!$AA$7,0,N12+N64+N116)</f>
        <v>0.29387135054570096</v>
      </c>
      <c r="P12" s="1292">
        <f>IF(COUNT($H12:O12)&gt;='RFM input'!$AA$7,0,O12+O64+O116)</f>
        <v>0.29601469737621344</v>
      </c>
      <c r="Q12" s="1292">
        <f>IF(COUNT($H12:P12)&gt;='RFM input'!$AA$7,0,P12+P64+P116)</f>
        <v>0.29668526852240845</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8.0331870981517634E-3</v>
      </c>
      <c r="H13" s="1292">
        <f t="shared" si="2"/>
        <v>7.3627056426249652E-3</v>
      </c>
      <c r="I13" s="1292">
        <f t="shared" si="3"/>
        <v>6.6795069424646159E-3</v>
      </c>
      <c r="J13" s="1292">
        <f>IF(COUNT($H13:I13)&gt;='RFM input'!$AA$7,0,I13+I65+I117)</f>
        <v>5.7755649365047569E-3</v>
      </c>
      <c r="K13" s="1292">
        <f>IF(COUNT($H13:J13)&gt;='RFM input'!$AA$7,0,J13+J65+J117)</f>
        <v>4.9194405476849067E-3</v>
      </c>
      <c r="L13" s="1292">
        <f>IF(COUNT($H13:K13)&gt;='RFM input'!$AA$7,0,K13+K65+K117)</f>
        <v>4.0498383384849944E-3</v>
      </c>
      <c r="M13" s="1292">
        <f>IF(COUNT($H13:L13)&gt;='RFM input'!$AA$7,0,L13+L65+L117)</f>
        <v>3.0623776315078571E-3</v>
      </c>
      <c r="N13" s="1292">
        <f>IF(COUNT($H13:M13)&gt;='RFM input'!$AA$7,0,M13+M65+M117)</f>
        <v>2.0292219256233465E-3</v>
      </c>
      <c r="O13" s="1292">
        <f>IF(COUNT($H13:N13)&gt;='RFM input'!$AA$7,0,N13+N65+N117)</f>
        <v>0.11868270430244278</v>
      </c>
      <c r="P13" s="1292">
        <f>IF(COUNT($H13:O13)&gt;='RFM input'!$AA$7,0,O13+O65+O117)</f>
        <v>0.17010299714675015</v>
      </c>
      <c r="Q13" s="1292">
        <f>IF(COUNT($H13:P13)&gt;='RFM input'!$AA$7,0,P13+P65+P117)</f>
        <v>0.25772150734567345</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0</v>
      </c>
      <c r="H14" s="1292">
        <f t="shared" si="2"/>
        <v>0</v>
      </c>
      <c r="I14" s="1292">
        <f t="shared" si="3"/>
        <v>0</v>
      </c>
      <c r="J14" s="1292">
        <f>IF(COUNT($H14:I14)&gt;='RFM input'!$AA$7,0,I14+I66+I118)</f>
        <v>0</v>
      </c>
      <c r="K14" s="1292">
        <f>IF(COUNT($H14:J14)&gt;='RFM input'!$AA$7,0,J14+J66+J118)</f>
        <v>0</v>
      </c>
      <c r="L14" s="1292">
        <f>IF(COUNT($H14:K14)&gt;='RFM input'!$AA$7,0,K14+K66+K118)</f>
        <v>0</v>
      </c>
      <c r="M14" s="1292">
        <f>IF(COUNT($H14:L14)&gt;='RFM input'!$AA$7,0,L14+L66+L118)</f>
        <v>0</v>
      </c>
      <c r="N14" s="1292">
        <f>IF(COUNT($H14:M14)&gt;='RFM input'!$AA$7,0,M14+M66+M118)</f>
        <v>0</v>
      </c>
      <c r="O14" s="1292">
        <f>IF(COUNT($H14:N14)&gt;='RFM input'!$AA$7,0,N14+N66+N118)</f>
        <v>0</v>
      </c>
      <c r="P14" s="1292">
        <f>IF(COUNT($H14:O14)&gt;='RFM input'!$AA$7,0,O14+O66+O118)</f>
        <v>0</v>
      </c>
      <c r="Q14" s="1292">
        <f>IF(COUNT($H14:P14)&gt;='RFM input'!$AA$7,0,P14+P66+P118)</f>
        <v>0</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0</v>
      </c>
      <c r="H15" s="1292">
        <f t="shared" si="2"/>
        <v>0</v>
      </c>
      <c r="I15" s="1292">
        <f t="shared" si="3"/>
        <v>0</v>
      </c>
      <c r="J15" s="1292">
        <f>IF(COUNT($H15:I15)&gt;='RFM input'!$AA$7,0,I15+I67+I119)</f>
        <v>0</v>
      </c>
      <c r="K15" s="1292">
        <f>IF(COUNT($H15:J15)&gt;='RFM input'!$AA$7,0,J15+J67+J119)</f>
        <v>0</v>
      </c>
      <c r="L15" s="1292">
        <f>IF(COUNT($H15:K15)&gt;='RFM input'!$AA$7,0,K15+K67+K119)</f>
        <v>0</v>
      </c>
      <c r="M15" s="1292">
        <f>IF(COUNT($H15:L15)&gt;='RFM input'!$AA$7,0,L15+L67+L119)</f>
        <v>0</v>
      </c>
      <c r="N15" s="1292">
        <f>IF(COUNT($H15:M15)&gt;='RFM input'!$AA$7,0,M15+M67+M119)</f>
        <v>0</v>
      </c>
      <c r="O15" s="1292">
        <f>IF(COUNT($H15:N15)&gt;='RFM input'!$AA$7,0,N15+N67+N119)</f>
        <v>0</v>
      </c>
      <c r="P15" s="1292">
        <f>IF(COUNT($H15:O15)&gt;='RFM input'!$AA$7,0,O15+O67+O119)</f>
        <v>0</v>
      </c>
      <c r="Q15" s="1292">
        <f>IF(COUNT($H15:P15)&gt;='RFM input'!$AA$7,0,P15+P67+P119)</f>
        <v>0</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0</v>
      </c>
      <c r="H16" s="1292">
        <f t="shared" si="2"/>
        <v>0</v>
      </c>
      <c r="I16" s="1292">
        <f t="shared" si="3"/>
        <v>0</v>
      </c>
      <c r="J16" s="1292">
        <f>IF(COUNT($H16:I16)&gt;='RFM input'!$AA$7,0,I16+I68+I120)</f>
        <v>0</v>
      </c>
      <c r="K16" s="1292">
        <f>IF(COUNT($H16:J16)&gt;='RFM input'!$AA$7,0,J16+J68+J120)</f>
        <v>0</v>
      </c>
      <c r="L16" s="1292">
        <f>IF(COUNT($H16:K16)&gt;='RFM input'!$AA$7,0,K16+K68+K120)</f>
        <v>0</v>
      </c>
      <c r="M16" s="1292">
        <f>IF(COUNT($H16:L16)&gt;='RFM input'!$AA$7,0,L16+L68+L120)</f>
        <v>0</v>
      </c>
      <c r="N16" s="1292">
        <f>IF(COUNT($H16:M16)&gt;='RFM input'!$AA$7,0,M16+M68+M120)</f>
        <v>0</v>
      </c>
      <c r="O16" s="1292">
        <f>IF(COUNT($H16:N16)&gt;='RFM input'!$AA$7,0,N16+N68+N120)</f>
        <v>0</v>
      </c>
      <c r="P16" s="1292">
        <f>IF(COUNT($H16:O16)&gt;='RFM input'!$AA$7,0,O16+O68+O120)</f>
        <v>0</v>
      </c>
      <c r="Q16" s="1292">
        <f>IF(COUNT($H16:P16)&gt;='RFM input'!$AA$7,0,P16+P68+P120)</f>
        <v>0</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0</v>
      </c>
      <c r="H17" s="1292">
        <f t="shared" si="2"/>
        <v>0</v>
      </c>
      <c r="I17" s="1292">
        <f t="shared" si="3"/>
        <v>0</v>
      </c>
      <c r="J17" s="1292">
        <f>IF(COUNT($H17:I17)&gt;='RFM input'!$AA$7,0,I17+I69+I121)</f>
        <v>0</v>
      </c>
      <c r="K17" s="1292">
        <f>IF(COUNT($H17:J17)&gt;='RFM input'!$AA$7,0,J17+J69+J121)</f>
        <v>0</v>
      </c>
      <c r="L17" s="1292">
        <f>IF(COUNT($H17:K17)&gt;='RFM input'!$AA$7,0,K17+K69+K121)</f>
        <v>0</v>
      </c>
      <c r="M17" s="1292">
        <f>IF(COUNT($H17:L17)&gt;='RFM input'!$AA$7,0,L17+L69+L121)</f>
        <v>0</v>
      </c>
      <c r="N17" s="1292">
        <f>IF(COUNT($H17:M17)&gt;='RFM input'!$AA$7,0,M17+M69+M121)</f>
        <v>0</v>
      </c>
      <c r="O17" s="1292">
        <f>IF(COUNT($H17:N17)&gt;='RFM input'!$AA$7,0,N17+N69+N121)</f>
        <v>0</v>
      </c>
      <c r="P17" s="1292">
        <f>IF(COUNT($H17:O17)&gt;='RFM input'!$AA$7,0,O17+O69+O121)</f>
        <v>0</v>
      </c>
      <c r="Q17" s="1292">
        <f>IF(COUNT($H17:P17)&gt;='RFM input'!$AA$7,0,P17+P69+P121)</f>
        <v>0</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0</v>
      </c>
      <c r="J18" s="1292">
        <f>IF(COUNT($H18:I18)&gt;='RFM input'!$AA$7,0,I18+I70+I122)</f>
        <v>0</v>
      </c>
      <c r="K18" s="1292">
        <f>IF(COUNT($H18:J18)&gt;='RFM input'!$AA$7,0,J18+J70+J122)</f>
        <v>0</v>
      </c>
      <c r="L18" s="1292">
        <f>IF(COUNT($H18:K18)&gt;='RFM input'!$AA$7,0,K18+K70+K122)</f>
        <v>0</v>
      </c>
      <c r="M18" s="1292">
        <f>IF(COUNT($H18:L18)&gt;='RFM input'!$AA$7,0,L18+L70+L122)</f>
        <v>0</v>
      </c>
      <c r="N18" s="1292">
        <f>IF(COUNT($H18:M18)&gt;='RFM input'!$AA$7,0,M18+M70+M122)</f>
        <v>0</v>
      </c>
      <c r="O18" s="1292">
        <f>IF(COUNT($H18:N18)&gt;='RFM input'!$AA$7,0,N18+N70+N122)</f>
        <v>0</v>
      </c>
      <c r="P18" s="1292">
        <f>IF(COUNT($H18:O18)&gt;='RFM input'!$AA$7,0,O18+O70+O122)</f>
        <v>0</v>
      </c>
      <c r="Q18" s="1292">
        <f>IF(COUNT($H18:P18)&gt;='RFM input'!$AA$7,0,P18+P70+P122)</f>
        <v>0</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5.130171669312672E-2</v>
      </c>
      <c r="H19" s="1292">
        <f t="shared" si="2"/>
        <v>5.9999642941216097E-2</v>
      </c>
      <c r="I19" s="1292">
        <f t="shared" si="3"/>
        <v>0.13094474103672762</v>
      </c>
      <c r="J19" s="1292">
        <f>IF(COUNT($H19:I19)&gt;='RFM input'!$AA$7,0,I19+I71+I123)</f>
        <v>0.13521191058419879</v>
      </c>
      <c r="K19" s="1292">
        <f>IF(COUNT($H19:J19)&gt;='RFM input'!$AA$7,0,J19+J71+J123)</f>
        <v>0.12077696831590154</v>
      </c>
      <c r="L19" s="1292">
        <f>IF(COUNT($H19:K19)&gt;='RFM input'!$AA$7,0,K19+K71+K123)</f>
        <v>9.8274033128647048E-2</v>
      </c>
      <c r="M19" s="1292">
        <f>IF(COUNT($H19:L19)&gt;='RFM input'!$AA$7,0,L19+L71+L123)</f>
        <v>0.16257660398259435</v>
      </c>
      <c r="N19" s="1292">
        <f>IF(COUNT($H19:M19)&gt;='RFM input'!$AA$7,0,M19+M71+M123)</f>
        <v>0.22817300089364603</v>
      </c>
      <c r="O19" s="1292">
        <f>IF(COUNT($H19:N19)&gt;='RFM input'!$AA$7,0,N19+N71+N123)</f>
        <v>0.22241993831771897</v>
      </c>
      <c r="P19" s="1292">
        <f>IF(COUNT($H19:O19)&gt;='RFM input'!$AA$7,0,O19+O71+O123)</f>
        <v>0.2493594528692574</v>
      </c>
      <c r="Q19" s="1292">
        <f>IF(COUNT($H19:P19)&gt;='RFM input'!$AA$7,0,P19+P71+P123)</f>
        <v>0.2948229844780284</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2.6401759935098994</v>
      </c>
      <c r="H21" s="1292">
        <f t="shared" si="2"/>
        <v>2.4692818033996451</v>
      </c>
      <c r="I21" s="1292">
        <f t="shared" si="3"/>
        <v>2.3037706798855293</v>
      </c>
      <c r="J21" s="1292">
        <f>IF(COUNT($H21:I21)&gt;='RFM input'!$AA$7,0,I21+I73+I125)</f>
        <v>2.0672684984727088</v>
      </c>
      <c r="K21" s="1292">
        <f>IF(COUNT($H21:J21)&gt;='RFM input'!$AA$7,0,J21+J73+J125)</f>
        <v>1.849944431325544</v>
      </c>
      <c r="L21" s="1292">
        <f>IF(COUNT($H21:K21)&gt;='RFM input'!$AA$7,0,K21+K73+K125)</f>
        <v>1.6326135742011421</v>
      </c>
      <c r="M21" s="1292">
        <f>IF(COUNT($H21:L21)&gt;='RFM input'!$AA$7,0,L21+L73+L125)</f>
        <v>1.375926927005733</v>
      </c>
      <c r="N21" s="1292">
        <f>IF(COUNT($H21:M21)&gt;='RFM input'!$AA$7,0,M21+M73+M125)</f>
        <v>1.1044021879441051</v>
      </c>
      <c r="O21" s="1292">
        <f>IF(COUNT($H21:N21)&gt;='RFM input'!$AA$7,0,N21+N73+N125)</f>
        <v>0.83723158057317426</v>
      </c>
      <c r="P21" s="1292">
        <f>IF(COUNT($H21:O21)&gt;='RFM input'!$AA$7,0,O21+O73+O125)</f>
        <v>0.56052094445086875</v>
      </c>
      <c r="Q21" s="1292">
        <f>IF(COUNT($H21:P21)&gt;='RFM input'!$AA$7,0,P21+P73+P125)</f>
        <v>0.26923330809415019</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0.34719220307726456</v>
      </c>
      <c r="H59" s="1264">
        <f t="shared" ref="H59:Q59" si="6">SUM(H60:H109)</f>
        <v>8.4599984321491156E-2</v>
      </c>
      <c r="I59" s="1264">
        <f t="shared" si="6"/>
        <v>0.32079033718443678</v>
      </c>
      <c r="J59" s="1264">
        <f t="shared" si="6"/>
        <v>0.36905034268514358</v>
      </c>
      <c r="K59" s="1264">
        <f t="shared" si="6"/>
        <v>1.997095341216169E-2</v>
      </c>
      <c r="L59" s="1264">
        <f t="shared" si="6"/>
        <v>0.23549231335021523</v>
      </c>
      <c r="M59" s="1264">
        <f t="shared" si="6"/>
        <v>0.12019659435317546</v>
      </c>
      <c r="N59" s="1264">
        <f t="shared" si="6"/>
        <v>0.16946460735191962</v>
      </c>
      <c r="O59" s="1264">
        <f t="shared" si="6"/>
        <v>0.14588474141759197</v>
      </c>
      <c r="P59" s="1264">
        <f t="shared" si="6"/>
        <v>0.21790966992859434</v>
      </c>
      <c r="Q59" s="1264">
        <f t="shared" si="6"/>
        <v>0.21226779500694617</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0.3272949139240654</v>
      </c>
      <c r="H60" s="1292">
        <f>'Capital base roll forward'!H822</f>
        <v>0</v>
      </c>
      <c r="I60" s="1292">
        <f>'Capital base roll forward'!I822</f>
        <v>0</v>
      </c>
      <c r="J60" s="1292">
        <f>'Capital base roll forward'!J822</f>
        <v>0.3449877906189745</v>
      </c>
      <c r="K60" s="1292">
        <f>'Capital base roll forward'!K822</f>
        <v>0</v>
      </c>
      <c r="L60" s="1292">
        <f>'Capital base roll forward'!L822</f>
        <v>0.13695552485239268</v>
      </c>
      <c r="M60" s="1292">
        <f>'Capital base roll forward'!M822</f>
        <v>0</v>
      </c>
      <c r="N60" s="1292">
        <f>'Capital base roll forward'!N822</f>
        <v>0</v>
      </c>
      <c r="O60" s="1292">
        <f>'Capital base roll forward'!O822</f>
        <v>0</v>
      </c>
      <c r="P60" s="1292">
        <f>'Capital base roll forward'!P822</f>
        <v>0</v>
      </c>
      <c r="Q60" s="1292">
        <f>'Capital base roll forward'!Q822</f>
        <v>0</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0</v>
      </c>
      <c r="H61" s="1292">
        <f>'Capital base roll forward'!H823</f>
        <v>0</v>
      </c>
      <c r="I61" s="1292">
        <f>'Capital base roll forward'!I823</f>
        <v>0</v>
      </c>
      <c r="J61" s="1292">
        <f>'Capital base roll forward'!J823</f>
        <v>0</v>
      </c>
      <c r="K61" s="1292">
        <f>'Capital base roll forward'!K823</f>
        <v>0</v>
      </c>
      <c r="L61" s="1292">
        <f>'Capital base roll forward'!L823</f>
        <v>0</v>
      </c>
      <c r="M61" s="1292">
        <f>'Capital base roll forward'!M823</f>
        <v>0</v>
      </c>
      <c r="N61" s="1292">
        <f>'Capital base roll forward'!N823</f>
        <v>0</v>
      </c>
      <c r="O61" s="1292">
        <f>'Capital base roll forward'!O823</f>
        <v>0</v>
      </c>
      <c r="P61" s="1292">
        <f>'Capital base roll forward'!P823</f>
        <v>0</v>
      </c>
      <c r="Q61" s="1292">
        <f>'Capital base roll forward'!Q823</f>
        <v>0</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0</v>
      </c>
      <c r="M62" s="1292">
        <f>'Capital base roll forward'!M824</f>
        <v>0</v>
      </c>
      <c r="N62" s="1292">
        <f>'Capital base roll forward'!N824</f>
        <v>0</v>
      </c>
      <c r="O62" s="1292">
        <f>'Capital base roll forward'!O824</f>
        <v>0</v>
      </c>
      <c r="P62" s="1292">
        <f>'Capital base roll forward'!P824</f>
        <v>0</v>
      </c>
      <c r="Q62" s="1292">
        <f>'Capital base roll forward'!Q824</f>
        <v>0</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0</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0</v>
      </c>
      <c r="P63" s="1292">
        <f>'Capital base roll forward'!P825</f>
        <v>0</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0.28414967029114252</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v>
      </c>
      <c r="I65" s="1292">
        <f>'Capital base roll forward'!I827</f>
        <v>0</v>
      </c>
      <c r="J65" s="1292">
        <f>'Capital base roll forward'!J827</f>
        <v>0</v>
      </c>
      <c r="K65" s="1292">
        <f>'Capital base roll forward'!K827</f>
        <v>0</v>
      </c>
      <c r="L65" s="1292">
        <f>'Capital base roll forward'!L827</f>
        <v>0</v>
      </c>
      <c r="M65" s="1292">
        <f>'Capital base roll forward'!M827</f>
        <v>0</v>
      </c>
      <c r="N65" s="1292">
        <f>'Capital base roll forward'!N827</f>
        <v>0.11768962741468543</v>
      </c>
      <c r="O65" s="1292">
        <f>'Capital base roll forward'!O827</f>
        <v>5.804830896880591E-2</v>
      </c>
      <c r="P65" s="1292">
        <f>'Capital base roll forward'!P827</f>
        <v>9.7023056335132418E-2</v>
      </c>
      <c r="Q65" s="1292">
        <f>'Capital base roll forward'!Q827</f>
        <v>0</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0</v>
      </c>
      <c r="N66" s="1292">
        <f>'Capital base roll forward'!N828</f>
        <v>0</v>
      </c>
      <c r="O66" s="1292">
        <f>'Capital base roll forward'!O828</f>
        <v>0</v>
      </c>
      <c r="P66" s="1292">
        <f>'Capital base roll forward'!P828</f>
        <v>0</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0</v>
      </c>
      <c r="H68" s="1292">
        <f>'Capital base roll forward'!H830</f>
        <v>0</v>
      </c>
      <c r="I68" s="1292">
        <f>'Capital base roll forward'!I830</f>
        <v>0</v>
      </c>
      <c r="J68" s="1292">
        <f>'Capital base roll forward'!J830</f>
        <v>0</v>
      </c>
      <c r="K68" s="1292">
        <f>'Capital base roll forward'!K830</f>
        <v>0</v>
      </c>
      <c r="L68" s="1292">
        <f>'Capital base roll forward'!L830</f>
        <v>0</v>
      </c>
      <c r="M68" s="1292">
        <f>'Capital base roll forward'!M830</f>
        <v>0</v>
      </c>
      <c r="N68" s="1292">
        <f>'Capital base roll forward'!N830</f>
        <v>0</v>
      </c>
      <c r="O68" s="1292">
        <f>'Capital base roll forward'!O830</f>
        <v>0</v>
      </c>
      <c r="P68" s="1292">
        <f>'Capital base roll forward'!P830</f>
        <v>0</v>
      </c>
      <c r="Q68" s="1292">
        <f>'Capital base roll forward'!Q830</f>
        <v>0</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0</v>
      </c>
      <c r="J69" s="1292">
        <f>'Capital base roll forward'!J831</f>
        <v>0</v>
      </c>
      <c r="K69" s="1292">
        <f>'Capital base roll forward'!K831</f>
        <v>0</v>
      </c>
      <c r="L69" s="1292">
        <f>'Capital base roll forward'!L831</f>
        <v>0</v>
      </c>
      <c r="M69" s="1292">
        <f>'Capital base roll forward'!M831</f>
        <v>0</v>
      </c>
      <c r="N69" s="1292">
        <f>'Capital base roll forward'!N831</f>
        <v>0</v>
      </c>
      <c r="O69" s="1292">
        <f>'Capital base roll forward'!O831</f>
        <v>0</v>
      </c>
      <c r="P69" s="1292">
        <f>'Capital base roll forward'!P831</f>
        <v>0</v>
      </c>
      <c r="Q69" s="1292">
        <f>'Capital base roll forward'!Q831</f>
        <v>1.9324618280232107E-2</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0</v>
      </c>
      <c r="I70" s="1292">
        <f>'Capital base roll forward'!I832</f>
        <v>0</v>
      </c>
      <c r="J70" s="1292">
        <f>'Capital base roll forward'!J832</f>
        <v>0</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1.9897289153199171E-2</v>
      </c>
      <c r="H71" s="1292">
        <f>'Capital base roll forward'!H833</f>
        <v>8.4599984321491156E-2</v>
      </c>
      <c r="I71" s="1292">
        <f>'Capital base roll forward'!I833</f>
        <v>3.6640666893294253E-2</v>
      </c>
      <c r="J71" s="1292">
        <f>'Capital base roll forward'!J833</f>
        <v>2.4062552066169106E-2</v>
      </c>
      <c r="K71" s="1292">
        <f>'Capital base roll forward'!K833</f>
        <v>1.997095341216169E-2</v>
      </c>
      <c r="L71" s="1292">
        <f>'Capital base roll forward'!L833</f>
        <v>9.8536788497822547E-2</v>
      </c>
      <c r="M71" s="1292">
        <f>'Capital base roll forward'!M833</f>
        <v>0.12019659435317546</v>
      </c>
      <c r="N71" s="1292">
        <f>'Capital base roll forward'!N833</f>
        <v>5.1774979937234199E-2</v>
      </c>
      <c r="O71" s="1292">
        <f>'Capital base roll forward'!O833</f>
        <v>8.7836432448786056E-2</v>
      </c>
      <c r="P71" s="1292">
        <f>'Capital base roll forward'!P833</f>
        <v>0.12088661359346192</v>
      </c>
      <c r="Q71" s="1292">
        <f>'Capital base roll forward'!Q833</f>
        <v>0.10629117721308759</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8.6651999513626482E-2</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0</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0.35668034978570984</v>
      </c>
      <c r="H111" s="1264">
        <f t="shared" ref="H111:Q111" si="7">SUM(H112:H161)</f>
        <v>0.55833447029147665</v>
      </c>
      <c r="I111" s="1264">
        <f t="shared" si="7"/>
        <v>-0.38466341929391412</v>
      </c>
      <c r="J111" s="1264">
        <f t="shared" si="7"/>
        <v>5.326629358403856E-2</v>
      </c>
      <c r="K111" s="1264">
        <f t="shared" si="7"/>
        <v>0.27468599532573618</v>
      </c>
      <c r="L111" s="1264">
        <f t="shared" si="7"/>
        <v>-0.31213593423321861</v>
      </c>
      <c r="M111" s="1264">
        <f t="shared" si="7"/>
        <v>-0.53644644554958543</v>
      </c>
      <c r="N111" s="1264">
        <f t="shared" si="7"/>
        <v>-0.20831200377078554</v>
      </c>
      <c r="O111" s="1264">
        <f t="shared" si="7"/>
        <v>-0.18289668577643522</v>
      </c>
      <c r="P111" s="1264">
        <f t="shared" si="7"/>
        <v>-0.40365172708884811</v>
      </c>
      <c r="Q111" s="1264">
        <f t="shared" si="7"/>
        <v>-1.1842371313384525</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0.53568664524172771</v>
      </c>
      <c r="H112" s="1292">
        <f>'Capital base roll forward'!H874</f>
        <v>0.73210936897770873</v>
      </c>
      <c r="I112" s="1292">
        <f>'Capital base roll forward'!I874</f>
        <v>-0.1099262563030145</v>
      </c>
      <c r="J112" s="1292">
        <f>'Capital base roll forward'!J874</f>
        <v>0.30649369264979076</v>
      </c>
      <c r="K112" s="1292">
        <f>'Capital base roll forward'!K874</f>
        <v>0.52758585940624692</v>
      </c>
      <c r="L112" s="1292">
        <f>'Capital base roll forward'!L874</f>
        <v>-1.6674948524242339E-2</v>
      </c>
      <c r="M112" s="1292">
        <f>'Capital base roll forward'!M874</f>
        <v>-0.20186996423524484</v>
      </c>
      <c r="N112" s="1292">
        <f>'Capital base roll forward'!N874</f>
        <v>0.11843531261937745</v>
      </c>
      <c r="O112" s="1292">
        <f>'Capital base roll forward'!O874</f>
        <v>0.16161523268810518</v>
      </c>
      <c r="P112" s="1292">
        <f>'Capital base roll forward'!P874</f>
        <v>-2.3408053297946485E-2</v>
      </c>
      <c r="Q112" s="1292">
        <f>'Capital base roll forward'!Q874</f>
        <v>-0.73824832916293226</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0</v>
      </c>
      <c r="H113" s="1292">
        <f>'Capital base roll forward'!H875</f>
        <v>0</v>
      </c>
      <c r="I113" s="1292">
        <f>'Capital base roll forward'!I875</f>
        <v>0</v>
      </c>
      <c r="J113" s="1292">
        <f>'Capital base roll forward'!J875</f>
        <v>0</v>
      </c>
      <c r="K113" s="1292">
        <f>'Capital base roll forward'!K875</f>
        <v>0</v>
      </c>
      <c r="L113" s="1292">
        <f>'Capital base roll forward'!L875</f>
        <v>0</v>
      </c>
      <c r="M113" s="1292">
        <f>'Capital base roll forward'!M875</f>
        <v>0</v>
      </c>
      <c r="N113" s="1292">
        <f>'Capital base roll forward'!N875</f>
        <v>0</v>
      </c>
      <c r="O113" s="1292">
        <f>'Capital base roll forward'!O875</f>
        <v>0</v>
      </c>
      <c r="P113" s="1292">
        <f>'Capital base roll forward'!P875</f>
        <v>0</v>
      </c>
      <c r="Q113" s="1292">
        <f>'Capital base roll forward'!Q875</f>
        <v>0</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0</v>
      </c>
      <c r="H114" s="1292">
        <f>'Capital base roll forward'!H876</f>
        <v>0</v>
      </c>
      <c r="I114" s="1292">
        <f>'Capital base roll forward'!I876</f>
        <v>0</v>
      </c>
      <c r="J114" s="1292">
        <f>'Capital base roll forward'!J876</f>
        <v>0</v>
      </c>
      <c r="K114" s="1292">
        <f>'Capital base roll forward'!K876</f>
        <v>0</v>
      </c>
      <c r="L114" s="1292">
        <f>'Capital base roll forward'!L876</f>
        <v>0</v>
      </c>
      <c r="M114" s="1292">
        <f>'Capital base roll forward'!M876</f>
        <v>0</v>
      </c>
      <c r="N114" s="1292">
        <f>'Capital base roll forward'!N876</f>
        <v>0</v>
      </c>
      <c r="O114" s="1292">
        <f>'Capital base roll forward'!O876</f>
        <v>0</v>
      </c>
      <c r="P114" s="1292">
        <f>'Capital base roll forward'!P876</f>
        <v>0</v>
      </c>
      <c r="Q114" s="1292">
        <f>'Capital base roll forward'!Q876</f>
        <v>0</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3.7577390148733625E-3</v>
      </c>
      <c r="H115" s="1292">
        <f>'Capital base roll forward'!H877</f>
        <v>6.0743097540238503E-3</v>
      </c>
      <c r="I115" s="1292">
        <f>'Capital base roll forward'!I877</f>
        <v>-4.9575422262959695E-3</v>
      </c>
      <c r="J115" s="1292">
        <f>'Capital base roll forward'!J877</f>
        <v>2.5156887452766445E-4</v>
      </c>
      <c r="K115" s="1292">
        <f>'Capital base roll forward'!K877</f>
        <v>2.7889184746157213E-3</v>
      </c>
      <c r="L115" s="1292">
        <f>'Capital base roll forward'!L877</f>
        <v>-4.1788441435128059E-3</v>
      </c>
      <c r="M115" s="1292">
        <f>'Capital base roll forward'!M877</f>
        <v>-6.5682798065431107E-3</v>
      </c>
      <c r="N115" s="1292">
        <f>'Capital base roll forward'!N877</f>
        <v>-2.7738437320639336E-3</v>
      </c>
      <c r="O115" s="1292">
        <f>'Capital base roll forward'!O877</f>
        <v>-2.4196951510011659E-3</v>
      </c>
      <c r="P115" s="1292">
        <f>'Capital base roll forward'!P877</f>
        <v>-4.7989804594781166E-3</v>
      </c>
      <c r="Q115" s="1292">
        <f>'Capital base roll forward'!Q877</f>
        <v>-1.3343838891118993E-2</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3.1987179301710906E-3</v>
      </c>
      <c r="K116" s="1292">
        <f>'Capital base roll forward'!K878</f>
        <v>4.9855653778916069E-3</v>
      </c>
      <c r="L116" s="1292">
        <f>'Capital base roll forward'!L878</f>
        <v>6.2618398079795695E-4</v>
      </c>
      <c r="M116" s="1292">
        <f>'Capital base roll forward'!M878</f>
        <v>-8.501092981611732E-4</v>
      </c>
      <c r="N116" s="1292">
        <f>'Capital base roll forward'!N878</f>
        <v>1.7613222638589473E-3</v>
      </c>
      <c r="O116" s="1292">
        <f>'Capital base roll forward'!O878</f>
        <v>2.1433468305124756E-3</v>
      </c>
      <c r="P116" s="1292">
        <f>'Capital base roll forward'!P878</f>
        <v>6.7057114619498755E-4</v>
      </c>
      <c r="Q116" s="1292">
        <f>'Capital base roll forward'!Q878</f>
        <v>-5.1428827638591648E-3</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-6.7048145552679847E-4</v>
      </c>
      <c r="H117" s="1292">
        <f>'Capital base roll forward'!H879</f>
        <v>-6.8319870016034928E-4</v>
      </c>
      <c r="I117" s="1292">
        <f>'Capital base roll forward'!I879</f>
        <v>-9.0394200595985883E-4</v>
      </c>
      <c r="J117" s="1292">
        <f>'Capital base roll forward'!J879</f>
        <v>-8.5612438881985066E-4</v>
      </c>
      <c r="K117" s="1292">
        <f>'Capital base roll forward'!K879</f>
        <v>-8.696022091999123E-4</v>
      </c>
      <c r="L117" s="1292">
        <f>'Capital base roll forward'!L879</f>
        <v>-9.8746070697713754E-4</v>
      </c>
      <c r="M117" s="1292">
        <f>'Capital base roll forward'!M879</f>
        <v>-1.0331557058845104E-3</v>
      </c>
      <c r="N117" s="1292">
        <f>'Capital base roll forward'!N879</f>
        <v>-1.0361450378659836E-3</v>
      </c>
      <c r="O117" s="1292">
        <f>'Capital base roll forward'!O879</f>
        <v>-6.62801612449853E-3</v>
      </c>
      <c r="P117" s="1292">
        <f>'Capital base roll forward'!P879</f>
        <v>-9.4045461362090906E-3</v>
      </c>
      <c r="Q117" s="1292">
        <f>'Capital base roll forward'!Q879</f>
        <v>-1.9776341619853175E-2</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0</v>
      </c>
      <c r="H118" s="1292">
        <f>'Capital base roll forward'!H880</f>
        <v>0</v>
      </c>
      <c r="I118" s="1292">
        <f>'Capital base roll forward'!I880</f>
        <v>0</v>
      </c>
      <c r="J118" s="1292">
        <f>'Capital base roll forward'!J880</f>
        <v>0</v>
      </c>
      <c r="K118" s="1292">
        <f>'Capital base roll forward'!K880</f>
        <v>0</v>
      </c>
      <c r="L118" s="1292">
        <f>'Capital base roll forward'!L880</f>
        <v>0</v>
      </c>
      <c r="M118" s="1292">
        <f>'Capital base roll forward'!M880</f>
        <v>0</v>
      </c>
      <c r="N118" s="1292">
        <f>'Capital base roll forward'!N880</f>
        <v>0</v>
      </c>
      <c r="O118" s="1292">
        <f>'Capital base roll forward'!O880</f>
        <v>0</v>
      </c>
      <c r="P118" s="1292">
        <f>'Capital base roll forward'!P880</f>
        <v>0</v>
      </c>
      <c r="Q118" s="1292">
        <f>'Capital base roll forward'!Q880</f>
        <v>0</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0</v>
      </c>
      <c r="H119" s="1292">
        <f>'Capital base roll forward'!H881</f>
        <v>0</v>
      </c>
      <c r="I119" s="1292">
        <f>'Capital base roll forward'!I881</f>
        <v>0</v>
      </c>
      <c r="J119" s="1292">
        <f>'Capital base roll forward'!J881</f>
        <v>0</v>
      </c>
      <c r="K119" s="1292">
        <f>'Capital base roll forward'!K881</f>
        <v>0</v>
      </c>
      <c r="L119" s="1292">
        <f>'Capital base roll forward'!L881</f>
        <v>0</v>
      </c>
      <c r="M119" s="1292">
        <f>'Capital base roll forward'!M881</f>
        <v>0</v>
      </c>
      <c r="N119" s="1292">
        <f>'Capital base roll forward'!N881</f>
        <v>0</v>
      </c>
      <c r="O119" s="1292">
        <f>'Capital base roll forward'!O881</f>
        <v>0</v>
      </c>
      <c r="P119" s="1292">
        <f>'Capital base roll forward'!P881</f>
        <v>0</v>
      </c>
      <c r="Q119" s="1292">
        <f>'Capital base roll forward'!Q881</f>
        <v>0</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0</v>
      </c>
      <c r="H120" s="1292">
        <f>'Capital base roll forward'!H882</f>
        <v>0</v>
      </c>
      <c r="I120" s="1292">
        <f>'Capital base roll forward'!I882</f>
        <v>0</v>
      </c>
      <c r="J120" s="1292">
        <f>'Capital base roll forward'!J882</f>
        <v>0</v>
      </c>
      <c r="K120" s="1292">
        <f>'Capital base roll forward'!K882</f>
        <v>0</v>
      </c>
      <c r="L120" s="1292">
        <f>'Capital base roll forward'!L882</f>
        <v>0</v>
      </c>
      <c r="M120" s="1292">
        <f>'Capital base roll forward'!M882</f>
        <v>0</v>
      </c>
      <c r="N120" s="1292">
        <f>'Capital base roll forward'!N882</f>
        <v>0</v>
      </c>
      <c r="O120" s="1292">
        <f>'Capital base roll forward'!O882</f>
        <v>0</v>
      </c>
      <c r="P120" s="1292">
        <f>'Capital base roll forward'!P882</f>
        <v>0</v>
      </c>
      <c r="Q120" s="1292">
        <f>'Capital base roll forward'!Q882</f>
        <v>0</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0</v>
      </c>
      <c r="H121" s="1292">
        <f>'Capital base roll forward'!H883</f>
        <v>0</v>
      </c>
      <c r="I121" s="1292">
        <f>'Capital base roll forward'!I883</f>
        <v>0</v>
      </c>
      <c r="J121" s="1292">
        <f>'Capital base roll forward'!J883</f>
        <v>0</v>
      </c>
      <c r="K121" s="1292">
        <f>'Capital base roll forward'!K883</f>
        <v>0</v>
      </c>
      <c r="L121" s="1292">
        <f>'Capital base roll forward'!L883</f>
        <v>0</v>
      </c>
      <c r="M121" s="1292">
        <f>'Capital base roll forward'!M883</f>
        <v>0</v>
      </c>
      <c r="N121" s="1292">
        <f>'Capital base roll forward'!N883</f>
        <v>0</v>
      </c>
      <c r="O121" s="1292">
        <f>'Capital base roll forward'!O883</f>
        <v>0</v>
      </c>
      <c r="P121" s="1292">
        <f>'Capital base roll forward'!P883</f>
        <v>0</v>
      </c>
      <c r="Q121" s="1292">
        <f>'Capital base roll forward'!Q883</f>
        <v>0</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0</v>
      </c>
      <c r="J122" s="1292">
        <f>'Capital base roll forward'!J884</f>
        <v>0</v>
      </c>
      <c r="K122" s="1292">
        <f>'Capital base roll forward'!K884</f>
        <v>0</v>
      </c>
      <c r="L122" s="1292">
        <f>'Capital base roll forward'!L884</f>
        <v>0</v>
      </c>
      <c r="M122" s="1292">
        <f>'Capital base roll forward'!M884</f>
        <v>0</v>
      </c>
      <c r="N122" s="1292">
        <f>'Capital base roll forward'!N884</f>
        <v>0</v>
      </c>
      <c r="O122" s="1292">
        <f>'Capital base roll forward'!O884</f>
        <v>0</v>
      </c>
      <c r="P122" s="1292">
        <f>'Capital base roll forward'!P884</f>
        <v>0</v>
      </c>
      <c r="Q122" s="1292">
        <f>'Capital base roll forward'!Q884</f>
        <v>0</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-1.1199362905109801E-2</v>
      </c>
      <c r="H123" s="1292">
        <f>'Capital base roll forward'!H885</f>
        <v>-1.3654886225979618E-2</v>
      </c>
      <c r="I123" s="1292">
        <f>'Capital base roll forward'!I885</f>
        <v>-3.2373497345823107E-2</v>
      </c>
      <c r="J123" s="1292">
        <f>'Capital base roll forward'!J885</f>
        <v>-3.8497494334466371E-2</v>
      </c>
      <c r="K123" s="1292">
        <f>'Capital base roll forward'!K885</f>
        <v>-4.2473888599416178E-2</v>
      </c>
      <c r="L123" s="1292">
        <f>'Capital base roll forward'!L885</f>
        <v>-3.4234217643875249E-2</v>
      </c>
      <c r="M123" s="1292">
        <f>'Capital base roll forward'!M885</f>
        <v>-5.4600197442123778E-2</v>
      </c>
      <c r="N123" s="1292">
        <f>'Capital base roll forward'!N885</f>
        <v>-5.7528042513161272E-2</v>
      </c>
      <c r="O123" s="1292">
        <f>'Capital base roll forward'!O885</f>
        <v>-6.0896917897247625E-2</v>
      </c>
      <c r="P123" s="1292">
        <f>'Capital base roll forward'!P885</f>
        <v>-7.5423081984690873E-2</v>
      </c>
      <c r="Q123" s="1292">
        <f>'Capital base roll forward'!Q885</f>
        <v>-0.10178914881473568</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-0.1708941901102545</v>
      </c>
      <c r="H125" s="1292">
        <f>'Capital base roll forward'!H887</f>
        <v>-0.16551112351411601</v>
      </c>
      <c r="I125" s="1292">
        <f>'Capital base roll forward'!I887</f>
        <v>-0.2365021814128207</v>
      </c>
      <c r="J125" s="1292">
        <f>'Capital base roll forward'!J887</f>
        <v>-0.21732406714716473</v>
      </c>
      <c r="K125" s="1292">
        <f>'Capital base roll forward'!K887</f>
        <v>-0.21733085712440192</v>
      </c>
      <c r="L125" s="1292">
        <f>'Capital base roll forward'!L887</f>
        <v>-0.25668664719540901</v>
      </c>
      <c r="M125" s="1292">
        <f>'Capital base roll forward'!M887</f>
        <v>-0.27152473906162794</v>
      </c>
      <c r="N125" s="1292">
        <f>'Capital base roll forward'!N887</f>
        <v>-0.26717060737093073</v>
      </c>
      <c r="O125" s="1292">
        <f>'Capital base roll forward'!O887</f>
        <v>-0.27671063612230556</v>
      </c>
      <c r="P125" s="1292">
        <f>'Capital base roll forward'!P887</f>
        <v>-0.29128763635671856</v>
      </c>
      <c r="Q125" s="1292">
        <f>'Capital base roll forward'!Q887</f>
        <v>-0.30593659008595331</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37.312045860899651</v>
      </c>
      <c r="H321" s="80">
        <f t="shared" ref="H321:N321" si="8">SUM(H322:H371)</f>
        <v>37.954980315512621</v>
      </c>
      <c r="I321" s="80">
        <f t="shared" si="8"/>
        <v>37.891107233403147</v>
      </c>
      <c r="J321" s="80">
        <f t="shared" si="8"/>
        <v>38.313423869672327</v>
      </c>
      <c r="K321" s="80">
        <f t="shared" si="8"/>
        <v>38.608080818410215</v>
      </c>
      <c r="L321" s="80">
        <f t="shared" si="8"/>
        <v>38.531437197527218</v>
      </c>
      <c r="M321" s="80">
        <f t="shared" si="8"/>
        <v>38.115187346330806</v>
      </c>
      <c r="N321" s="80">
        <f t="shared" si="8"/>
        <v>38.07633994991194</v>
      </c>
      <c r="O321" s="80">
        <f>SUM(O322:O371)</f>
        <v>38.039328005553102</v>
      </c>
      <c r="P321" s="80">
        <f>SUM(P322:P371)</f>
        <v>37.853585948392841</v>
      </c>
      <c r="Q321" s="80">
        <f>SUM(Q322:Q371)</f>
        <v>36.881616612061322</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34.332183819572137</v>
      </c>
      <c r="H322" s="356">
        <f t="shared" ref="H322:I331" si="10">H8+H60+H112</f>
        <v>35.064293188549847</v>
      </c>
      <c r="I322" s="356">
        <f t="shared" si="10"/>
        <v>34.954366932246835</v>
      </c>
      <c r="J322" s="1324">
        <f>IF(COUNT($H322:I322)&gt;='RFM input'!$AA$7,0, J8+J60+J112)</f>
        <v>35.605848415515595</v>
      </c>
      <c r="K322" s="356">
        <f>IF(COUNT($H322:J322)&gt;='RFM input'!$AA$7,0, K8+K60+K112)</f>
        <v>36.133434274921839</v>
      </c>
      <c r="L322" s="356">
        <f>IF(COUNT($H322:K322)&gt;='RFM input'!$AA$7,0, L8+L60+L112)</f>
        <v>36.253714851249988</v>
      </c>
      <c r="M322" s="356">
        <f>IF(COUNT($H322:L322)&gt;='RFM input'!$AA$7,0, M8+M60+M112)</f>
        <v>36.051844887014745</v>
      </c>
      <c r="N322" s="356">
        <f>IF(COUNT($H322:M322)&gt;='RFM input'!$AA$7,0, N8+N60+N112)</f>
        <v>36.170280199634121</v>
      </c>
      <c r="O322" s="356">
        <f>IF(COUNT($H322:N322)&gt;='RFM input'!$AA$7,0, O8+O60+O112)</f>
        <v>36.331895432322227</v>
      </c>
      <c r="P322" s="356">
        <f>IF(COUNT($H322:O322)&gt;='RFM input'!$AA$7,0, P8+P60+P112)</f>
        <v>36.308487379024278</v>
      </c>
      <c r="Q322" s="356">
        <f>IF(COUNT($H322:P322)&gt;='RFM input'!$AA$7,0, Q8+Q60+Q112)</f>
        <v>35.570239049861343</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0</v>
      </c>
      <c r="H323" s="356">
        <f t="shared" si="10"/>
        <v>0</v>
      </c>
      <c r="I323" s="356">
        <f t="shared" si="10"/>
        <v>0</v>
      </c>
      <c r="J323" s="1324">
        <f>IF(COUNT($H323:I323)&gt;='RFM input'!$AA$7,0, J9+J61+J113)</f>
        <v>0</v>
      </c>
      <c r="K323" s="356">
        <f>IF(COUNT($H323:J323)&gt;='RFM input'!$AA$7,0, K9+K61+K113)</f>
        <v>0</v>
      </c>
      <c r="L323" s="356">
        <f>IF(COUNT($H323:K323)&gt;='RFM input'!$AA$7,0, L9+L61+L113)</f>
        <v>0</v>
      </c>
      <c r="M323" s="356">
        <f>IF(COUNT($H323:L323)&gt;='RFM input'!$AA$7,0, M9+M61+M113)</f>
        <v>0</v>
      </c>
      <c r="N323" s="356">
        <f>IF(COUNT($H323:M323)&gt;='RFM input'!$AA$7,0, N9+N61+N113)</f>
        <v>0</v>
      </c>
      <c r="O323" s="356">
        <f>IF(COUNT($H323:N323)&gt;='RFM input'!$AA$7,0, O9+O61+O113)</f>
        <v>0</v>
      </c>
      <c r="P323" s="356">
        <f>IF(COUNT($H323:O323)&gt;='RFM input'!$AA$7,0, P9+P61+P113)</f>
        <v>0</v>
      </c>
      <c r="Q323" s="356">
        <f>IF(COUNT($H323:P323)&gt;='RFM input'!$AA$7,0, Q9+Q61+Q113)</f>
        <v>0</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0</v>
      </c>
      <c r="H324" s="356">
        <f t="shared" si="10"/>
        <v>0</v>
      </c>
      <c r="I324" s="356">
        <f t="shared" si="10"/>
        <v>0</v>
      </c>
      <c r="J324" s="1324">
        <f>IF(COUNT($H324:I324)&gt;='RFM input'!$AA$7,0, J10+J62+J114)</f>
        <v>0</v>
      </c>
      <c r="K324" s="356">
        <f>IF(COUNT($H324:J324)&gt;='RFM input'!$AA$7,0, K10+K62+K114)</f>
        <v>0</v>
      </c>
      <c r="L324" s="356">
        <f>IF(COUNT($H324:K324)&gt;='RFM input'!$AA$7,0, L10+L62+L114)</f>
        <v>0</v>
      </c>
      <c r="M324" s="356">
        <f>IF(COUNT($H324:L324)&gt;='RFM input'!$AA$7,0, M10+M62+M114)</f>
        <v>0</v>
      </c>
      <c r="N324" s="356">
        <f>IF(COUNT($H324:M324)&gt;='RFM input'!$AA$7,0, N10+N62+N114)</f>
        <v>0</v>
      </c>
      <c r="O324" s="356">
        <f>IF(COUNT($H324:N324)&gt;='RFM input'!$AA$7,0, O10+O62+O114)</f>
        <v>0</v>
      </c>
      <c r="P324" s="356">
        <f>IF(COUNT($H324:O324)&gt;='RFM input'!$AA$7,0, P10+P62+P114)</f>
        <v>0</v>
      </c>
      <c r="Q324" s="356">
        <f>IF(COUNT($H324:P324)&gt;='RFM input'!$AA$7,0, Q10+Q62+Q114)</f>
        <v>0</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0.44321788934403</v>
      </c>
      <c r="H325" s="356">
        <f t="shared" si="10"/>
        <v>0.44929219909805385</v>
      </c>
      <c r="I325" s="356">
        <f t="shared" si="10"/>
        <v>0.44433465687175788</v>
      </c>
      <c r="J325" s="1324">
        <f>IF(COUNT($H325:I325)&gt;='RFM input'!$AA$7,0, J11+J63+J115)</f>
        <v>0.44458622574628553</v>
      </c>
      <c r="K325" s="356">
        <f>IF(COUNT($H325:J325)&gt;='RFM input'!$AA$7,0, K11+K63+K115)</f>
        <v>0.44737514422090124</v>
      </c>
      <c r="L325" s="356">
        <f>IF(COUNT($H325:K325)&gt;='RFM input'!$AA$7,0, L11+L63+L115)</f>
        <v>0.44319630007738842</v>
      </c>
      <c r="M325" s="356">
        <f>IF(COUNT($H325:L325)&gt;='RFM input'!$AA$7,0, M11+M63+M115)</f>
        <v>0.4366280202708453</v>
      </c>
      <c r="N325" s="356">
        <f>IF(COUNT($H325:M325)&gt;='RFM input'!$AA$7,0, N11+N63+N115)</f>
        <v>0.43385417653878139</v>
      </c>
      <c r="O325" s="356">
        <f>IF(COUNT($H325:N325)&gt;='RFM input'!$AA$7,0, O11+O63+O115)</f>
        <v>0.43143448138778023</v>
      </c>
      <c r="P325" s="356">
        <f>IF(COUNT($H325:O325)&gt;='RFM input'!$AA$7,0, P11+P63+P115)</f>
        <v>0.4266355009283021</v>
      </c>
      <c r="Q325" s="356">
        <f>IF(COUNT($H325:P325)&gt;='RFM input'!$AA$7,0, Q11+Q63+Q115)</f>
        <v>0.41329166203718309</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0.28414967029114252</v>
      </c>
      <c r="J326" s="1324">
        <f>IF(COUNT($H326:I326)&gt;='RFM input'!$AA$7,0, J12+J64+J116)</f>
        <v>0.28734838822131359</v>
      </c>
      <c r="K326" s="356">
        <f>IF(COUNT($H326:J326)&gt;='RFM input'!$AA$7,0, K12+K64+K116)</f>
        <v>0.29233395359920522</v>
      </c>
      <c r="L326" s="356">
        <f>IF(COUNT($H326:K326)&gt;='RFM input'!$AA$7,0, L12+L64+L116)</f>
        <v>0.29296013758000317</v>
      </c>
      <c r="M326" s="356">
        <f>IF(COUNT($H326:L326)&gt;='RFM input'!$AA$7,0, M12+M64+M116)</f>
        <v>0.29211002828184202</v>
      </c>
      <c r="N326" s="356">
        <f>IF(COUNT($H326:M326)&gt;='RFM input'!$AA$7,0, N12+N64+N116)</f>
        <v>0.29387135054570096</v>
      </c>
      <c r="O326" s="356">
        <f>IF(COUNT($H326:N326)&gt;='RFM input'!$AA$7,0, O12+O64+O116)</f>
        <v>0.29601469737621344</v>
      </c>
      <c r="P326" s="356">
        <f>IF(COUNT($H326:O326)&gt;='RFM input'!$AA$7,0, P12+P64+P116)</f>
        <v>0.29668526852240845</v>
      </c>
      <c r="Q326" s="356">
        <f>IF(COUNT($H326:P326)&gt;='RFM input'!$AA$7,0, Q12+Q64+Q116)</f>
        <v>0.29154238575854929</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7.3627056426249652E-3</v>
      </c>
      <c r="H327" s="356">
        <f t="shared" si="10"/>
        <v>6.6795069424646159E-3</v>
      </c>
      <c r="I327" s="356">
        <f t="shared" si="10"/>
        <v>5.7755649365047569E-3</v>
      </c>
      <c r="J327" s="1324">
        <f>IF(COUNT($H327:I327)&gt;='RFM input'!$AA$7,0, J13+J65+J117)</f>
        <v>4.9194405476849067E-3</v>
      </c>
      <c r="K327" s="356">
        <f>IF(COUNT($H327:J327)&gt;='RFM input'!$AA$7,0, K13+K65+K117)</f>
        <v>4.0498383384849944E-3</v>
      </c>
      <c r="L327" s="356">
        <f>IF(COUNT($H327:K327)&gt;='RFM input'!$AA$7,0, L13+L65+L117)</f>
        <v>3.0623776315078571E-3</v>
      </c>
      <c r="M327" s="356">
        <f>IF(COUNT($H327:L327)&gt;='RFM input'!$AA$7,0, M13+M65+M117)</f>
        <v>2.0292219256233465E-3</v>
      </c>
      <c r="N327" s="356">
        <f>IF(COUNT($H327:M327)&gt;='RFM input'!$AA$7,0, N13+N65+N117)</f>
        <v>0.11868270430244278</v>
      </c>
      <c r="O327" s="356">
        <f>IF(COUNT($H327:N327)&gt;='RFM input'!$AA$7,0, O13+O65+O117)</f>
        <v>0.17010299714675015</v>
      </c>
      <c r="P327" s="356">
        <f>IF(COUNT($H327:O327)&gt;='RFM input'!$AA$7,0, P13+P65+P117)</f>
        <v>0.25772150734567345</v>
      </c>
      <c r="Q327" s="356">
        <f>IF(COUNT($H327:P327)&gt;='RFM input'!$AA$7,0, Q13+Q65+Q117)</f>
        <v>0.23794516572582028</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0</v>
      </c>
      <c r="H328" s="356">
        <f t="shared" si="10"/>
        <v>0</v>
      </c>
      <c r="I328" s="356">
        <f t="shared" si="10"/>
        <v>0</v>
      </c>
      <c r="J328" s="1324">
        <f>IF(COUNT($H328:I328)&gt;='RFM input'!$AA$7,0, J14+J66+J118)</f>
        <v>0</v>
      </c>
      <c r="K328" s="356">
        <f>IF(COUNT($H328:J328)&gt;='RFM input'!$AA$7,0, K14+K66+K118)</f>
        <v>0</v>
      </c>
      <c r="L328" s="356">
        <f>IF(COUNT($H328:K328)&gt;='RFM input'!$AA$7,0, L14+L66+L118)</f>
        <v>0</v>
      </c>
      <c r="M328" s="356">
        <f>IF(COUNT($H328:L328)&gt;='RFM input'!$AA$7,0, M14+M66+M118)</f>
        <v>0</v>
      </c>
      <c r="N328" s="356">
        <f>IF(COUNT($H328:M328)&gt;='RFM input'!$AA$7,0, N14+N66+N118)</f>
        <v>0</v>
      </c>
      <c r="O328" s="356">
        <f>IF(COUNT($H328:N328)&gt;='RFM input'!$AA$7,0, O14+O66+O118)</f>
        <v>0</v>
      </c>
      <c r="P328" s="356">
        <f>IF(COUNT($H328:O328)&gt;='RFM input'!$AA$7,0, P14+P66+P118)</f>
        <v>0</v>
      </c>
      <c r="Q328" s="356">
        <f>IF(COUNT($H328:P328)&gt;='RFM input'!$AA$7,0, Q14+Q66+Q118)</f>
        <v>0</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0</v>
      </c>
      <c r="H329" s="356">
        <f t="shared" si="10"/>
        <v>0</v>
      </c>
      <c r="I329" s="356">
        <f t="shared" si="10"/>
        <v>0</v>
      </c>
      <c r="J329" s="1324">
        <f>IF(COUNT($H329:I329)&gt;='RFM input'!$AA$7,0, J15+J67+J119)</f>
        <v>0</v>
      </c>
      <c r="K329" s="356">
        <f>IF(COUNT($H329:J329)&gt;='RFM input'!$AA$7,0, K15+K67+K119)</f>
        <v>0</v>
      </c>
      <c r="L329" s="356">
        <f>IF(COUNT($H329:K329)&gt;='RFM input'!$AA$7,0, L15+L67+L119)</f>
        <v>0</v>
      </c>
      <c r="M329" s="356">
        <f>IF(COUNT($H329:L329)&gt;='RFM input'!$AA$7,0, M15+M67+M119)</f>
        <v>0</v>
      </c>
      <c r="N329" s="356">
        <f>IF(COUNT($H329:M329)&gt;='RFM input'!$AA$7,0, N15+N67+N119)</f>
        <v>0</v>
      </c>
      <c r="O329" s="356">
        <f>IF(COUNT($H329:N329)&gt;='RFM input'!$AA$7,0, O15+O67+O119)</f>
        <v>0</v>
      </c>
      <c r="P329" s="356">
        <f>IF(COUNT($H329:O329)&gt;='RFM input'!$AA$7,0, P15+P67+P119)</f>
        <v>0</v>
      </c>
      <c r="Q329" s="356">
        <f>IF(COUNT($H329:P329)&gt;='RFM input'!$AA$7,0, Q15+Q67+Q119)</f>
        <v>0</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0</v>
      </c>
      <c r="H330" s="356">
        <f t="shared" si="10"/>
        <v>0</v>
      </c>
      <c r="I330" s="356">
        <f t="shared" si="10"/>
        <v>0</v>
      </c>
      <c r="J330" s="1324">
        <f>IF(COUNT($H330:I330)&gt;='RFM input'!$AA$7,0, J16+J68+J120)</f>
        <v>0</v>
      </c>
      <c r="K330" s="356">
        <f>IF(COUNT($H330:J330)&gt;='RFM input'!$AA$7,0, K16+K68+K120)</f>
        <v>0</v>
      </c>
      <c r="L330" s="356">
        <f>IF(COUNT($H330:K330)&gt;='RFM input'!$AA$7,0, L16+L68+L120)</f>
        <v>0</v>
      </c>
      <c r="M330" s="356">
        <f>IF(COUNT($H330:L330)&gt;='RFM input'!$AA$7,0, M16+M68+M120)</f>
        <v>0</v>
      </c>
      <c r="N330" s="356">
        <f>IF(COUNT($H330:M330)&gt;='RFM input'!$AA$7,0, N16+N68+N120)</f>
        <v>0</v>
      </c>
      <c r="O330" s="356">
        <f>IF(COUNT($H330:N330)&gt;='RFM input'!$AA$7,0, O16+O68+O120)</f>
        <v>0</v>
      </c>
      <c r="P330" s="356">
        <f>IF(COUNT($H330:O330)&gt;='RFM input'!$AA$7,0, P16+P68+P120)</f>
        <v>0</v>
      </c>
      <c r="Q330" s="356">
        <f>IF(COUNT($H330:P330)&gt;='RFM input'!$AA$7,0, Q16+Q68+Q120)</f>
        <v>0</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0</v>
      </c>
      <c r="H331" s="356">
        <f t="shared" si="10"/>
        <v>0</v>
      </c>
      <c r="I331" s="356">
        <f t="shared" si="10"/>
        <v>0</v>
      </c>
      <c r="J331" s="1324">
        <f>IF(COUNT($H331:I331)&gt;='RFM input'!$AA$7,0, J17+J69+J121)</f>
        <v>0</v>
      </c>
      <c r="K331" s="356">
        <f>IF(COUNT($H331:J331)&gt;='RFM input'!$AA$7,0, K17+K69+K121)</f>
        <v>0</v>
      </c>
      <c r="L331" s="356">
        <f>IF(COUNT($H331:K331)&gt;='RFM input'!$AA$7,0, L17+L69+L121)</f>
        <v>0</v>
      </c>
      <c r="M331" s="356">
        <f>IF(COUNT($H331:L331)&gt;='RFM input'!$AA$7,0, M17+M69+M121)</f>
        <v>0</v>
      </c>
      <c r="N331" s="356">
        <f>IF(COUNT($H331:M331)&gt;='RFM input'!$AA$7,0, N17+N69+N121)</f>
        <v>0</v>
      </c>
      <c r="O331" s="356">
        <f>IF(COUNT($H331:N331)&gt;='RFM input'!$AA$7,0, O17+O69+O121)</f>
        <v>0</v>
      </c>
      <c r="P331" s="356">
        <f>IF(COUNT($H331:O331)&gt;='RFM input'!$AA$7,0, P17+P69+P121)</f>
        <v>0</v>
      </c>
      <c r="Q331" s="356">
        <f>IF(COUNT($H331:P331)&gt;='RFM input'!$AA$7,0, Q17+Q69+Q121)</f>
        <v>1.9324618280232107E-2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0</v>
      </c>
      <c r="I332" s="356">
        <f t="shared" si="11"/>
        <v>0</v>
      </c>
      <c r="J332" s="1324">
        <f>IF(COUNT($H332:I332)&gt;='RFM input'!$AA$7,0, J18+J70+J122)</f>
        <v>0</v>
      </c>
      <c r="K332" s="356">
        <f>IF(COUNT($H332:J332)&gt;='RFM input'!$AA$7,0, K18+K70+K122)</f>
        <v>0</v>
      </c>
      <c r="L332" s="356">
        <f>IF(COUNT($H332:K332)&gt;='RFM input'!$AA$7,0, L18+L70+L122)</f>
        <v>0</v>
      </c>
      <c r="M332" s="356">
        <f>IF(COUNT($H332:L332)&gt;='RFM input'!$AA$7,0, M18+M70+M122)</f>
        <v>0</v>
      </c>
      <c r="N332" s="356">
        <f>IF(COUNT($H332:M332)&gt;='RFM input'!$AA$7,0, N18+N70+N122)</f>
        <v>0</v>
      </c>
      <c r="O332" s="356">
        <f>IF(COUNT($H332:N332)&gt;='RFM input'!$AA$7,0, O18+O70+O122)</f>
        <v>0</v>
      </c>
      <c r="P332" s="356">
        <f>IF(COUNT($H332:O332)&gt;='RFM input'!$AA$7,0, P18+P70+P122)</f>
        <v>0</v>
      </c>
      <c r="Q332" s="356">
        <f>IF(COUNT($H332:P332)&gt;='RFM input'!$AA$7,0, Q18+Q70+Q122)</f>
        <v>0</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5.9999642941216097E-2</v>
      </c>
      <c r="H333" s="356">
        <f t="shared" si="11"/>
        <v>0.13094474103672762</v>
      </c>
      <c r="I333" s="356">
        <f t="shared" si="11"/>
        <v>0.13521191058419879</v>
      </c>
      <c r="J333" s="1324">
        <f>IF(COUNT($H333:I333)&gt;='RFM input'!$AA$7,0, J19+J71+J123)</f>
        <v>0.12077696831590154</v>
      </c>
      <c r="K333" s="356">
        <f>IF(COUNT($H333:J333)&gt;='RFM input'!$AA$7,0, K19+K71+K123)</f>
        <v>9.8274033128647048E-2</v>
      </c>
      <c r="L333" s="356">
        <f>IF(COUNT($H333:K333)&gt;='RFM input'!$AA$7,0, L19+L71+L123)</f>
        <v>0.16257660398259435</v>
      </c>
      <c r="M333" s="356">
        <f>IF(COUNT($H333:L333)&gt;='RFM input'!$AA$7,0, M19+M71+M123)</f>
        <v>0.22817300089364603</v>
      </c>
      <c r="N333" s="356">
        <f>IF(COUNT($H333:M333)&gt;='RFM input'!$AA$7,0, N19+N71+N123)</f>
        <v>0.22241993831771897</v>
      </c>
      <c r="O333" s="356">
        <f>IF(COUNT($H333:N333)&gt;='RFM input'!$AA$7,0, O19+O71+O123)</f>
        <v>0.2493594528692574</v>
      </c>
      <c r="P333" s="356">
        <f>IF(COUNT($H333:O333)&gt;='RFM input'!$AA$7,0, P19+P71+P123)</f>
        <v>0.2948229844780284</v>
      </c>
      <c r="Q333" s="356">
        <f>IF(COUNT($H333:P333)&gt;='RFM input'!$AA$7,0, Q19+Q71+Q123)</f>
        <v>0.29932501287638036</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8.6651999513626482E-2</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2.4692818033996451</v>
      </c>
      <c r="H335" s="356">
        <f t="shared" si="11"/>
        <v>2.3037706798855293</v>
      </c>
      <c r="I335" s="356">
        <f t="shared" si="11"/>
        <v>2.0672684984727088</v>
      </c>
      <c r="J335" s="1324">
        <f>IF(COUNT($H335:I335)&gt;='RFM input'!$AA$7,0, J21+J73+J125)</f>
        <v>1.849944431325544</v>
      </c>
      <c r="K335" s="356">
        <f>IF(COUNT($H335:J335)&gt;='RFM input'!$AA$7,0, K21+K73+K125)</f>
        <v>1.6326135742011421</v>
      </c>
      <c r="L335" s="356">
        <f>IF(COUNT($H335:K335)&gt;='RFM input'!$AA$7,0, L21+L73+L125)</f>
        <v>1.375926927005733</v>
      </c>
      <c r="M335" s="356">
        <f>IF(COUNT($H335:L335)&gt;='RFM input'!$AA$7,0, M21+M73+M125)</f>
        <v>1.1044021879441051</v>
      </c>
      <c r="N335" s="356">
        <f>IF(COUNT($H335:M335)&gt;='RFM input'!$AA$7,0, N21+N73+N125)</f>
        <v>0.83723158057317426</v>
      </c>
      <c r="O335" s="356">
        <f>IF(COUNT($H335:N335)&gt;='RFM input'!$AA$7,0, O21+O73+O125)</f>
        <v>0.56052094445086875</v>
      </c>
      <c r="P335" s="356">
        <f>IF(COUNT($H335:O335)&gt;='RFM input'!$AA$7,0, P21+P73+P125)</f>
        <v>0.26923330809415019</v>
      </c>
      <c r="Q335" s="356">
        <f>IF(COUNT($H335:P335)&gt;='RFM input'!$AA$7,0, Q21+Q73+Q125)</f>
        <v>-3.6703281991803116E-2</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36.881616612061322</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35.570239049861343</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0</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0</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0.41329166203718309</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0.29154238575854929</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0.23794516572582028</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0</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0</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0</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1.9324618280232107E-2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0</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0.29932501287638036</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8.6651999513626482E-2</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-3.6703281991803116E-2</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36.608173308036676</v>
      </c>
      <c r="H583" s="1322">
        <f t="shared" ref="H583:Q583" si="70">SUM(H584:H633)</f>
        <v>37.312045860899651</v>
      </c>
      <c r="I583" s="1322">
        <f t="shared" si="70"/>
        <v>37.954980315512621</v>
      </c>
      <c r="J583" s="1322">
        <f t="shared" si="70"/>
        <v>37.891107233403147</v>
      </c>
      <c r="K583" s="1322">
        <f t="shared" si="70"/>
        <v>38.313423869672327</v>
      </c>
      <c r="L583" s="1322">
        <f t="shared" si="70"/>
        <v>38.608080818410215</v>
      </c>
      <c r="M583" s="1322">
        <f t="shared" si="70"/>
        <v>38.531437197527218</v>
      </c>
      <c r="N583" s="1322">
        <f t="shared" si="70"/>
        <v>38.115187346330806</v>
      </c>
      <c r="O583" s="1322">
        <f t="shared" si="70"/>
        <v>38.07633994991194</v>
      </c>
      <c r="P583" s="1322">
        <f t="shared" si="70"/>
        <v>38.039328005553102</v>
      </c>
      <c r="Q583" s="1322">
        <f t="shared" si="70"/>
        <v>37.853585948392841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33.469202260406348</v>
      </c>
      <c r="H584" s="1267">
        <f t="shared" ref="H584:H613" si="71">G584+G636+G688+G740+G792+G844</f>
        <v>34.332183819572137</v>
      </c>
      <c r="I584" s="1267">
        <f t="shared" ref="I584:I613" si="72">H584+H636+H688</f>
        <v>35.064293188549847</v>
      </c>
      <c r="J584" s="1267">
        <f>IF(COUNT($H584:I584)&gt;='RFM input'!$AA$7,0, I584+I636+I688)</f>
        <v>34.954366932246835</v>
      </c>
      <c r="K584" s="1292">
        <f>IF(COUNT($H584:J584)&gt;='RFM input'!$AA$7,0, J584+J636+J688)</f>
        <v>35.605848415515595</v>
      </c>
      <c r="L584" s="1292">
        <f>IF(COUNT($H584:K584)&gt;='RFM input'!$AA$7,0, K584+K636+K688)</f>
        <v>36.133434274921839</v>
      </c>
      <c r="M584" s="1292">
        <f>IF(COUNT($H584:L584)&gt;='RFM input'!$AA$7,0, L584+L636+L688)</f>
        <v>36.253714851249988</v>
      </c>
      <c r="N584" s="1292">
        <f>IF(COUNT($H584:M584)&gt;='RFM input'!$AA$7,0, M584+M636+M688)</f>
        <v>36.051844887014745</v>
      </c>
      <c r="O584" s="1292">
        <f>IF(COUNT($H584:N584)&gt;='RFM input'!$AA$7,0, N584+N636+N688)</f>
        <v>36.170280199634121</v>
      </c>
      <c r="P584" s="1292">
        <f>IF(COUNT($H584:O584)&gt;='RFM input'!$AA$7,0, O584+O636+O688)</f>
        <v>36.331895432322227</v>
      </c>
      <c r="Q584" s="1292">
        <f>IF(COUNT($H584:P584)&gt;='RFM input'!$AA$7,0, P584+P636+P688)</f>
        <v>36.308487379024278</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0</v>
      </c>
      <c r="H585" s="1267">
        <f t="shared" si="71"/>
        <v>0</v>
      </c>
      <c r="I585" s="1267">
        <f t="shared" si="72"/>
        <v>0</v>
      </c>
      <c r="J585" s="1267">
        <f>IF(COUNT($H585:I585)&gt;='RFM input'!$AA$7,0, I585+I637+I689)</f>
        <v>0</v>
      </c>
      <c r="K585" s="1292">
        <f>IF(COUNT($H585:J585)&gt;='RFM input'!$AA$7,0, J585+J637+J689)</f>
        <v>0</v>
      </c>
      <c r="L585" s="1292">
        <f>IF(COUNT($H585:K585)&gt;='RFM input'!$AA$7,0, K585+K637+K689)</f>
        <v>0</v>
      </c>
      <c r="M585" s="1292">
        <f>IF(COUNT($H585:L585)&gt;='RFM input'!$AA$7,0, L585+L637+L689)</f>
        <v>0</v>
      </c>
      <c r="N585" s="1292">
        <f>IF(COUNT($H585:M585)&gt;='RFM input'!$AA$7,0, M585+M637+M689)</f>
        <v>0</v>
      </c>
      <c r="O585" s="1292">
        <f>IF(COUNT($H585:N585)&gt;='RFM input'!$AA$7,0, N585+N637+N689)</f>
        <v>0</v>
      </c>
      <c r="P585" s="1292">
        <f>IF(COUNT($H585:O585)&gt;='RFM input'!$AA$7,0, O585+O637+O689)</f>
        <v>0</v>
      </c>
      <c r="Q585" s="1292">
        <f>IF(COUNT($H585:P585)&gt;='RFM input'!$AA$7,0, P585+P637+P689)</f>
        <v>0</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0</v>
      </c>
      <c r="H586" s="1267">
        <f t="shared" si="71"/>
        <v>0</v>
      </c>
      <c r="I586" s="1267">
        <f t="shared" si="72"/>
        <v>0</v>
      </c>
      <c r="J586" s="1267">
        <f>IF(COUNT($H586:I586)&gt;='RFM input'!$AA$7,0, I586+I638+I690)</f>
        <v>0</v>
      </c>
      <c r="K586" s="1292">
        <f>IF(COUNT($H586:J586)&gt;='RFM input'!$AA$7,0, J586+J638+J690)</f>
        <v>0</v>
      </c>
      <c r="L586" s="1292">
        <f>IF(COUNT($H586:K586)&gt;='RFM input'!$AA$7,0, K586+K638+K690)</f>
        <v>0</v>
      </c>
      <c r="M586" s="1292">
        <f>IF(COUNT($H586:L586)&gt;='RFM input'!$AA$7,0, L586+L638+L690)</f>
        <v>0</v>
      </c>
      <c r="N586" s="1292">
        <f>IF(COUNT($H586:M586)&gt;='RFM input'!$AA$7,0, M586+M638+M690)</f>
        <v>0</v>
      </c>
      <c r="O586" s="1292">
        <f>IF(COUNT($H586:N586)&gt;='RFM input'!$AA$7,0, N586+N638+N690)</f>
        <v>0</v>
      </c>
      <c r="P586" s="1292">
        <f>IF(COUNT($H586:O586)&gt;='RFM input'!$AA$7,0, O586+O638+O690)</f>
        <v>0</v>
      </c>
      <c r="Q586" s="1292">
        <f>IF(COUNT($H586:P586)&gt;='RFM input'!$AA$7,0, P586+P638+P690)</f>
        <v>0</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0.43946015032915664</v>
      </c>
      <c r="H587" s="1267">
        <f t="shared" si="71"/>
        <v>0.44321788934403</v>
      </c>
      <c r="I587" s="1267">
        <f t="shared" si="72"/>
        <v>0.44929219909805385</v>
      </c>
      <c r="J587" s="1267">
        <f>IF(COUNT($H587:I587)&gt;='RFM input'!$AA$7,0, I587+I639+I691)</f>
        <v>0.44433465687175788</v>
      </c>
      <c r="K587" s="1292">
        <f>IF(COUNT($H587:J587)&gt;='RFM input'!$AA$7,0, J587+J639+J691)</f>
        <v>0.44458622574628553</v>
      </c>
      <c r="L587" s="1292">
        <f>IF(COUNT($H587:K587)&gt;='RFM input'!$AA$7,0, K587+K639+K691)</f>
        <v>0.44737514422090124</v>
      </c>
      <c r="M587" s="1292">
        <f>IF(COUNT($H587:L587)&gt;='RFM input'!$AA$7,0, L587+L639+L691)</f>
        <v>0.44319630007738842</v>
      </c>
      <c r="N587" s="1292">
        <f>IF(COUNT($H587:M587)&gt;='RFM input'!$AA$7,0, M587+M639+M691)</f>
        <v>0.4366280202708453</v>
      </c>
      <c r="O587" s="1292">
        <f>IF(COUNT($H587:N587)&gt;='RFM input'!$AA$7,0, N587+N639+N691)</f>
        <v>0.43385417653878139</v>
      </c>
      <c r="P587" s="1292">
        <f>IF(COUNT($H587:O587)&gt;='RFM input'!$AA$7,0, O587+O639+O691)</f>
        <v>0.43143448138778023</v>
      </c>
      <c r="Q587" s="1292">
        <f>IF(COUNT($H587:P587)&gt;='RFM input'!$AA$7,0, P587+P639+P691)</f>
        <v>0.4266355009283021</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0.28414967029114252</v>
      </c>
      <c r="K588" s="1292">
        <f>IF(COUNT($H588:J588)&gt;='RFM input'!$AA$7,0, J588+J640+J692)</f>
        <v>0.28734838822131359</v>
      </c>
      <c r="L588" s="1292">
        <f>IF(COUNT($H588:K588)&gt;='RFM input'!$AA$7,0, K588+K640+K692)</f>
        <v>0.29233395359920522</v>
      </c>
      <c r="M588" s="1292">
        <f>IF(COUNT($H588:L588)&gt;='RFM input'!$AA$7,0, L588+L640+L692)</f>
        <v>0.29296013758000317</v>
      </c>
      <c r="N588" s="1292">
        <f>IF(COUNT($H588:M588)&gt;='RFM input'!$AA$7,0, M588+M640+M692)</f>
        <v>0.29211002828184202</v>
      </c>
      <c r="O588" s="1292">
        <f>IF(COUNT($H588:N588)&gt;='RFM input'!$AA$7,0, N588+N640+N692)</f>
        <v>0.29387135054570096</v>
      </c>
      <c r="P588" s="1292">
        <f>IF(COUNT($H588:O588)&gt;='RFM input'!$AA$7,0, O588+O640+O692)</f>
        <v>0.29601469737621344</v>
      </c>
      <c r="Q588" s="1292">
        <f>IF(COUNT($H588:P588)&gt;='RFM input'!$AA$7,0, P588+P640+P692)</f>
        <v>0.29668526852240845</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8.0331870981517634E-3</v>
      </c>
      <c r="H589" s="1267">
        <f t="shared" si="71"/>
        <v>7.3627056426249652E-3</v>
      </c>
      <c r="I589" s="1267">
        <f t="shared" si="72"/>
        <v>6.6795069424646159E-3</v>
      </c>
      <c r="J589" s="1267">
        <f>IF(COUNT($H589:I589)&gt;='RFM input'!$AA$7,0, I589+I641+I693)</f>
        <v>5.7755649365047569E-3</v>
      </c>
      <c r="K589" s="1292">
        <f>IF(COUNT($H589:J589)&gt;='RFM input'!$AA$7,0, J589+J641+J693)</f>
        <v>4.9194405476849067E-3</v>
      </c>
      <c r="L589" s="1292">
        <f>IF(COUNT($H589:K589)&gt;='RFM input'!$AA$7,0, K589+K641+K693)</f>
        <v>4.0498383384849944E-3</v>
      </c>
      <c r="M589" s="1292">
        <f>IF(COUNT($H589:L589)&gt;='RFM input'!$AA$7,0, L589+L641+L693)</f>
        <v>3.0623776315078571E-3</v>
      </c>
      <c r="N589" s="1292">
        <f>IF(COUNT($H589:M589)&gt;='RFM input'!$AA$7,0, M589+M641+M693)</f>
        <v>2.0292219256233465E-3</v>
      </c>
      <c r="O589" s="1292">
        <f>IF(COUNT($H589:N589)&gt;='RFM input'!$AA$7,0, N589+N641+N693)</f>
        <v>0.11868270430244278</v>
      </c>
      <c r="P589" s="1292">
        <f>IF(COUNT($H589:O589)&gt;='RFM input'!$AA$7,0, O589+O641+O693)</f>
        <v>0.17010299714675015</v>
      </c>
      <c r="Q589" s="1292">
        <f>IF(COUNT($H589:P589)&gt;='RFM input'!$AA$7,0, P589+P641+P693)</f>
        <v>0.25772150734567345</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0</v>
      </c>
      <c r="H590" s="1267">
        <f t="shared" si="71"/>
        <v>0</v>
      </c>
      <c r="I590" s="1267">
        <f t="shared" si="72"/>
        <v>0</v>
      </c>
      <c r="J590" s="1267">
        <f>IF(COUNT($H590:I590)&gt;='RFM input'!$AA$7,0, I590+I642+I694)</f>
        <v>0</v>
      </c>
      <c r="K590" s="1292">
        <f>IF(COUNT($H590:J590)&gt;='RFM input'!$AA$7,0, J590+J642+J694)</f>
        <v>0</v>
      </c>
      <c r="L590" s="1292">
        <f>IF(COUNT($H590:K590)&gt;='RFM input'!$AA$7,0, K590+K642+K694)</f>
        <v>0</v>
      </c>
      <c r="M590" s="1292">
        <f>IF(COUNT($H590:L590)&gt;='RFM input'!$AA$7,0, L590+L642+L694)</f>
        <v>0</v>
      </c>
      <c r="N590" s="1292">
        <f>IF(COUNT($H590:M590)&gt;='RFM input'!$AA$7,0, M590+M642+M694)</f>
        <v>0</v>
      </c>
      <c r="O590" s="1292">
        <f>IF(COUNT($H590:N590)&gt;='RFM input'!$AA$7,0, N590+N642+N694)</f>
        <v>0</v>
      </c>
      <c r="P590" s="1292">
        <f>IF(COUNT($H590:O590)&gt;='RFM input'!$AA$7,0, O590+O642+O694)</f>
        <v>0</v>
      </c>
      <c r="Q590" s="1292">
        <f>IF(COUNT($H590:P590)&gt;='RFM input'!$AA$7,0, P590+P642+P694)</f>
        <v>0</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0</v>
      </c>
      <c r="H591" s="1267">
        <f t="shared" si="71"/>
        <v>0</v>
      </c>
      <c r="I591" s="1267">
        <f t="shared" si="72"/>
        <v>0</v>
      </c>
      <c r="J591" s="1267">
        <f>IF(COUNT($H591:I591)&gt;='RFM input'!$AA$7,0, I591+I643+I695)</f>
        <v>0</v>
      </c>
      <c r="K591" s="1292">
        <f>IF(COUNT($H591:J591)&gt;='RFM input'!$AA$7,0, J591+J643+J695)</f>
        <v>0</v>
      </c>
      <c r="L591" s="1292">
        <f>IF(COUNT($H591:K591)&gt;='RFM input'!$AA$7,0, K591+K643+K695)</f>
        <v>0</v>
      </c>
      <c r="M591" s="1292">
        <f>IF(COUNT($H591:L591)&gt;='RFM input'!$AA$7,0, L591+L643+L695)</f>
        <v>0</v>
      </c>
      <c r="N591" s="1292">
        <f>IF(COUNT($H591:M591)&gt;='RFM input'!$AA$7,0, M591+M643+M695)</f>
        <v>0</v>
      </c>
      <c r="O591" s="1292">
        <f>IF(COUNT($H591:N591)&gt;='RFM input'!$AA$7,0, N591+N643+N695)</f>
        <v>0</v>
      </c>
      <c r="P591" s="1292">
        <f>IF(COUNT($H591:O591)&gt;='RFM input'!$AA$7,0, O591+O643+O695)</f>
        <v>0</v>
      </c>
      <c r="Q591" s="1292">
        <f>IF(COUNT($H591:P591)&gt;='RFM input'!$AA$7,0, P591+P643+P695)</f>
        <v>0</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0</v>
      </c>
      <c r="H592" s="1267">
        <f t="shared" si="71"/>
        <v>0</v>
      </c>
      <c r="I592" s="1267">
        <f t="shared" si="72"/>
        <v>0</v>
      </c>
      <c r="J592" s="1267">
        <f>IF(COUNT($H592:I592)&gt;='RFM input'!$AA$7,0, I592+I644+I696)</f>
        <v>0</v>
      </c>
      <c r="K592" s="1292">
        <f>IF(COUNT($H592:J592)&gt;='RFM input'!$AA$7,0, J592+J644+J696)</f>
        <v>0</v>
      </c>
      <c r="L592" s="1292">
        <f>IF(COUNT($H592:K592)&gt;='RFM input'!$AA$7,0, K592+K644+K696)</f>
        <v>0</v>
      </c>
      <c r="M592" s="1292">
        <f>IF(COUNT($H592:L592)&gt;='RFM input'!$AA$7,0, L592+L644+L696)</f>
        <v>0</v>
      </c>
      <c r="N592" s="1292">
        <f>IF(COUNT($H592:M592)&gt;='RFM input'!$AA$7,0, M592+M644+M696)</f>
        <v>0</v>
      </c>
      <c r="O592" s="1292">
        <f>IF(COUNT($H592:N592)&gt;='RFM input'!$AA$7,0, N592+N644+N696)</f>
        <v>0</v>
      </c>
      <c r="P592" s="1292">
        <f>IF(COUNT($H592:O592)&gt;='RFM input'!$AA$7,0, O592+O644+O696)</f>
        <v>0</v>
      </c>
      <c r="Q592" s="1292">
        <f>IF(COUNT($H592:P592)&gt;='RFM input'!$AA$7,0, P592+P644+P696)</f>
        <v>0</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0</v>
      </c>
      <c r="H593" s="1267">
        <f t="shared" si="71"/>
        <v>0</v>
      </c>
      <c r="I593" s="1267">
        <f t="shared" si="72"/>
        <v>0</v>
      </c>
      <c r="J593" s="1267">
        <f>IF(COUNT($H593:I593)&gt;='RFM input'!$AA$7,0, I593+I645+I697)</f>
        <v>0</v>
      </c>
      <c r="K593" s="1292">
        <f>IF(COUNT($H593:J593)&gt;='RFM input'!$AA$7,0, J593+J645+J697)</f>
        <v>0</v>
      </c>
      <c r="L593" s="1292">
        <f>IF(COUNT($H593:K593)&gt;='RFM input'!$AA$7,0, K593+K645+K697)</f>
        <v>0</v>
      </c>
      <c r="M593" s="1292">
        <f>IF(COUNT($H593:L593)&gt;='RFM input'!$AA$7,0, L593+L645+L697)</f>
        <v>0</v>
      </c>
      <c r="N593" s="1292">
        <f>IF(COUNT($H593:M593)&gt;='RFM input'!$AA$7,0, M593+M645+M697)</f>
        <v>0</v>
      </c>
      <c r="O593" s="1292">
        <f>IF(COUNT($H593:N593)&gt;='RFM input'!$AA$7,0, N593+N645+N697)</f>
        <v>0</v>
      </c>
      <c r="P593" s="1292">
        <f>IF(COUNT($H593:O593)&gt;='RFM input'!$AA$7,0, O593+O645+O697)</f>
        <v>0</v>
      </c>
      <c r="Q593" s="1292">
        <f>IF(COUNT($H593:P593)&gt;='RFM input'!$AA$7,0, P593+P645+P697)</f>
        <v>0</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0</v>
      </c>
      <c r="J594" s="1267">
        <f>IF(COUNT($H594:I594)&gt;='RFM input'!$AA$7,0, I594+I646+I698)</f>
        <v>0</v>
      </c>
      <c r="K594" s="1292">
        <f>IF(COUNT($H594:J594)&gt;='RFM input'!$AA$7,0, J594+J646+J698)</f>
        <v>0</v>
      </c>
      <c r="L594" s="1292">
        <f>IF(COUNT($H594:K594)&gt;='RFM input'!$AA$7,0, K594+K646+K698)</f>
        <v>0</v>
      </c>
      <c r="M594" s="1292">
        <f>IF(COUNT($H594:L594)&gt;='RFM input'!$AA$7,0, L594+L646+L698)</f>
        <v>0</v>
      </c>
      <c r="N594" s="1292">
        <f>IF(COUNT($H594:M594)&gt;='RFM input'!$AA$7,0, M594+M646+M698)</f>
        <v>0</v>
      </c>
      <c r="O594" s="1292">
        <f>IF(COUNT($H594:N594)&gt;='RFM input'!$AA$7,0, N594+N646+N698)</f>
        <v>0</v>
      </c>
      <c r="P594" s="1292">
        <f>IF(COUNT($H594:O594)&gt;='RFM input'!$AA$7,0, O594+O646+O698)</f>
        <v>0</v>
      </c>
      <c r="Q594" s="1292">
        <f>IF(COUNT($H594:P594)&gt;='RFM input'!$AA$7,0, P594+P646+P698)</f>
        <v>0</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5.130171669312672E-2</v>
      </c>
      <c r="H595" s="1267">
        <f t="shared" si="71"/>
        <v>5.9999642941216097E-2</v>
      </c>
      <c r="I595" s="1267">
        <f t="shared" si="72"/>
        <v>0.13094474103672762</v>
      </c>
      <c r="J595" s="1267">
        <f>IF(COUNT($H595:I595)&gt;='RFM input'!$AA$7,0, I595+I647+I699)</f>
        <v>0.13521191058419879</v>
      </c>
      <c r="K595" s="1292">
        <f>IF(COUNT($H595:J595)&gt;='RFM input'!$AA$7,0, J595+J647+J699)</f>
        <v>0.12077696831590154</v>
      </c>
      <c r="L595" s="1292">
        <f>IF(COUNT($H595:K595)&gt;='RFM input'!$AA$7,0, K595+K647+K699)</f>
        <v>9.8274033128647048E-2</v>
      </c>
      <c r="M595" s="1292">
        <f>IF(COUNT($H595:L595)&gt;='RFM input'!$AA$7,0, L595+L647+L699)</f>
        <v>0.16257660398259435</v>
      </c>
      <c r="N595" s="1292">
        <f>IF(COUNT($H595:M595)&gt;='RFM input'!$AA$7,0, M595+M647+M699)</f>
        <v>0.22817300089364603</v>
      </c>
      <c r="O595" s="1292">
        <f>IF(COUNT($H595:N595)&gt;='RFM input'!$AA$7,0, N595+N647+N699)</f>
        <v>0.22241993831771897</v>
      </c>
      <c r="P595" s="1292">
        <f>IF(COUNT($H595:O595)&gt;='RFM input'!$AA$7,0, O595+O647+O699)</f>
        <v>0.2493594528692574</v>
      </c>
      <c r="Q595" s="1292">
        <f>IF(COUNT($H595:P595)&gt;='RFM input'!$AA$7,0, P595+P647+P699)</f>
        <v>0.2948229844780284</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2.6401759935098994</v>
      </c>
      <c r="H597" s="1267">
        <f t="shared" si="71"/>
        <v>2.4692818033996451</v>
      </c>
      <c r="I597" s="1267">
        <f t="shared" si="72"/>
        <v>2.3037706798855293</v>
      </c>
      <c r="J597" s="1267">
        <f>IF(COUNT($H597:I597)&gt;='RFM input'!$AA$7,0, I597+I649+I701)</f>
        <v>2.0672684984727088</v>
      </c>
      <c r="K597" s="1292">
        <f>IF(COUNT($H597:J597)&gt;='RFM input'!$AA$7,0, J597+J649+J701)</f>
        <v>1.849944431325544</v>
      </c>
      <c r="L597" s="1292">
        <f>IF(COUNT($H597:K597)&gt;='RFM input'!$AA$7,0, K597+K649+K701)</f>
        <v>1.6326135742011421</v>
      </c>
      <c r="M597" s="1292">
        <f>IF(COUNT($H597:L597)&gt;='RFM input'!$AA$7,0, L597+L649+L701)</f>
        <v>1.375926927005733</v>
      </c>
      <c r="N597" s="1292">
        <f>IF(COUNT($H597:M597)&gt;='RFM input'!$AA$7,0, M597+M649+M701)</f>
        <v>1.1044021879441051</v>
      </c>
      <c r="O597" s="1292">
        <f>IF(COUNT($H597:N597)&gt;='RFM input'!$AA$7,0, N597+N649+N701)</f>
        <v>0.83723158057317426</v>
      </c>
      <c r="P597" s="1292">
        <f>IF(COUNT($H597:O597)&gt;='RFM input'!$AA$7,0, O597+O649+O701)</f>
        <v>0.56052094445086875</v>
      </c>
      <c r="Q597" s="1292">
        <f>IF(COUNT($H597:P597)&gt;='RFM input'!$AA$7,0, P597+P649+P701)</f>
        <v>0.26923330809415019</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0.34719220307726456</v>
      </c>
      <c r="H635" s="1264">
        <f t="shared" ref="H635:Q635" si="75">SUM(H636:H685)</f>
        <v>8.4599984321491156E-2</v>
      </c>
      <c r="I635" s="1264">
        <f t="shared" si="75"/>
        <v>0.32079033718443678</v>
      </c>
      <c r="J635" s="1264">
        <f t="shared" si="75"/>
        <v>0.36905034268514358</v>
      </c>
      <c r="K635" s="1264">
        <f t="shared" si="75"/>
        <v>1.997095341216169E-2</v>
      </c>
      <c r="L635" s="1264">
        <f t="shared" si="75"/>
        <v>0.23549231335021523</v>
      </c>
      <c r="M635" s="1264">
        <f t="shared" si="75"/>
        <v>0.12019659435317546</v>
      </c>
      <c r="N635" s="1264">
        <f t="shared" si="75"/>
        <v>0.16946460735191962</v>
      </c>
      <c r="O635" s="1264">
        <f t="shared" si="75"/>
        <v>0.14588474141759197</v>
      </c>
      <c r="P635" s="1264">
        <f t="shared" si="75"/>
        <v>0.21790966992859434</v>
      </c>
      <c r="Q635" s="1264">
        <f t="shared" si="75"/>
        <v>0.21226779500694617</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0.3272949139240654</v>
      </c>
      <c r="H636" s="1292">
        <f>'Capital base roll forward'!H1242</f>
        <v>0</v>
      </c>
      <c r="I636" s="1292">
        <f>'Capital base roll forward'!I1242</f>
        <v>0</v>
      </c>
      <c r="J636" s="1292">
        <f>'Capital base roll forward'!J1242</f>
        <v>0.3449877906189745</v>
      </c>
      <c r="K636" s="1292">
        <f>'Capital base roll forward'!K1242</f>
        <v>0</v>
      </c>
      <c r="L636" s="1292">
        <f>'Capital base roll forward'!L1242</f>
        <v>0.13695552485239268</v>
      </c>
      <c r="M636" s="1292">
        <f>'Capital base roll forward'!M1242</f>
        <v>0</v>
      </c>
      <c r="N636" s="1292">
        <f>'Capital base roll forward'!N1242</f>
        <v>0</v>
      </c>
      <c r="O636" s="1292">
        <f>'Capital base roll forward'!O1242</f>
        <v>0</v>
      </c>
      <c r="P636" s="1292">
        <f>'Capital base roll forward'!P1242</f>
        <v>0</v>
      </c>
      <c r="Q636" s="1292">
        <f>'Capital base roll forward'!Q1242</f>
        <v>0</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0</v>
      </c>
      <c r="H637" s="1292">
        <f>'Capital base roll forward'!H1243</f>
        <v>0</v>
      </c>
      <c r="I637" s="1292">
        <f>'Capital base roll forward'!I1243</f>
        <v>0</v>
      </c>
      <c r="J637" s="1292">
        <f>'Capital base roll forward'!J1243</f>
        <v>0</v>
      </c>
      <c r="K637" s="1292">
        <f>'Capital base roll forward'!K1243</f>
        <v>0</v>
      </c>
      <c r="L637" s="1292">
        <f>'Capital base roll forward'!L1243</f>
        <v>0</v>
      </c>
      <c r="M637" s="1292">
        <f>'Capital base roll forward'!M1243</f>
        <v>0</v>
      </c>
      <c r="N637" s="1292">
        <f>'Capital base roll forward'!N1243</f>
        <v>0</v>
      </c>
      <c r="O637" s="1292">
        <f>'Capital base roll forward'!O1243</f>
        <v>0</v>
      </c>
      <c r="P637" s="1292">
        <f>'Capital base roll forward'!P1243</f>
        <v>0</v>
      </c>
      <c r="Q637" s="1292">
        <f>'Capital base roll forward'!Q1243</f>
        <v>0</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0</v>
      </c>
      <c r="M638" s="1292">
        <f>'Capital base roll forward'!M1244</f>
        <v>0</v>
      </c>
      <c r="N638" s="1292">
        <f>'Capital base roll forward'!N1244</f>
        <v>0</v>
      </c>
      <c r="O638" s="1292">
        <f>'Capital base roll forward'!O1244</f>
        <v>0</v>
      </c>
      <c r="P638" s="1292">
        <f>'Capital base roll forward'!P1244</f>
        <v>0</v>
      </c>
      <c r="Q638" s="1292">
        <f>'Capital base roll forward'!Q1244</f>
        <v>0</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0</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0</v>
      </c>
      <c r="P639" s="1292">
        <f>'Capital base roll forward'!P1245</f>
        <v>0</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0.28414967029114252</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v>
      </c>
      <c r="I641" s="1292">
        <f>'Capital base roll forward'!I1247</f>
        <v>0</v>
      </c>
      <c r="J641" s="1292">
        <f>'Capital base roll forward'!J1247</f>
        <v>0</v>
      </c>
      <c r="K641" s="1292">
        <f>'Capital base roll forward'!K1247</f>
        <v>0</v>
      </c>
      <c r="L641" s="1292">
        <f>'Capital base roll forward'!L1247</f>
        <v>0</v>
      </c>
      <c r="M641" s="1292">
        <f>'Capital base roll forward'!M1247</f>
        <v>0</v>
      </c>
      <c r="N641" s="1292">
        <f>'Capital base roll forward'!N1247</f>
        <v>0.11768962741468543</v>
      </c>
      <c r="O641" s="1292">
        <f>'Capital base roll forward'!O1247</f>
        <v>5.804830896880591E-2</v>
      </c>
      <c r="P641" s="1292">
        <f>'Capital base roll forward'!P1247</f>
        <v>9.7023056335132418E-2</v>
      </c>
      <c r="Q641" s="1292">
        <f>'Capital base roll forward'!Q1247</f>
        <v>0</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0</v>
      </c>
      <c r="N642" s="1292">
        <f>'Capital base roll forward'!N1248</f>
        <v>0</v>
      </c>
      <c r="O642" s="1292">
        <f>'Capital base roll forward'!O1248</f>
        <v>0</v>
      </c>
      <c r="P642" s="1292">
        <f>'Capital base roll forward'!P1248</f>
        <v>0</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0</v>
      </c>
      <c r="H644" s="1292">
        <f>'Capital base roll forward'!H1250</f>
        <v>0</v>
      </c>
      <c r="I644" s="1292">
        <f>'Capital base roll forward'!I1250</f>
        <v>0</v>
      </c>
      <c r="J644" s="1292">
        <f>'Capital base roll forward'!J1250</f>
        <v>0</v>
      </c>
      <c r="K644" s="1292">
        <f>'Capital base roll forward'!K1250</f>
        <v>0</v>
      </c>
      <c r="L644" s="1292">
        <f>'Capital base roll forward'!L1250</f>
        <v>0</v>
      </c>
      <c r="M644" s="1292">
        <f>'Capital base roll forward'!M1250</f>
        <v>0</v>
      </c>
      <c r="N644" s="1292">
        <f>'Capital base roll forward'!N1250</f>
        <v>0</v>
      </c>
      <c r="O644" s="1292">
        <f>'Capital base roll forward'!O1250</f>
        <v>0</v>
      </c>
      <c r="P644" s="1292">
        <f>'Capital base roll forward'!P1250</f>
        <v>0</v>
      </c>
      <c r="Q644" s="1292">
        <f>'Capital base roll forward'!Q1250</f>
        <v>0</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0</v>
      </c>
      <c r="J645" s="1292">
        <f>'Capital base roll forward'!J1251</f>
        <v>0</v>
      </c>
      <c r="K645" s="1292">
        <f>'Capital base roll forward'!K1251</f>
        <v>0</v>
      </c>
      <c r="L645" s="1292">
        <f>'Capital base roll forward'!L1251</f>
        <v>0</v>
      </c>
      <c r="M645" s="1292">
        <f>'Capital base roll forward'!M1251</f>
        <v>0</v>
      </c>
      <c r="N645" s="1292">
        <f>'Capital base roll forward'!N1251</f>
        <v>0</v>
      </c>
      <c r="O645" s="1292">
        <f>'Capital base roll forward'!O1251</f>
        <v>0</v>
      </c>
      <c r="P645" s="1292">
        <f>'Capital base roll forward'!P1251</f>
        <v>0</v>
      </c>
      <c r="Q645" s="1292">
        <f>'Capital base roll forward'!Q1251</f>
        <v>1.9324618280232107E-2</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0</v>
      </c>
      <c r="I646" s="1292">
        <f>'Capital base roll forward'!I1252</f>
        <v>0</v>
      </c>
      <c r="J646" s="1292">
        <f>'Capital base roll forward'!J1252</f>
        <v>0</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1.9897289153199171E-2</v>
      </c>
      <c r="H647" s="1292">
        <f>'Capital base roll forward'!H1253</f>
        <v>8.4599984321491156E-2</v>
      </c>
      <c r="I647" s="1292">
        <f>'Capital base roll forward'!I1253</f>
        <v>3.6640666893294253E-2</v>
      </c>
      <c r="J647" s="1292">
        <f>'Capital base roll forward'!J1253</f>
        <v>2.4062552066169106E-2</v>
      </c>
      <c r="K647" s="1292">
        <f>'Capital base roll forward'!K1253</f>
        <v>1.997095341216169E-2</v>
      </c>
      <c r="L647" s="1292">
        <f>'Capital base roll forward'!L1253</f>
        <v>9.8536788497822547E-2</v>
      </c>
      <c r="M647" s="1292">
        <f>'Capital base roll forward'!M1253</f>
        <v>0.12019659435317546</v>
      </c>
      <c r="N647" s="1292">
        <f>'Capital base roll forward'!N1253</f>
        <v>5.1774979937234199E-2</v>
      </c>
      <c r="O647" s="1292">
        <f>'Capital base roll forward'!O1253</f>
        <v>8.7836432448786056E-2</v>
      </c>
      <c r="P647" s="1292">
        <f>'Capital base roll forward'!P1253</f>
        <v>0.12088661359346192</v>
      </c>
      <c r="Q647" s="1292">
        <f>'Capital base roll forward'!Q1253</f>
        <v>0.10629117721308759</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8.6651999513626482E-2</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0</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0.35668034978570984</v>
      </c>
      <c r="H687" s="1264">
        <f t="shared" ref="H687:Q687" si="76">SUM(H688:H737)</f>
        <v>0.55833447029147665</v>
      </c>
      <c r="I687" s="1264">
        <f t="shared" si="76"/>
        <v>-0.38466341929391412</v>
      </c>
      <c r="J687" s="1264">
        <f t="shared" si="76"/>
        <v>5.326629358403856E-2</v>
      </c>
      <c r="K687" s="1264">
        <f t="shared" si="76"/>
        <v>0.27468599532573618</v>
      </c>
      <c r="L687" s="1264">
        <f t="shared" si="76"/>
        <v>-0.31213593423321861</v>
      </c>
      <c r="M687" s="1264">
        <f t="shared" si="76"/>
        <v>-0.53644644554958543</v>
      </c>
      <c r="N687" s="1264">
        <f t="shared" si="76"/>
        <v>-0.20831200377078554</v>
      </c>
      <c r="O687" s="1264">
        <f t="shared" si="76"/>
        <v>-0.18289668577643522</v>
      </c>
      <c r="P687" s="1264">
        <f t="shared" si="76"/>
        <v>-0.40365172708884811</v>
      </c>
      <c r="Q687" s="1264">
        <f t="shared" si="76"/>
        <v>-1.1842371313384525</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0.53568664524172771</v>
      </c>
      <c r="H688" s="1292">
        <f>'Capital base roll forward'!H1294</f>
        <v>0.73210936897770873</v>
      </c>
      <c r="I688" s="1292">
        <f>'Capital base roll forward'!I1294</f>
        <v>-0.1099262563030145</v>
      </c>
      <c r="J688" s="1292">
        <f>'Capital base roll forward'!J1294</f>
        <v>0.30649369264979076</v>
      </c>
      <c r="K688" s="1292">
        <f>'Capital base roll forward'!K1294</f>
        <v>0.52758585940624692</v>
      </c>
      <c r="L688" s="1292">
        <f>'Capital base roll forward'!L1294</f>
        <v>-1.6674948524242339E-2</v>
      </c>
      <c r="M688" s="1292">
        <f>'Capital base roll forward'!M1294</f>
        <v>-0.20186996423524484</v>
      </c>
      <c r="N688" s="1292">
        <f>'Capital base roll forward'!N1294</f>
        <v>0.11843531261937745</v>
      </c>
      <c r="O688" s="1292">
        <f>'Capital base roll forward'!O1294</f>
        <v>0.16161523268810518</v>
      </c>
      <c r="P688" s="1292">
        <f>'Capital base roll forward'!P1294</f>
        <v>-2.3408053297946485E-2</v>
      </c>
      <c r="Q688" s="1292">
        <f>'Capital base roll forward'!Q1294</f>
        <v>-0.73824832916293226</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0</v>
      </c>
      <c r="H689" s="1292">
        <f>'Capital base roll forward'!H1295</f>
        <v>0</v>
      </c>
      <c r="I689" s="1292">
        <f>'Capital base roll forward'!I1295</f>
        <v>0</v>
      </c>
      <c r="J689" s="1292">
        <f>'Capital base roll forward'!J1295</f>
        <v>0</v>
      </c>
      <c r="K689" s="1292">
        <f>'Capital base roll forward'!K1295</f>
        <v>0</v>
      </c>
      <c r="L689" s="1292">
        <f>'Capital base roll forward'!L1295</f>
        <v>0</v>
      </c>
      <c r="M689" s="1292">
        <f>'Capital base roll forward'!M1295</f>
        <v>0</v>
      </c>
      <c r="N689" s="1292">
        <f>'Capital base roll forward'!N1295</f>
        <v>0</v>
      </c>
      <c r="O689" s="1292">
        <f>'Capital base roll forward'!O1295</f>
        <v>0</v>
      </c>
      <c r="P689" s="1292">
        <f>'Capital base roll forward'!P1295</f>
        <v>0</v>
      </c>
      <c r="Q689" s="1292">
        <f>'Capital base roll forward'!Q1295</f>
        <v>0</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0</v>
      </c>
      <c r="H690" s="1292">
        <f>'Capital base roll forward'!H1296</f>
        <v>0</v>
      </c>
      <c r="I690" s="1292">
        <f>'Capital base roll forward'!I1296</f>
        <v>0</v>
      </c>
      <c r="J690" s="1292">
        <f>'Capital base roll forward'!J1296</f>
        <v>0</v>
      </c>
      <c r="K690" s="1292">
        <f>'Capital base roll forward'!K1296</f>
        <v>0</v>
      </c>
      <c r="L690" s="1292">
        <f>'Capital base roll forward'!L1296</f>
        <v>0</v>
      </c>
      <c r="M690" s="1292">
        <f>'Capital base roll forward'!M1296</f>
        <v>0</v>
      </c>
      <c r="N690" s="1292">
        <f>'Capital base roll forward'!N1296</f>
        <v>0</v>
      </c>
      <c r="O690" s="1292">
        <f>'Capital base roll forward'!O1296</f>
        <v>0</v>
      </c>
      <c r="P690" s="1292">
        <f>'Capital base roll forward'!P1296</f>
        <v>0</v>
      </c>
      <c r="Q690" s="1292">
        <f>'Capital base roll forward'!Q1296</f>
        <v>0</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3.7577390148733625E-3</v>
      </c>
      <c r="H691" s="1292">
        <f>'Capital base roll forward'!H1297</f>
        <v>6.0743097540238503E-3</v>
      </c>
      <c r="I691" s="1292">
        <f>'Capital base roll forward'!I1297</f>
        <v>-4.9575422262959695E-3</v>
      </c>
      <c r="J691" s="1292">
        <f>'Capital base roll forward'!J1297</f>
        <v>2.5156887452766445E-4</v>
      </c>
      <c r="K691" s="1292">
        <f>'Capital base roll forward'!K1297</f>
        <v>2.7889184746157213E-3</v>
      </c>
      <c r="L691" s="1292">
        <f>'Capital base roll forward'!L1297</f>
        <v>-4.1788441435128059E-3</v>
      </c>
      <c r="M691" s="1292">
        <f>'Capital base roll forward'!M1297</f>
        <v>-6.5682798065431107E-3</v>
      </c>
      <c r="N691" s="1292">
        <f>'Capital base roll forward'!N1297</f>
        <v>-2.7738437320639336E-3</v>
      </c>
      <c r="O691" s="1292">
        <f>'Capital base roll forward'!O1297</f>
        <v>-2.4196951510011659E-3</v>
      </c>
      <c r="P691" s="1292">
        <f>'Capital base roll forward'!P1297</f>
        <v>-4.7989804594781166E-3</v>
      </c>
      <c r="Q691" s="1292">
        <f>'Capital base roll forward'!Q1297</f>
        <v>-1.3343838891118993E-2</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3.1987179301710906E-3</v>
      </c>
      <c r="K692" s="1292">
        <f>'Capital base roll forward'!K1298</f>
        <v>4.9855653778916069E-3</v>
      </c>
      <c r="L692" s="1292">
        <f>'Capital base roll forward'!L1298</f>
        <v>6.2618398079795695E-4</v>
      </c>
      <c r="M692" s="1292">
        <f>'Capital base roll forward'!M1298</f>
        <v>-8.501092981611732E-4</v>
      </c>
      <c r="N692" s="1292">
        <f>'Capital base roll forward'!N1298</f>
        <v>1.7613222638589473E-3</v>
      </c>
      <c r="O692" s="1292">
        <f>'Capital base roll forward'!O1298</f>
        <v>2.1433468305124756E-3</v>
      </c>
      <c r="P692" s="1292">
        <f>'Capital base roll forward'!P1298</f>
        <v>6.7057114619498755E-4</v>
      </c>
      <c r="Q692" s="1292">
        <f>'Capital base roll forward'!Q1298</f>
        <v>-5.1428827638591648E-3</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-6.7048145552679847E-4</v>
      </c>
      <c r="H693" s="1292">
        <f>'Capital base roll forward'!H1299</f>
        <v>-6.8319870016034928E-4</v>
      </c>
      <c r="I693" s="1292">
        <f>'Capital base roll forward'!I1299</f>
        <v>-9.0394200595985883E-4</v>
      </c>
      <c r="J693" s="1292">
        <f>'Capital base roll forward'!J1299</f>
        <v>-8.5612438881985066E-4</v>
      </c>
      <c r="K693" s="1292">
        <f>'Capital base roll forward'!K1299</f>
        <v>-8.696022091999123E-4</v>
      </c>
      <c r="L693" s="1292">
        <f>'Capital base roll forward'!L1299</f>
        <v>-9.8746070697713754E-4</v>
      </c>
      <c r="M693" s="1292">
        <f>'Capital base roll forward'!M1299</f>
        <v>-1.0331557058845104E-3</v>
      </c>
      <c r="N693" s="1292">
        <f>'Capital base roll forward'!N1299</f>
        <v>-1.0361450378659836E-3</v>
      </c>
      <c r="O693" s="1292">
        <f>'Capital base roll forward'!O1299</f>
        <v>-6.62801612449853E-3</v>
      </c>
      <c r="P693" s="1292">
        <f>'Capital base roll forward'!P1299</f>
        <v>-9.4045461362090906E-3</v>
      </c>
      <c r="Q693" s="1292">
        <f>'Capital base roll forward'!Q1299</f>
        <v>-1.9776341619853175E-2</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0</v>
      </c>
      <c r="H694" s="1292">
        <f>'Capital base roll forward'!H1300</f>
        <v>0</v>
      </c>
      <c r="I694" s="1292">
        <f>'Capital base roll forward'!I1300</f>
        <v>0</v>
      </c>
      <c r="J694" s="1292">
        <f>'Capital base roll forward'!J1300</f>
        <v>0</v>
      </c>
      <c r="K694" s="1292">
        <f>'Capital base roll forward'!K1300</f>
        <v>0</v>
      </c>
      <c r="L694" s="1292">
        <f>'Capital base roll forward'!L1300</f>
        <v>0</v>
      </c>
      <c r="M694" s="1292">
        <f>'Capital base roll forward'!M1300</f>
        <v>0</v>
      </c>
      <c r="N694" s="1292">
        <f>'Capital base roll forward'!N1300</f>
        <v>0</v>
      </c>
      <c r="O694" s="1292">
        <f>'Capital base roll forward'!O1300</f>
        <v>0</v>
      </c>
      <c r="P694" s="1292">
        <f>'Capital base roll forward'!P1300</f>
        <v>0</v>
      </c>
      <c r="Q694" s="1292">
        <f>'Capital base roll forward'!Q1300</f>
        <v>0</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0</v>
      </c>
      <c r="H695" s="1292">
        <f>'Capital base roll forward'!H1301</f>
        <v>0</v>
      </c>
      <c r="I695" s="1292">
        <f>'Capital base roll forward'!I1301</f>
        <v>0</v>
      </c>
      <c r="J695" s="1292">
        <f>'Capital base roll forward'!J1301</f>
        <v>0</v>
      </c>
      <c r="K695" s="1292">
        <f>'Capital base roll forward'!K1301</f>
        <v>0</v>
      </c>
      <c r="L695" s="1292">
        <f>'Capital base roll forward'!L1301</f>
        <v>0</v>
      </c>
      <c r="M695" s="1292">
        <f>'Capital base roll forward'!M1301</f>
        <v>0</v>
      </c>
      <c r="N695" s="1292">
        <f>'Capital base roll forward'!N1301</f>
        <v>0</v>
      </c>
      <c r="O695" s="1292">
        <f>'Capital base roll forward'!O1301</f>
        <v>0</v>
      </c>
      <c r="P695" s="1292">
        <f>'Capital base roll forward'!P1301</f>
        <v>0</v>
      </c>
      <c r="Q695" s="1292">
        <f>'Capital base roll forward'!Q1301</f>
        <v>0</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0</v>
      </c>
      <c r="H696" s="1292">
        <f>'Capital base roll forward'!H1302</f>
        <v>0</v>
      </c>
      <c r="I696" s="1292">
        <f>'Capital base roll forward'!I1302</f>
        <v>0</v>
      </c>
      <c r="J696" s="1292">
        <f>'Capital base roll forward'!J1302</f>
        <v>0</v>
      </c>
      <c r="K696" s="1292">
        <f>'Capital base roll forward'!K1302</f>
        <v>0</v>
      </c>
      <c r="L696" s="1292">
        <f>'Capital base roll forward'!L1302</f>
        <v>0</v>
      </c>
      <c r="M696" s="1292">
        <f>'Capital base roll forward'!M1302</f>
        <v>0</v>
      </c>
      <c r="N696" s="1292">
        <f>'Capital base roll forward'!N1302</f>
        <v>0</v>
      </c>
      <c r="O696" s="1292">
        <f>'Capital base roll forward'!O1302</f>
        <v>0</v>
      </c>
      <c r="P696" s="1292">
        <f>'Capital base roll forward'!P1302</f>
        <v>0</v>
      </c>
      <c r="Q696" s="1292">
        <f>'Capital base roll forward'!Q1302</f>
        <v>0</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0</v>
      </c>
      <c r="H697" s="1292">
        <f>'Capital base roll forward'!H1303</f>
        <v>0</v>
      </c>
      <c r="I697" s="1292">
        <f>'Capital base roll forward'!I1303</f>
        <v>0</v>
      </c>
      <c r="J697" s="1292">
        <f>'Capital base roll forward'!J1303</f>
        <v>0</v>
      </c>
      <c r="K697" s="1292">
        <f>'Capital base roll forward'!K1303</f>
        <v>0</v>
      </c>
      <c r="L697" s="1292">
        <f>'Capital base roll forward'!L1303</f>
        <v>0</v>
      </c>
      <c r="M697" s="1292">
        <f>'Capital base roll forward'!M1303</f>
        <v>0</v>
      </c>
      <c r="N697" s="1292">
        <f>'Capital base roll forward'!N1303</f>
        <v>0</v>
      </c>
      <c r="O697" s="1292">
        <f>'Capital base roll forward'!O1303</f>
        <v>0</v>
      </c>
      <c r="P697" s="1292">
        <f>'Capital base roll forward'!P1303</f>
        <v>0</v>
      </c>
      <c r="Q697" s="1292">
        <f>'Capital base roll forward'!Q1303</f>
        <v>0</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0</v>
      </c>
      <c r="J698" s="1292">
        <f>'Capital base roll forward'!J1304</f>
        <v>0</v>
      </c>
      <c r="K698" s="1292">
        <f>'Capital base roll forward'!K1304</f>
        <v>0</v>
      </c>
      <c r="L698" s="1292">
        <f>'Capital base roll forward'!L1304</f>
        <v>0</v>
      </c>
      <c r="M698" s="1292">
        <f>'Capital base roll forward'!M1304</f>
        <v>0</v>
      </c>
      <c r="N698" s="1292">
        <f>'Capital base roll forward'!N1304</f>
        <v>0</v>
      </c>
      <c r="O698" s="1292">
        <f>'Capital base roll forward'!O1304</f>
        <v>0</v>
      </c>
      <c r="P698" s="1292">
        <f>'Capital base roll forward'!P1304</f>
        <v>0</v>
      </c>
      <c r="Q698" s="1292">
        <f>'Capital base roll forward'!Q1304</f>
        <v>0</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-1.1199362905109801E-2</v>
      </c>
      <c r="H699" s="1292">
        <f>'Capital base roll forward'!H1305</f>
        <v>-1.3654886225979618E-2</v>
      </c>
      <c r="I699" s="1292">
        <f>'Capital base roll forward'!I1305</f>
        <v>-3.2373497345823107E-2</v>
      </c>
      <c r="J699" s="1292">
        <f>'Capital base roll forward'!J1305</f>
        <v>-3.8497494334466371E-2</v>
      </c>
      <c r="K699" s="1292">
        <f>'Capital base roll forward'!K1305</f>
        <v>-4.2473888599416178E-2</v>
      </c>
      <c r="L699" s="1292">
        <f>'Capital base roll forward'!L1305</f>
        <v>-3.4234217643875249E-2</v>
      </c>
      <c r="M699" s="1292">
        <f>'Capital base roll forward'!M1305</f>
        <v>-5.4600197442123778E-2</v>
      </c>
      <c r="N699" s="1292">
        <f>'Capital base roll forward'!N1305</f>
        <v>-5.7528042513161272E-2</v>
      </c>
      <c r="O699" s="1292">
        <f>'Capital base roll forward'!O1305</f>
        <v>-6.0896917897247625E-2</v>
      </c>
      <c r="P699" s="1292">
        <f>'Capital base roll forward'!P1305</f>
        <v>-7.5423081984690873E-2</v>
      </c>
      <c r="Q699" s="1292">
        <f>'Capital base roll forward'!Q1305</f>
        <v>-0.10178914881473568</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-0.1708941901102545</v>
      </c>
      <c r="H701" s="1292">
        <f>'Capital base roll forward'!H1307</f>
        <v>-0.16551112351411601</v>
      </c>
      <c r="I701" s="1292">
        <f>'Capital base roll forward'!I1307</f>
        <v>-0.2365021814128207</v>
      </c>
      <c r="J701" s="1292">
        <f>'Capital base roll forward'!J1307</f>
        <v>-0.21732406714716473</v>
      </c>
      <c r="K701" s="1292">
        <f>'Capital base roll forward'!K1307</f>
        <v>-0.21733085712440192</v>
      </c>
      <c r="L701" s="1292">
        <f>'Capital base roll forward'!L1307</f>
        <v>-0.25668664719540901</v>
      </c>
      <c r="M701" s="1292">
        <f>'Capital base roll forward'!M1307</f>
        <v>-0.27152473906162794</v>
      </c>
      <c r="N701" s="1292">
        <f>'Capital base roll forward'!N1307</f>
        <v>-0.26717060737093073</v>
      </c>
      <c r="O701" s="1292">
        <f>'Capital base roll forward'!O1307</f>
        <v>-0.27671063612230556</v>
      </c>
      <c r="P701" s="1292">
        <f>'Capital base roll forward'!P1307</f>
        <v>-0.29128763635671856</v>
      </c>
      <c r="Q701" s="1292">
        <f>'Capital base roll forward'!Q1307</f>
        <v>-0.30593659008595331</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37.312045860899651</v>
      </c>
      <c r="H897" s="80">
        <f t="shared" ref="H897:Q897" si="77">SUM(H898:H947)</f>
        <v>37.954980315512621</v>
      </c>
      <c r="I897" s="80">
        <f t="shared" si="77"/>
        <v>37.891107233403147</v>
      </c>
      <c r="J897" s="80">
        <f t="shared" si="77"/>
        <v>38.313423869672327</v>
      </c>
      <c r="K897" s="80">
        <f t="shared" si="77"/>
        <v>38.608080818410215</v>
      </c>
      <c r="L897" s="80">
        <f t="shared" si="77"/>
        <v>38.531437197527218</v>
      </c>
      <c r="M897" s="80">
        <f t="shared" si="77"/>
        <v>38.115187346330806</v>
      </c>
      <c r="N897" s="80">
        <f t="shared" si="77"/>
        <v>38.07633994991194</v>
      </c>
      <c r="O897" s="80">
        <f t="shared" si="77"/>
        <v>38.039328005553102</v>
      </c>
      <c r="P897" s="80">
        <f t="shared" si="77"/>
        <v>37.853585948392841</v>
      </c>
      <c r="Q897" s="80">
        <f t="shared" si="77"/>
        <v>36.881616612061322</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34.332183819572137</v>
      </c>
      <c r="H898" s="1324">
        <f t="shared" ref="H898:I907" si="78">H584+H636+H688</f>
        <v>35.064293188549847</v>
      </c>
      <c r="I898" s="1324">
        <f t="shared" si="78"/>
        <v>34.954366932246835</v>
      </c>
      <c r="J898" s="1324">
        <f>IF(COUNT($H898:I898)&gt;='RFM input'!$AA$7,0, J584+J636+J688)</f>
        <v>35.605848415515595</v>
      </c>
      <c r="K898" s="1324">
        <f>IF(COUNT($H898:J898)&gt;='RFM input'!$AA$7,0, K584+K636+K688)</f>
        <v>36.133434274921839</v>
      </c>
      <c r="L898" s="1324">
        <f>IF(COUNT($H898:K898)&gt;='RFM input'!$AA$7,0, L584+L636+L688)</f>
        <v>36.253714851249988</v>
      </c>
      <c r="M898" s="1324">
        <f>IF(COUNT($H898:L898)&gt;='RFM input'!$AA$7,0, M584+M636+M688)</f>
        <v>36.051844887014745</v>
      </c>
      <c r="N898" s="1324">
        <f>IF(COUNT($H898:M898)&gt;='RFM input'!$AA$7,0, N584+N636+N688)</f>
        <v>36.170280199634121</v>
      </c>
      <c r="O898" s="1324">
        <f>IF(COUNT($H898:N898)&gt;='RFM input'!$AA$7,0, O584+O636+O688)</f>
        <v>36.331895432322227</v>
      </c>
      <c r="P898" s="1324">
        <f>IF(COUNT($H898:O898)&gt;='RFM input'!$AA$7,0, P584+P636+P688)</f>
        <v>36.308487379024278</v>
      </c>
      <c r="Q898" s="1324">
        <f>IF(COUNT($H898:P898)&gt;='RFM input'!$AA$7,0, Q584+Q636+Q688)</f>
        <v>35.570239049861343</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0</v>
      </c>
      <c r="H899" s="1324">
        <f t="shared" si="78"/>
        <v>0</v>
      </c>
      <c r="I899" s="1324">
        <f t="shared" si="78"/>
        <v>0</v>
      </c>
      <c r="J899" s="1324">
        <f>IF(COUNT($H899:I899)&gt;='RFM input'!$AA$7,0, J585+J637+J689)</f>
        <v>0</v>
      </c>
      <c r="K899" s="1324">
        <f>IF(COUNT($H899:J899)&gt;='RFM input'!$AA$7,0, K585+K637+K689)</f>
        <v>0</v>
      </c>
      <c r="L899" s="1324">
        <f>IF(COUNT($H899:K899)&gt;='RFM input'!$AA$7,0, L585+L637+L689)</f>
        <v>0</v>
      </c>
      <c r="M899" s="1324">
        <f>IF(COUNT($H899:L899)&gt;='RFM input'!$AA$7,0, M585+M637+M689)</f>
        <v>0</v>
      </c>
      <c r="N899" s="1324">
        <f>IF(COUNT($H899:M899)&gt;='RFM input'!$AA$7,0, N585+N637+N689)</f>
        <v>0</v>
      </c>
      <c r="O899" s="1324">
        <f>IF(COUNT($H899:N899)&gt;='RFM input'!$AA$7,0, O585+O637+O689)</f>
        <v>0</v>
      </c>
      <c r="P899" s="1324">
        <f>IF(COUNT($H899:O899)&gt;='RFM input'!$AA$7,0, P585+P637+P689)</f>
        <v>0</v>
      </c>
      <c r="Q899" s="1324">
        <f>IF(COUNT($H899:P899)&gt;='RFM input'!$AA$7,0, Q585+Q637+Q689)</f>
        <v>0</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0</v>
      </c>
      <c r="H900" s="1324">
        <f t="shared" si="78"/>
        <v>0</v>
      </c>
      <c r="I900" s="1324">
        <f t="shared" si="78"/>
        <v>0</v>
      </c>
      <c r="J900" s="1324">
        <f>IF(COUNT($H900:I900)&gt;='RFM input'!$AA$7,0, J586+J638+J690)</f>
        <v>0</v>
      </c>
      <c r="K900" s="1324">
        <f>IF(COUNT($H900:J900)&gt;='RFM input'!$AA$7,0, K586+K638+K690)</f>
        <v>0</v>
      </c>
      <c r="L900" s="1324">
        <f>IF(COUNT($H900:K900)&gt;='RFM input'!$AA$7,0, L586+L638+L690)</f>
        <v>0</v>
      </c>
      <c r="M900" s="1324">
        <f>IF(COUNT($H900:L900)&gt;='RFM input'!$AA$7,0, M586+M638+M690)</f>
        <v>0</v>
      </c>
      <c r="N900" s="1324">
        <f>IF(COUNT($H900:M900)&gt;='RFM input'!$AA$7,0, N586+N638+N690)</f>
        <v>0</v>
      </c>
      <c r="O900" s="1324">
        <f>IF(COUNT($H900:N900)&gt;='RFM input'!$AA$7,0, O586+O638+O690)</f>
        <v>0</v>
      </c>
      <c r="P900" s="1324">
        <f>IF(COUNT($H900:O900)&gt;='RFM input'!$AA$7,0, P586+P638+P690)</f>
        <v>0</v>
      </c>
      <c r="Q900" s="1324">
        <f>IF(COUNT($H900:P900)&gt;='RFM input'!$AA$7,0, Q586+Q638+Q690)</f>
        <v>0</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0.44321788934403</v>
      </c>
      <c r="H901" s="1324">
        <f t="shared" si="78"/>
        <v>0.44929219909805385</v>
      </c>
      <c r="I901" s="1324">
        <f t="shared" si="78"/>
        <v>0.44433465687175788</v>
      </c>
      <c r="J901" s="1324">
        <f>IF(COUNT($H901:I901)&gt;='RFM input'!$AA$7,0, J587+J639+J691)</f>
        <v>0.44458622574628553</v>
      </c>
      <c r="K901" s="1324">
        <f>IF(COUNT($H901:J901)&gt;='RFM input'!$AA$7,0, K587+K639+K691)</f>
        <v>0.44737514422090124</v>
      </c>
      <c r="L901" s="1324">
        <f>IF(COUNT($H901:K901)&gt;='RFM input'!$AA$7,0, L587+L639+L691)</f>
        <v>0.44319630007738842</v>
      </c>
      <c r="M901" s="1324">
        <f>IF(COUNT($H901:L901)&gt;='RFM input'!$AA$7,0, M587+M639+M691)</f>
        <v>0.4366280202708453</v>
      </c>
      <c r="N901" s="1324">
        <f>IF(COUNT($H901:M901)&gt;='RFM input'!$AA$7,0, N587+N639+N691)</f>
        <v>0.43385417653878139</v>
      </c>
      <c r="O901" s="1324">
        <f>IF(COUNT($H901:N901)&gt;='RFM input'!$AA$7,0, O587+O639+O691)</f>
        <v>0.43143448138778023</v>
      </c>
      <c r="P901" s="1324">
        <f>IF(COUNT($H901:O901)&gt;='RFM input'!$AA$7,0, P587+P639+P691)</f>
        <v>0.4266355009283021</v>
      </c>
      <c r="Q901" s="1324">
        <f>IF(COUNT($H901:P901)&gt;='RFM input'!$AA$7,0, Q587+Q639+Q691)</f>
        <v>0.41329166203718309</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0.28414967029114252</v>
      </c>
      <c r="J902" s="1324">
        <f>IF(COUNT($H902:I902)&gt;='RFM input'!$AA$7,0, J588+J640+J692)</f>
        <v>0.28734838822131359</v>
      </c>
      <c r="K902" s="1324">
        <f>IF(COUNT($H902:J902)&gt;='RFM input'!$AA$7,0, K588+K640+K692)</f>
        <v>0.29233395359920522</v>
      </c>
      <c r="L902" s="1324">
        <f>IF(COUNT($H902:K902)&gt;='RFM input'!$AA$7,0, L588+L640+L692)</f>
        <v>0.29296013758000317</v>
      </c>
      <c r="M902" s="1324">
        <f>IF(COUNT($H902:L902)&gt;='RFM input'!$AA$7,0, M588+M640+M692)</f>
        <v>0.29211002828184202</v>
      </c>
      <c r="N902" s="1324">
        <f>IF(COUNT($H902:M902)&gt;='RFM input'!$AA$7,0, N588+N640+N692)</f>
        <v>0.29387135054570096</v>
      </c>
      <c r="O902" s="1324">
        <f>IF(COUNT($H902:N902)&gt;='RFM input'!$AA$7,0, O588+O640+O692)</f>
        <v>0.29601469737621344</v>
      </c>
      <c r="P902" s="1324">
        <f>IF(COUNT($H902:O902)&gt;='RFM input'!$AA$7,0, P588+P640+P692)</f>
        <v>0.29668526852240845</v>
      </c>
      <c r="Q902" s="1324">
        <f>IF(COUNT($H902:P902)&gt;='RFM input'!$AA$7,0, Q588+Q640+Q692)</f>
        <v>0.29154238575854929</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7.3627056426249652E-3</v>
      </c>
      <c r="H903" s="1324">
        <f t="shared" si="78"/>
        <v>6.6795069424646159E-3</v>
      </c>
      <c r="I903" s="1324">
        <f t="shared" si="78"/>
        <v>5.7755649365047569E-3</v>
      </c>
      <c r="J903" s="1324">
        <f>IF(COUNT($H903:I903)&gt;='RFM input'!$AA$7,0, J589+J641+J693)</f>
        <v>4.9194405476849067E-3</v>
      </c>
      <c r="K903" s="1324">
        <f>IF(COUNT($H903:J903)&gt;='RFM input'!$AA$7,0, K589+K641+K693)</f>
        <v>4.0498383384849944E-3</v>
      </c>
      <c r="L903" s="1324">
        <f>IF(COUNT($H903:K903)&gt;='RFM input'!$AA$7,0, L589+L641+L693)</f>
        <v>3.0623776315078571E-3</v>
      </c>
      <c r="M903" s="1324">
        <f>IF(COUNT($H903:L903)&gt;='RFM input'!$AA$7,0, M589+M641+M693)</f>
        <v>2.0292219256233465E-3</v>
      </c>
      <c r="N903" s="1324">
        <f>IF(COUNT($H903:M903)&gt;='RFM input'!$AA$7,0, N589+N641+N693)</f>
        <v>0.11868270430244278</v>
      </c>
      <c r="O903" s="1324">
        <f>IF(COUNT($H903:N903)&gt;='RFM input'!$AA$7,0, O589+O641+O693)</f>
        <v>0.17010299714675015</v>
      </c>
      <c r="P903" s="1324">
        <f>IF(COUNT($H903:O903)&gt;='RFM input'!$AA$7,0, P589+P641+P693)</f>
        <v>0.25772150734567345</v>
      </c>
      <c r="Q903" s="1324">
        <f>IF(COUNT($H903:P903)&gt;='RFM input'!$AA$7,0, Q589+Q641+Q693)</f>
        <v>0.23794516572582028</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0</v>
      </c>
      <c r="H904" s="1324">
        <f t="shared" si="78"/>
        <v>0</v>
      </c>
      <c r="I904" s="1324">
        <f t="shared" si="78"/>
        <v>0</v>
      </c>
      <c r="J904" s="1324">
        <f>IF(COUNT($H904:I904)&gt;='RFM input'!$AA$7,0, J590+J642+J694)</f>
        <v>0</v>
      </c>
      <c r="K904" s="1324">
        <f>IF(COUNT($H904:J904)&gt;='RFM input'!$AA$7,0, K590+K642+K694)</f>
        <v>0</v>
      </c>
      <c r="L904" s="1324">
        <f>IF(COUNT($H904:K904)&gt;='RFM input'!$AA$7,0, L590+L642+L694)</f>
        <v>0</v>
      </c>
      <c r="M904" s="1324">
        <f>IF(COUNT($H904:L904)&gt;='RFM input'!$AA$7,0, M590+M642+M694)</f>
        <v>0</v>
      </c>
      <c r="N904" s="1324">
        <f>IF(COUNT($H904:M904)&gt;='RFM input'!$AA$7,0, N590+N642+N694)</f>
        <v>0</v>
      </c>
      <c r="O904" s="1324">
        <f>IF(COUNT($H904:N904)&gt;='RFM input'!$AA$7,0, O590+O642+O694)</f>
        <v>0</v>
      </c>
      <c r="P904" s="1324">
        <f>IF(COUNT($H904:O904)&gt;='RFM input'!$AA$7,0, P590+P642+P694)</f>
        <v>0</v>
      </c>
      <c r="Q904" s="1324">
        <f>IF(COUNT($H904:P904)&gt;='RFM input'!$AA$7,0, Q590+Q642+Q694)</f>
        <v>0</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0</v>
      </c>
      <c r="H905" s="1324">
        <f t="shared" si="78"/>
        <v>0</v>
      </c>
      <c r="I905" s="1324">
        <f t="shared" si="78"/>
        <v>0</v>
      </c>
      <c r="J905" s="1324">
        <f>IF(COUNT($H905:I905)&gt;='RFM input'!$AA$7,0, J591+J643+J695)</f>
        <v>0</v>
      </c>
      <c r="K905" s="1324">
        <f>IF(COUNT($H905:J905)&gt;='RFM input'!$AA$7,0, K591+K643+K695)</f>
        <v>0</v>
      </c>
      <c r="L905" s="1324">
        <f>IF(COUNT($H905:K905)&gt;='RFM input'!$AA$7,0, L591+L643+L695)</f>
        <v>0</v>
      </c>
      <c r="M905" s="1324">
        <f>IF(COUNT($H905:L905)&gt;='RFM input'!$AA$7,0, M591+M643+M695)</f>
        <v>0</v>
      </c>
      <c r="N905" s="1324">
        <f>IF(COUNT($H905:M905)&gt;='RFM input'!$AA$7,0, N591+N643+N695)</f>
        <v>0</v>
      </c>
      <c r="O905" s="1324">
        <f>IF(COUNT($H905:N905)&gt;='RFM input'!$AA$7,0, O591+O643+O695)</f>
        <v>0</v>
      </c>
      <c r="P905" s="1324">
        <f>IF(COUNT($H905:O905)&gt;='RFM input'!$AA$7,0, P591+P643+P695)</f>
        <v>0</v>
      </c>
      <c r="Q905" s="1324">
        <f>IF(COUNT($H905:P905)&gt;='RFM input'!$AA$7,0, Q591+Q643+Q695)</f>
        <v>0</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0</v>
      </c>
      <c r="H906" s="1324">
        <f t="shared" si="78"/>
        <v>0</v>
      </c>
      <c r="I906" s="1324">
        <f t="shared" si="78"/>
        <v>0</v>
      </c>
      <c r="J906" s="1324">
        <f>IF(COUNT($H906:I906)&gt;='RFM input'!$AA$7,0, J592+J644+J696)</f>
        <v>0</v>
      </c>
      <c r="K906" s="1324">
        <f>IF(COUNT($H906:J906)&gt;='RFM input'!$AA$7,0, K592+K644+K696)</f>
        <v>0</v>
      </c>
      <c r="L906" s="1324">
        <f>IF(COUNT($H906:K906)&gt;='RFM input'!$AA$7,0, L592+L644+L696)</f>
        <v>0</v>
      </c>
      <c r="M906" s="1324">
        <f>IF(COUNT($H906:L906)&gt;='RFM input'!$AA$7,0, M592+M644+M696)</f>
        <v>0</v>
      </c>
      <c r="N906" s="1324">
        <f>IF(COUNT($H906:M906)&gt;='RFM input'!$AA$7,0, N592+N644+N696)</f>
        <v>0</v>
      </c>
      <c r="O906" s="1324">
        <f>IF(COUNT($H906:N906)&gt;='RFM input'!$AA$7,0, O592+O644+O696)</f>
        <v>0</v>
      </c>
      <c r="P906" s="1324">
        <f>IF(COUNT($H906:O906)&gt;='RFM input'!$AA$7,0, P592+P644+P696)</f>
        <v>0</v>
      </c>
      <c r="Q906" s="1324">
        <f>IF(COUNT($H906:P906)&gt;='RFM input'!$AA$7,0, Q592+Q644+Q696)</f>
        <v>0</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0</v>
      </c>
      <c r="H907" s="1324">
        <f t="shared" si="78"/>
        <v>0</v>
      </c>
      <c r="I907" s="1324">
        <f t="shared" si="78"/>
        <v>0</v>
      </c>
      <c r="J907" s="1324">
        <f>IF(COUNT($H907:I907)&gt;='RFM input'!$AA$7,0, J593+J645+J697)</f>
        <v>0</v>
      </c>
      <c r="K907" s="1324">
        <f>IF(COUNT($H907:J907)&gt;='RFM input'!$AA$7,0, K593+K645+K697)</f>
        <v>0</v>
      </c>
      <c r="L907" s="1324">
        <f>IF(COUNT($H907:K907)&gt;='RFM input'!$AA$7,0, L593+L645+L697)</f>
        <v>0</v>
      </c>
      <c r="M907" s="1324">
        <f>IF(COUNT($H907:L907)&gt;='RFM input'!$AA$7,0, M593+M645+M697)</f>
        <v>0</v>
      </c>
      <c r="N907" s="1324">
        <f>IF(COUNT($H907:M907)&gt;='RFM input'!$AA$7,0, N593+N645+N697)</f>
        <v>0</v>
      </c>
      <c r="O907" s="1324">
        <f>IF(COUNT($H907:N907)&gt;='RFM input'!$AA$7,0, O593+O645+O697)</f>
        <v>0</v>
      </c>
      <c r="P907" s="1324">
        <f>IF(COUNT($H907:O907)&gt;='RFM input'!$AA$7,0, P593+P645+P697)</f>
        <v>0</v>
      </c>
      <c r="Q907" s="1324">
        <f>IF(COUNT($H907:P907)&gt;='RFM input'!$AA$7,0, Q593+Q645+Q697)</f>
        <v>1.9324618280232107E-2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0</v>
      </c>
      <c r="I908" s="1324">
        <f t="shared" si="80"/>
        <v>0</v>
      </c>
      <c r="J908" s="1324">
        <f>IF(COUNT($H908:I908)&gt;='RFM input'!$AA$7,0, J594+J646+J698)</f>
        <v>0</v>
      </c>
      <c r="K908" s="1324">
        <f>IF(COUNT($H908:J908)&gt;='RFM input'!$AA$7,0, K594+K646+K698)</f>
        <v>0</v>
      </c>
      <c r="L908" s="1324">
        <f>IF(COUNT($H908:K908)&gt;='RFM input'!$AA$7,0, L594+L646+L698)</f>
        <v>0</v>
      </c>
      <c r="M908" s="1324">
        <f>IF(COUNT($H908:L908)&gt;='RFM input'!$AA$7,0, M594+M646+M698)</f>
        <v>0</v>
      </c>
      <c r="N908" s="1324">
        <f>IF(COUNT($H908:M908)&gt;='RFM input'!$AA$7,0, N594+N646+N698)</f>
        <v>0</v>
      </c>
      <c r="O908" s="1324">
        <f>IF(COUNT($H908:N908)&gt;='RFM input'!$AA$7,0, O594+O646+O698)</f>
        <v>0</v>
      </c>
      <c r="P908" s="1324">
        <f>IF(COUNT($H908:O908)&gt;='RFM input'!$AA$7,0, P594+P646+P698)</f>
        <v>0</v>
      </c>
      <c r="Q908" s="1324">
        <f>IF(COUNT($H908:P908)&gt;='RFM input'!$AA$7,0, Q594+Q646+Q698)</f>
        <v>0</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5.9999642941216097E-2</v>
      </c>
      <c r="H909" s="1324">
        <f t="shared" si="80"/>
        <v>0.13094474103672762</v>
      </c>
      <c r="I909" s="1324">
        <f t="shared" si="80"/>
        <v>0.13521191058419879</v>
      </c>
      <c r="J909" s="1324">
        <f>IF(COUNT($H909:I909)&gt;='RFM input'!$AA$7,0, J595+J647+J699)</f>
        <v>0.12077696831590154</v>
      </c>
      <c r="K909" s="1324">
        <f>IF(COUNT($H909:J909)&gt;='RFM input'!$AA$7,0, K595+K647+K699)</f>
        <v>9.8274033128647048E-2</v>
      </c>
      <c r="L909" s="1324">
        <f>IF(COUNT($H909:K909)&gt;='RFM input'!$AA$7,0, L595+L647+L699)</f>
        <v>0.16257660398259435</v>
      </c>
      <c r="M909" s="1324">
        <f>IF(COUNT($H909:L909)&gt;='RFM input'!$AA$7,0, M595+M647+M699)</f>
        <v>0.22817300089364603</v>
      </c>
      <c r="N909" s="1324">
        <f>IF(COUNT($H909:M909)&gt;='RFM input'!$AA$7,0, N595+N647+N699)</f>
        <v>0.22241993831771897</v>
      </c>
      <c r="O909" s="1324">
        <f>IF(COUNT($H909:N909)&gt;='RFM input'!$AA$7,0, O595+O647+O699)</f>
        <v>0.2493594528692574</v>
      </c>
      <c r="P909" s="1324">
        <f>IF(COUNT($H909:O909)&gt;='RFM input'!$AA$7,0, P595+P647+P699)</f>
        <v>0.2948229844780284</v>
      </c>
      <c r="Q909" s="1324">
        <f>IF(COUNT($H909:P909)&gt;='RFM input'!$AA$7,0, Q595+Q647+Q699)</f>
        <v>0.29932501287638036</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8.6651999513626482E-2</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2.4692818033996451</v>
      </c>
      <c r="H911" s="1324">
        <f t="shared" si="80"/>
        <v>2.3037706798855293</v>
      </c>
      <c r="I911" s="1324">
        <f t="shared" si="80"/>
        <v>2.0672684984727088</v>
      </c>
      <c r="J911" s="1324">
        <f>IF(COUNT($H911:I911)&gt;='RFM input'!$AA$7,0, J597+J649+J701)</f>
        <v>1.849944431325544</v>
      </c>
      <c r="K911" s="1324">
        <f>IF(COUNT($H911:J911)&gt;='RFM input'!$AA$7,0, K597+K649+K701)</f>
        <v>1.6326135742011421</v>
      </c>
      <c r="L911" s="1324">
        <f>IF(COUNT($H911:K911)&gt;='RFM input'!$AA$7,0, L597+L649+L701)</f>
        <v>1.375926927005733</v>
      </c>
      <c r="M911" s="1324">
        <f>IF(COUNT($H911:L911)&gt;='RFM input'!$AA$7,0, M597+M649+M701)</f>
        <v>1.1044021879441051</v>
      </c>
      <c r="N911" s="1324">
        <f>IF(COUNT($H911:M911)&gt;='RFM input'!$AA$7,0, N597+N649+N701)</f>
        <v>0.83723158057317426</v>
      </c>
      <c r="O911" s="1324">
        <f>IF(COUNT($H911:N911)&gt;='RFM input'!$AA$7,0, O597+O649+O701)</f>
        <v>0.56052094445086875</v>
      </c>
      <c r="P911" s="1324">
        <f>IF(COUNT($H911:O911)&gt;='RFM input'!$AA$7,0, P597+P649+P701)</f>
        <v>0.26923330809415019</v>
      </c>
      <c r="Q911" s="1324">
        <f>IF(COUNT($H911:P911)&gt;='RFM input'!$AA$7,0, Q597+Q649+Q701)</f>
        <v>-3.6703281991803116E-2</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36.881616612061322</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35.570239049861343</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0</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0</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0.41329166203718309</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0.29154238575854929</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0.23794516572582028</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0</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0</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0</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1.9324618280232107E-2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0</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0.29932501287638036</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8.6651999513626482E-2</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-3.6703281991803116E-2</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Central West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t="str">
        <f>IF(LEN(Q4)&gt;4,CONCATENATE(LEFT(Q4, 4)+1 &amp;"-" &amp;IF(Q4&gt;"2007-08",,"0") &amp;RIGHT(Q4,2)+1),Q4+1)</f>
        <v>2020-21</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16.567766779501248</v>
      </c>
      <c r="I7" s="1301">
        <f t="shared" ref="I7:R7" si="1">SUM(I8:I57)</f>
        <v>14.649961177543791</v>
      </c>
      <c r="J7" s="1301">
        <f t="shared" si="1"/>
        <v>12.944445747562456</v>
      </c>
      <c r="K7" s="1301">
        <f t="shared" si="1"/>
        <v>11.265824922560356</v>
      </c>
      <c r="L7" s="1301">
        <f t="shared" si="1"/>
        <v>9.7677364993556672</v>
      </c>
      <c r="M7" s="1301">
        <f t="shared" si="1"/>
        <v>8.4878661288737849</v>
      </c>
      <c r="N7" s="1301">
        <f t="shared" si="1"/>
        <v>7.0713165705626402</v>
      </c>
      <c r="O7" s="1301">
        <f t="shared" si="1"/>
        <v>5.695590218435596</v>
      </c>
      <c r="P7" s="1301">
        <f t="shared" si="1"/>
        <v>4.2823943473890322</v>
      </c>
      <c r="Q7" s="1301">
        <f t="shared" si="1"/>
        <v>2.9216512911757073</v>
      </c>
      <c r="R7" s="1301">
        <f t="shared" si="1"/>
        <v>1.5291172557040653</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14.566358250000006</v>
      </c>
      <c r="I8" s="1267">
        <f>H8+H60+H124</f>
        <v>13.140906294250684</v>
      </c>
      <c r="J8" s="1267">
        <f>I8+I60+I124</f>
        <v>11.715454338501363</v>
      </c>
      <c r="K8" s="1267">
        <f>IF(COUNT($H8:J8)&gt;'RFM input'!$AA$7,0, J8+J60+J124+IF(K$111=0,'RFM input'!$I$515,0))</f>
        <v>10.623223672752044</v>
      </c>
      <c r="L8" s="1267">
        <f>IF(COUNT($H8:K8)&gt;'RFM input'!$AA$7,0, K8+K60+K124+IF(L$111=0,'RFM input'!$I$515,0))</f>
        <v>9.1811106525027224</v>
      </c>
      <c r="M8" s="1267">
        <f>IF(COUNT($H8:L8)&gt;'RFM input'!$AA$7,0, L8+L60+L124+IF(M$111=0,'RFM input'!$I$515,0))</f>
        <v>7.871606432253401</v>
      </c>
      <c r="N8" s="1267">
        <f>IF(COUNT($H8:M8)&gt;'RFM input'!$AA$7,0, M8+M60+M124+IF(N$111=0,'RFM input'!$I$515,0))</f>
        <v>6.4228629720040793</v>
      </c>
      <c r="O8" s="1267">
        <f>IF(COUNT($H8:N8)&gt;'RFM input'!$AA$7,0, N8+N60+N124+IF(O$111=0,'RFM input'!$I$515,0))</f>
        <v>4.9741195117547576</v>
      </c>
      <c r="P8" s="1267">
        <f>IF(COUNT($H8:O8)&gt;'RFM input'!$AA$7,0, O8+O60+O124+IF(P$111=0,'RFM input'!$I$515,0))</f>
        <v>3.5253760515054364</v>
      </c>
      <c r="Q8" s="1267">
        <f>IF(COUNT($H8:P8)&gt;'RFM input'!$AA$7,0, P8+P60+P124+IF(Q$111=0,'RFM input'!$I$515,0))</f>
        <v>2.0766325912561152</v>
      </c>
      <c r="R8" s="1267">
        <f>IF(COUNT($H8:Q8)&gt;'RFM input'!$AA$7,0, Q8+Q60+Q124+IF(R$111=0,'RFM input'!$I$515,0))</f>
        <v>0.627889131006794</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0</v>
      </c>
      <c r="I9" s="1267">
        <f>H9+H61+H137</f>
        <v>0</v>
      </c>
      <c r="J9" s="1267">
        <f>I9+I61+I137</f>
        <v>0</v>
      </c>
      <c r="K9" s="1267">
        <f>IF(COUNT($H9:J9)&gt;'RFM input'!$AA$7,0, J9+J61+J137+IF(K$111=0,'RFM input'!$I$516,0))</f>
        <v>0</v>
      </c>
      <c r="L9" s="1267">
        <f>IF(COUNT($H9:K9)&gt;'RFM input'!$AA$7,0, K9+K61+K137+IF(L$111=0,'RFM input'!$I$516,0))</f>
        <v>0</v>
      </c>
      <c r="M9" s="1267">
        <f>IF(COUNT($H9:L9)&gt;'RFM input'!$AA$7,0, L9+L61+L137+IF(M$111=0,'RFM input'!$I$516,0))</f>
        <v>0</v>
      </c>
      <c r="N9" s="1267">
        <f>IF(COUNT($H9:M9)&gt;'RFM input'!$AA$7,0, M9+M61+M137+IF(N$111=0,'RFM input'!$I$516,0))</f>
        <v>0</v>
      </c>
      <c r="O9" s="1267">
        <f>IF(COUNT($H9:N9)&gt;'RFM input'!$AA$7,0, N9+N61+N137+IF(O$111=0,'RFM input'!$I$516,0))</f>
        <v>0</v>
      </c>
      <c r="P9" s="1267">
        <f>IF(COUNT($H9:O9)&gt;'RFM input'!$AA$7,0, O9+O61+O137+IF(P$111=0,'RFM input'!$I$516,0))</f>
        <v>0</v>
      </c>
      <c r="Q9" s="1267">
        <f>IF(COUNT($H9:P9)&gt;'RFM input'!$AA$7,0, P9+P61+P137+IF(Q$111=0,'RFM input'!$I$516,0))</f>
        <v>0</v>
      </c>
      <c r="R9" s="1267">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0</v>
      </c>
      <c r="I10" s="1267">
        <f>H10+H62+H150</f>
        <v>0</v>
      </c>
      <c r="J10" s="1267">
        <f>I10+I62+I150</f>
        <v>0</v>
      </c>
      <c r="K10" s="1267">
        <f>IF(COUNT($H10:J10)&gt;'RFM input'!$AA$7,0, J10+J62+J150+IF(K$111=0,'RFM input'!$I$517,0))</f>
        <v>0</v>
      </c>
      <c r="L10" s="1267">
        <f>IF(COUNT($H10:K10)&gt;'RFM input'!$AA$7,0, K10+K62+K150+IF(L$111=0,'RFM input'!$I$517,0))</f>
        <v>0</v>
      </c>
      <c r="M10" s="1267">
        <f>IF(COUNT($H10:L10)&gt;'RFM input'!$AA$7,0, L10+L62+L150+IF(M$111=0,'RFM input'!$I$517,0))</f>
        <v>0</v>
      </c>
      <c r="N10" s="1267">
        <f>IF(COUNT($H10:M10)&gt;'RFM input'!$AA$7,0, M10+M62+M150+IF(N$111=0,'RFM input'!$I$517,0))</f>
        <v>0</v>
      </c>
      <c r="O10" s="1267">
        <f>IF(COUNT($H10:N10)&gt;'RFM input'!$AA$7,0, N10+N62+N150+IF(O$111=0,'RFM input'!$I$517,0))</f>
        <v>0</v>
      </c>
      <c r="P10" s="1267">
        <f>IF(COUNT($H10:O10)&gt;'RFM input'!$AA$7,0, O10+O62+O150+IF(P$111=0,'RFM input'!$I$517,0))</f>
        <v>0</v>
      </c>
      <c r="Q10" s="1267">
        <f>IF(COUNT($H10:P10)&gt;'RFM input'!$AA$7,0, P10+P62+P150+IF(Q$111=0,'RFM input'!$I$517,0))</f>
        <v>0</v>
      </c>
      <c r="R10" s="1267">
        <f>IF(COUNT($H10:Q10)&gt;'RFM input'!$AA$7,0, Q10+Q62+Q150+IF(R$111=0,'RFM input'!$I$517,0))</f>
        <v>0</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0.33111504999999997</v>
      </c>
      <c r="I11" s="1267">
        <f>H11+H63+H163</f>
        <v>0.31065393000112745</v>
      </c>
      <c r="J11" s="1267">
        <f>I11+I63+I163</f>
        <v>0.29019281000225494</v>
      </c>
      <c r="K11" s="1267">
        <f>IF(COUNT($H11:J11)&gt;'RFM input'!$AA$7,0, J11+J63+J163+IF(K$111=0,'RFM input'!$I$518,0))</f>
        <v>0.26973169000338243</v>
      </c>
      <c r="L11" s="1267">
        <f>IF(COUNT($H11:K11)&gt;'RFM input'!$AA$7,0, K11+K63+K163+IF(L$111=0,'RFM input'!$I$518,0))</f>
        <v>0.24927057000450992</v>
      </c>
      <c r="M11" s="1267">
        <f>IF(COUNT($H11:L11)&gt;'RFM input'!$AA$7,0, L11+L63+L163+IF(M$111=0,'RFM input'!$I$518,0))</f>
        <v>0.2288094500056374</v>
      </c>
      <c r="N11" s="1267">
        <f>IF(COUNT($H11:M11)&gt;'RFM input'!$AA$7,0, M11+M63+M163+IF(N$111=0,'RFM input'!$I$518,0))</f>
        <v>0.20834833000676489</v>
      </c>
      <c r="O11" s="1267">
        <f>IF(COUNT($H11:N11)&gt;'RFM input'!$AA$7,0, N11+N63+N163+IF(O$111=0,'RFM input'!$I$518,0))</f>
        <v>0.18788721000789238</v>
      </c>
      <c r="P11" s="1267">
        <f>IF(COUNT($H11:O11)&gt;'RFM input'!$AA$7,0, O11+O63+O163+IF(P$111=0,'RFM input'!$I$518,0))</f>
        <v>0.16742609000901987</v>
      </c>
      <c r="Q11" s="1267">
        <f>IF(COUNT($H11:P11)&gt;'RFM input'!$AA$7,0, P11+P63+P163+IF(Q$111=0,'RFM input'!$I$518,0))</f>
        <v>0.14696497001014736</v>
      </c>
      <c r="R11" s="1267">
        <f>IF(COUNT($H11:Q11)&gt;'RFM input'!$AA$7,0, Q11+Q63+Q163+IF(R$111=0,'RFM input'!$I$518,0))</f>
        <v>0.12650385001127484</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0.27356029999999998</v>
      </c>
      <c r="K12" s="1267">
        <f>IF(COUNT($H12:J12)&gt;'RFM input'!$AA$7,0, J12+J64+J176+IF(K$111=0,'RFM input'!$I$519,0))</f>
        <v>0.25988228499999999</v>
      </c>
      <c r="L12" s="1267">
        <f>IF(COUNT($H12:K12)&gt;'RFM input'!$AA$7,0, K12+K64+K176+IF(L$111=0,'RFM input'!$I$519,0))</f>
        <v>0.24620427</v>
      </c>
      <c r="M12" s="1267">
        <f>IF(COUNT($H12:L12)&gt;'RFM input'!$AA$7,0, L12+L64+L176+IF(M$111=0,'RFM input'!$I$519,0))</f>
        <v>0.23252625500000002</v>
      </c>
      <c r="N12" s="1267">
        <f>IF(COUNT($H12:M12)&gt;'RFM input'!$AA$7,0, M12+M64+M176+IF(N$111=0,'RFM input'!$I$519,0))</f>
        <v>0.21884824000000003</v>
      </c>
      <c r="O12" s="1267">
        <f>IF(COUNT($H12:N12)&gt;'RFM input'!$AA$7,0, N12+N64+N176+IF(O$111=0,'RFM input'!$I$519,0))</f>
        <v>0.20517022500000004</v>
      </c>
      <c r="P12" s="1267">
        <f>IF(COUNT($H12:O12)&gt;'RFM input'!$AA$7,0, O12+O64+O176+IF(P$111=0,'RFM input'!$I$519,0))</f>
        <v>0.19149221000000005</v>
      </c>
      <c r="Q12" s="1267">
        <f>IF(COUNT($H12:P12)&gt;'RFM input'!$AA$7,0, P12+P64+P176+IF(Q$111=0,'RFM input'!$I$519,0))</f>
        <v>0.17781419500000006</v>
      </c>
      <c r="R12" s="1267">
        <f>IF(COUNT($H12:Q12)&gt;'RFM input'!$AA$7,0, Q12+Q64+Q176+IF(R$111=0,'RFM input'!$I$519,0))</f>
        <v>0.16413618000000008</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3.2319000000000011E-3</v>
      </c>
      <c r="I13" s="1267">
        <f>H13+H65+H189</f>
        <v>2.1546000000000004E-3</v>
      </c>
      <c r="J13" s="1267">
        <f>I13+I65+I189</f>
        <v>1.0773E-3</v>
      </c>
      <c r="K13" s="1267">
        <f>IF(COUNT($H13:J13)&gt;'RFM input'!$AA$7,0, J13+J65+J189+IF(K$111=0,'RFM input'!$I$520,0))</f>
        <v>-4.3368086899420177E-19</v>
      </c>
      <c r="L13" s="1267">
        <f>IF(COUNT($H13:K13)&gt;'RFM input'!$AA$7,0, K13+K65+K189+IF(L$111=0,'RFM input'!$I$520,0))</f>
        <v>-4.3368086899420177E-19</v>
      </c>
      <c r="M13" s="1267">
        <f>IF(COUNT($H13:L13)&gt;'RFM input'!$AA$7,0, L13+L65+L189+IF(M$111=0,'RFM input'!$I$520,0))</f>
        <v>-4.3368086899420177E-19</v>
      </c>
      <c r="N13" s="1267">
        <f>IF(COUNT($H13:M13)&gt;'RFM input'!$AA$7,0, M13+M65+M189+IF(N$111=0,'RFM input'!$I$520,0))</f>
        <v>-4.3368086899420177E-19</v>
      </c>
      <c r="O13" s="1267">
        <f>IF(COUNT($H13:N13)&gt;'RFM input'!$AA$7,0, N13+N65+N189+IF(O$111=0,'RFM input'!$I$520,0))</f>
        <v>0.11472373</v>
      </c>
      <c r="P13" s="1267">
        <f>IF(COUNT($H13:O13)&gt;'RFM input'!$AA$7,0, O13+O65+O189+IF(P$111=0,'RFM input'!$I$520,0))</f>
        <v>0.159847727</v>
      </c>
      <c r="Q13" s="1267">
        <f>IF(COUNT($H13:P13)&gt;'RFM input'!$AA$7,0, P13+P65+P189+IF(Q$111=0,'RFM input'!$I$520,0))</f>
        <v>0.23747607699999998</v>
      </c>
      <c r="R13" s="1267">
        <f>IF(COUNT($H13:Q13)&gt;'RFM input'!$AA$7,0, Q13+Q65+Q189+IF(R$111=0,'RFM input'!$I$520,0))</f>
        <v>0.21086803099999998</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0</v>
      </c>
      <c r="I14" s="1267">
        <f>H14+H66+H202</f>
        <v>0</v>
      </c>
      <c r="J14" s="1267">
        <f>I14+I66+I202</f>
        <v>0</v>
      </c>
      <c r="K14" s="1267">
        <f>IF(COUNT($H14:J14)&gt;'RFM input'!$AA$7,0, J14+J66+J202+IF(K$111=0,'RFM input'!$I$521,0))</f>
        <v>0</v>
      </c>
      <c r="L14" s="1267">
        <f>IF(COUNT($H14:K14)&gt;'RFM input'!$AA$7,0, K14+K66+K202+IF(L$111=0,'RFM input'!$I$521,0))</f>
        <v>0</v>
      </c>
      <c r="M14" s="1267">
        <f>IF(COUNT($H14:L14)&gt;'RFM input'!$AA$7,0, L14+L66+L202+IF(M$111=0,'RFM input'!$I$521,0))</f>
        <v>0</v>
      </c>
      <c r="N14" s="1267">
        <f>IF(COUNT($H14:M14)&gt;'RFM input'!$AA$7,0, M14+M66+M202+IF(N$111=0,'RFM input'!$I$521,0))</f>
        <v>0</v>
      </c>
      <c r="O14" s="1267">
        <f>IF(COUNT($H14:N14)&gt;'RFM input'!$AA$7,0, N14+N66+N202+IF(O$111=0,'RFM input'!$I$521,0))</f>
        <v>0</v>
      </c>
      <c r="P14" s="1267">
        <f>IF(COUNT($H14:O14)&gt;'RFM input'!$AA$7,0, O14+O66+O202+IF(P$111=0,'RFM input'!$I$521,0))</f>
        <v>0</v>
      </c>
      <c r="Q14" s="1267">
        <f>IF(COUNT($H14:P14)&gt;'RFM input'!$AA$7,0, P14+P66+P202+IF(Q$111=0,'RFM input'!$I$521,0))</f>
        <v>0</v>
      </c>
      <c r="R14" s="1267">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0</v>
      </c>
      <c r="I15" s="1267">
        <f>H15+H67+H215</f>
        <v>0</v>
      </c>
      <c r="J15" s="1267">
        <f>I15+I67+I215</f>
        <v>0</v>
      </c>
      <c r="K15" s="1267">
        <f>IF(COUNT($H15:J15)&gt;'RFM input'!$AA$7,0, J15+J67+J215+IF(K$111=0,'RFM input'!$I$522,0))</f>
        <v>0</v>
      </c>
      <c r="L15" s="1267">
        <f>IF(COUNT($H15:K15)&gt;'RFM input'!$AA$7,0, K15+K67+K215+IF(L$111=0,'RFM input'!$I$522,0))</f>
        <v>0</v>
      </c>
      <c r="M15" s="1267">
        <f>IF(COUNT($H15:L15)&gt;'RFM input'!$AA$7,0, L15+L67+L215+IF(M$111=0,'RFM input'!$I$522,0))</f>
        <v>0</v>
      </c>
      <c r="N15" s="1267">
        <f>IF(COUNT($H15:M15)&gt;'RFM input'!$AA$7,0, M15+M67+M215+IF(N$111=0,'RFM input'!$I$522,0))</f>
        <v>0</v>
      </c>
      <c r="O15" s="1267">
        <f>IF(COUNT($H15:N15)&gt;'RFM input'!$AA$7,0, N15+N67+N215+IF(O$111=0,'RFM input'!$I$522,0))</f>
        <v>0</v>
      </c>
      <c r="P15" s="1267">
        <f>IF(COUNT($H15:O15)&gt;'RFM input'!$AA$7,0, O15+O67+O215+IF(P$111=0,'RFM input'!$I$522,0))</f>
        <v>0</v>
      </c>
      <c r="Q15" s="1267">
        <f>IF(COUNT($H15:P15)&gt;'RFM input'!$AA$7,0, P15+P67+P215+IF(Q$111=0,'RFM input'!$I$522,0))</f>
        <v>0</v>
      </c>
      <c r="R15" s="1267">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0</v>
      </c>
      <c r="I16" s="1267">
        <f>H16+H68+H228</f>
        <v>0</v>
      </c>
      <c r="J16" s="1267">
        <f>I16+I68+I228</f>
        <v>0</v>
      </c>
      <c r="K16" s="1267">
        <f>IF(COUNT($H16:J16)&gt;'RFM input'!$AA$7,0, J16+J68+J228+IF(K$111=0,'RFM input'!$I$523,0))</f>
        <v>0</v>
      </c>
      <c r="L16" s="1267">
        <f>IF(COUNT($H16:K16)&gt;'RFM input'!$AA$7,0, K16+K68+K228+IF(L$111=0,'RFM input'!$I$523,0))</f>
        <v>0</v>
      </c>
      <c r="M16" s="1267">
        <f>IF(COUNT($H16:L16)&gt;'RFM input'!$AA$7,0, L16+L68+L228+IF(M$111=0,'RFM input'!$I$523,0))</f>
        <v>0</v>
      </c>
      <c r="N16" s="1267">
        <f>IF(COUNT($H16:M16)&gt;'RFM input'!$AA$7,0, M16+M68+M228+IF(N$111=0,'RFM input'!$I$523,0))</f>
        <v>0</v>
      </c>
      <c r="O16" s="1267">
        <f>IF(COUNT($H16:N16)&gt;'RFM input'!$AA$7,0, N16+N68+N228+IF(O$111=0,'RFM input'!$I$523,0))</f>
        <v>0</v>
      </c>
      <c r="P16" s="1267">
        <f>IF(COUNT($H16:O16)&gt;'RFM input'!$AA$7,0, O16+O68+O228+IF(P$111=0,'RFM input'!$I$523,0))</f>
        <v>0</v>
      </c>
      <c r="Q16" s="1267">
        <f>IF(COUNT($H16:P16)&gt;'RFM input'!$AA$7,0, P16+P68+P228+IF(Q$111=0,'RFM input'!$I$523,0))</f>
        <v>0</v>
      </c>
      <c r="R16" s="1267">
        <f>IF(COUNT($H16:Q16)&gt;'RFM input'!$AA$7,0, Q16+Q68+Q228+IF(R$111=0,'RFM input'!$I$523,0))</f>
        <v>0</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0</v>
      </c>
      <c r="I17" s="1267">
        <f>H17+H69+H241</f>
        <v>0</v>
      </c>
      <c r="J17" s="1267">
        <f>I17+I69+I241</f>
        <v>0</v>
      </c>
      <c r="K17" s="1267">
        <f>IF(COUNT($H17:J17)&gt;'RFM input'!$AA$7,0, J17+J69+J241+IF(K$111=0,'RFM input'!$I$524,0))</f>
        <v>0</v>
      </c>
      <c r="L17" s="1267">
        <f>IF(COUNT($H17:K17)&gt;'RFM input'!$AA$7,0, K17+K69+K241+IF(L$111=0,'RFM input'!$I$524,0))</f>
        <v>0</v>
      </c>
      <c r="M17" s="1267">
        <f>IF(COUNT($H17:L17)&gt;'RFM input'!$AA$7,0, L17+L69+L241+IF(M$111=0,'RFM input'!$I$524,0))</f>
        <v>0</v>
      </c>
      <c r="N17" s="1267">
        <f>IF(COUNT($H17:M17)&gt;'RFM input'!$AA$7,0, M17+M69+M241+IF(N$111=0,'RFM input'!$I$524,0))</f>
        <v>0</v>
      </c>
      <c r="O17" s="1267">
        <f>IF(COUNT($H17:N17)&gt;'RFM input'!$AA$7,0, N17+N69+N241+IF(O$111=0,'RFM input'!$I$524,0))</f>
        <v>0</v>
      </c>
      <c r="P17" s="1267">
        <f>IF(COUNT($H17:O17)&gt;'RFM input'!$AA$7,0, O17+O69+O241+IF(P$111=0,'RFM input'!$I$524,0))</f>
        <v>0</v>
      </c>
      <c r="Q17" s="1267">
        <f>IF(COUNT($H17:P17)&gt;'RFM input'!$AA$7,0, P17+P69+P241+IF(Q$111=0,'RFM input'!$I$524,0))</f>
        <v>0</v>
      </c>
      <c r="R17" s="1267">
        <f>IF(COUNT($H17:Q17)&gt;'RFM input'!$AA$7,0, Q17+Q69+Q241+IF(R$111=0,'RFM input'!$I$524,0))</f>
        <v>1.9144029999999999E-2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0</v>
      </c>
      <c r="J18" s="1267">
        <f>I18+I70+I254</f>
        <v>0</v>
      </c>
      <c r="K18" s="1267">
        <f>IF(COUNT($H18:J18)&gt;'RFM input'!$AA$7,0, J18+J70+J254+IF(K$111=0,'RFM input'!$I$525,0))</f>
        <v>0</v>
      </c>
      <c r="L18" s="1267">
        <f>IF(COUNT($H18:K18)&gt;'RFM input'!$AA$7,0, K18+K70+K254+IF(L$111=0,'RFM input'!$I$525,0))</f>
        <v>0</v>
      </c>
      <c r="M18" s="1267">
        <f>IF(COUNT($H18:L18)&gt;'RFM input'!$AA$7,0, L18+L70+L254+IF(M$111=0,'RFM input'!$I$525,0))</f>
        <v>0</v>
      </c>
      <c r="N18" s="1267">
        <f>IF(COUNT($H18:M18)&gt;'RFM input'!$AA$7,0, M18+M70+M254+IF(N$111=0,'RFM input'!$I$525,0))</f>
        <v>0</v>
      </c>
      <c r="O18" s="1267">
        <f>IF(COUNT($H18:N18)&gt;'RFM input'!$AA$7,0, N18+N70+N254+IF(O$111=0,'RFM input'!$I$525,0))</f>
        <v>0</v>
      </c>
      <c r="P18" s="1267">
        <f>IF(COUNT($H18:O18)&gt;'RFM input'!$AA$7,0, O18+O70+O254+IF(P$111=0,'RFM input'!$I$525,0))</f>
        <v>0</v>
      </c>
      <c r="Q18" s="1267">
        <f>IF(COUNT($H18:P18)&gt;'RFM input'!$AA$7,0, P18+P70+P254+IF(Q$111=0,'RFM input'!$I$525,0))</f>
        <v>0</v>
      </c>
      <c r="R18" s="1267">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5.5656811501243936E-2</v>
      </c>
      <c r="I19" s="1267">
        <f>H19+H71+H267</f>
        <v>0.12197016314470489</v>
      </c>
      <c r="J19" s="1267">
        <f>I19+I71+I267</f>
        <v>0.12701338676429064</v>
      </c>
      <c r="K19" s="1267">
        <f>IF(COUNT($H19:J19)&gt;'RFM input'!$AA$7,0, J19+J71+J267+IF(K$111=0,'RFM input'!$I$526,0))</f>
        <v>0.1129682403631061</v>
      </c>
      <c r="L19" s="1267">
        <f>IF(COUNT($H19:K19)&gt;'RFM input'!$AA$7,0, K19+K71+K267+IF(L$111=0,'RFM input'!$I$526,0))</f>
        <v>9.1151006848433996E-2</v>
      </c>
      <c r="M19" s="1267">
        <f>IF(COUNT($H19:L19)&gt;'RFM input'!$AA$7,0, L19+L71+L267+IF(M$111=0,'RFM input'!$I$526,0))</f>
        <v>0.15492399161474635</v>
      </c>
      <c r="N19" s="1267">
        <f>IF(COUNT($H19:M19)&gt;'RFM input'!$AA$7,0, M19+M71+M267+IF(N$111=0,'RFM input'!$I$526,0))</f>
        <v>0.22125702855179569</v>
      </c>
      <c r="O19" s="1267">
        <f>IF(COUNT($H19:N19)&gt;'RFM input'!$AA$7,0, N19+N71+N267+IF(O$111=0,'RFM input'!$I$526,0))</f>
        <v>0.21368954167294629</v>
      </c>
      <c r="P19" s="1267">
        <f>IF(COUNT($H19:O19)&gt;'RFM input'!$AA$7,0, O19+O71+O267+IF(P$111=0,'RFM input'!$I$526,0))</f>
        <v>0.23825226887457573</v>
      </c>
      <c r="Q19" s="1267">
        <f>IF(COUNT($H19:P19)&gt;'RFM input'!$AA$7,0, P19+P71+P267+IF(Q$111=0,'RFM input'!$I$526,0))</f>
        <v>0.28276345790944474</v>
      </c>
      <c r="R19" s="1267">
        <f>IF(COUNT($H19:Q19)&gt;'RFM input'!$AA$7,0, Q19+Q71+Q267+IF(R$111=0,'RFM input'!$I$526,0))</f>
        <v>0.29473379586307541</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8.5842237822920997E-2</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1.6114047680000005</v>
      </c>
      <c r="I21" s="1267">
        <f>H21+H73+H293</f>
        <v>1.0742761901472746</v>
      </c>
      <c r="J21" s="1267">
        <f>I21+I73+I293</f>
        <v>0.53714761229454866</v>
      </c>
      <c r="K21" s="1267">
        <f>IF(COUNT($H21:J21)&gt;'RFM input'!$AA$7,0, J21+J73+J293+IF(K$111=0,'RFM input'!$I$528,0))</f>
        <v>1.9034441822718406E-5</v>
      </c>
      <c r="L21" s="1267">
        <f>IF(COUNT($H21:K21)&gt;'RFM input'!$AA$7,0, K21+K73+K293+IF(L$111=0,'RFM input'!$I$528,0))</f>
        <v>0</v>
      </c>
      <c r="M21" s="1267">
        <f>IF(COUNT($H21:L21)&gt;'RFM input'!$AA$7,0, L21+L73+L293+IF(M$111=0,'RFM input'!$I$528,0))</f>
        <v>0</v>
      </c>
      <c r="N21" s="1267">
        <f>IF(COUNT($H21:M21)&gt;'RFM input'!$AA$7,0, M21+M73+M293+IF(N$111=0,'RFM input'!$I$528,0))</f>
        <v>0</v>
      </c>
      <c r="O21" s="1267">
        <f>IF(COUNT($H21:N21)&gt;'RFM input'!$AA$7,0, N21+N73+N293+IF(O$111=0,'RFM input'!$I$528,0))</f>
        <v>0</v>
      </c>
      <c r="P21" s="1267">
        <f>IF(COUNT($H21:O21)&gt;'RFM input'!$AA$7,0, O21+O73+O293+IF(P$111=0,'RFM input'!$I$528,0))</f>
        <v>0</v>
      </c>
      <c r="Q21" s="1267">
        <f>IF(COUNT($H21:P21)&gt;'RFM input'!$AA$7,0, P21+P73+P293+IF(Q$111=0,'RFM input'!$I$528,0))</f>
        <v>0</v>
      </c>
      <c r="R21" s="1267">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8.0454426465054588E-2</v>
      </c>
      <c r="I59" s="80">
        <f t="shared" ref="I59:Q59" si="2">SUM(I60:I109)</f>
        <v>0.30883548373419023</v>
      </c>
      <c r="J59" s="80">
        <f t="shared" si="2"/>
        <v>0.35646314046025812</v>
      </c>
      <c r="K59" s="80">
        <f t="shared" si="2"/>
        <v>1.9210645653691481E-2</v>
      </c>
      <c r="L59" s="80">
        <f t="shared" si="2"/>
        <v>0.22801820602895123</v>
      </c>
      <c r="M59" s="80">
        <f t="shared" si="2"/>
        <v>0.11705133940547846</v>
      </c>
      <c r="N59" s="80">
        <f t="shared" si="2"/>
        <v>0.16519392817766451</v>
      </c>
      <c r="O59" s="80">
        <f t="shared" si="2"/>
        <v>0.14223578514683821</v>
      </c>
      <c r="P59" s="80">
        <f t="shared" si="2"/>
        <v>0.21282774991739381</v>
      </c>
      <c r="Q59" s="80">
        <f t="shared" si="2"/>
        <v>0.21028415551181689</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v>
      </c>
      <c r="I60" s="356">
        <f>'RFM input'!I223-'RFM input'!I277</f>
        <v>0</v>
      </c>
      <c r="J60" s="356">
        <f>'RFM input'!J223-'RFM input'!J277</f>
        <v>0.33322129</v>
      </c>
      <c r="K60" s="356">
        <f>'RFM input'!K223-'RFM input'!K277</f>
        <v>0</v>
      </c>
      <c r="L60" s="356">
        <f>'RFM input'!L223-'RFM input'!L277</f>
        <v>0.1326088</v>
      </c>
      <c r="M60" s="356">
        <f>'RFM input'!M223-'RFM input'!M277</f>
        <v>0</v>
      </c>
      <c r="N60" s="356">
        <f>'RFM input'!N223-'RFM input'!N277</f>
        <v>0</v>
      </c>
      <c r="O60" s="356">
        <f>'RFM input'!O223-'RFM input'!O277</f>
        <v>0</v>
      </c>
      <c r="P60" s="356">
        <f>'RFM input'!P223-'RFM input'!P277</f>
        <v>0</v>
      </c>
      <c r="Q60" s="356">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0</v>
      </c>
      <c r="K61" s="356">
        <f>'RFM input'!K224-'RFM input'!K278</f>
        <v>0</v>
      </c>
      <c r="L61" s="356">
        <f>'RFM input'!L224-'RFM input'!L278</f>
        <v>0</v>
      </c>
      <c r="M61" s="356">
        <f>'RFM input'!M224-'RFM input'!M278</f>
        <v>0</v>
      </c>
      <c r="N61" s="356">
        <f>'RFM input'!N224-'RFM input'!N278</f>
        <v>0</v>
      </c>
      <c r="O61" s="356">
        <f>'RFM input'!O224-'RFM input'!O278</f>
        <v>0</v>
      </c>
      <c r="P61" s="356">
        <f>'RFM input'!P224-'RFM input'!P278</f>
        <v>0</v>
      </c>
      <c r="Q61" s="356">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0</v>
      </c>
      <c r="M62" s="356">
        <f>'RFM input'!M225-'RFM input'!M279</f>
        <v>0</v>
      </c>
      <c r="N62" s="356">
        <f>'RFM input'!N225-'RFM input'!N279</f>
        <v>0</v>
      </c>
      <c r="O62" s="356">
        <f>'RFM input'!O225-'RFM input'!O279</f>
        <v>0</v>
      </c>
      <c r="P62" s="356">
        <f>'RFM input'!P225-'RFM input'!P279</f>
        <v>0</v>
      </c>
      <c r="Q62" s="356">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0</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0</v>
      </c>
      <c r="P63" s="356">
        <f>'RFM input'!P226-'RFM input'!P280</f>
        <v>0</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0.27356029999999998</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v>
      </c>
      <c r="I65" s="356">
        <f>'RFM input'!I228-'RFM input'!I282</f>
        <v>0</v>
      </c>
      <c r="J65" s="356">
        <f>'RFM input'!J228-'RFM input'!J282</f>
        <v>0</v>
      </c>
      <c r="K65" s="356">
        <f>'RFM input'!K228-'RFM input'!K282</f>
        <v>0</v>
      </c>
      <c r="L65" s="356">
        <f>'RFM input'!L228-'RFM input'!L282</f>
        <v>0</v>
      </c>
      <c r="M65" s="356">
        <f>'RFM input'!M228-'RFM input'!M282</f>
        <v>0</v>
      </c>
      <c r="N65" s="356">
        <f>'RFM input'!N228-'RFM input'!N282</f>
        <v>0.11472373</v>
      </c>
      <c r="O65" s="356">
        <f>'RFM input'!O228-'RFM input'!O282</f>
        <v>5.659637E-2</v>
      </c>
      <c r="P65" s="356">
        <f>'RFM input'!P228-'RFM input'!P282</f>
        <v>9.4760360000000002E-2</v>
      </c>
      <c r="Q65" s="356">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0</v>
      </c>
      <c r="N66" s="356">
        <f>'RFM input'!N229-'RFM input'!N283</f>
        <v>0</v>
      </c>
      <c r="O66" s="356">
        <f>'RFM input'!O229-'RFM input'!O283</f>
        <v>0</v>
      </c>
      <c r="P66" s="356">
        <f>'RFM input'!P229-'RFM input'!P283</f>
        <v>0</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0</v>
      </c>
      <c r="I68" s="356">
        <f>'RFM input'!I231-'RFM input'!I285</f>
        <v>0</v>
      </c>
      <c r="J68" s="356">
        <f>'RFM input'!J231-'RFM input'!J285</f>
        <v>0</v>
      </c>
      <c r="K68" s="356">
        <f>'RFM input'!K231-'RFM input'!K285</f>
        <v>0</v>
      </c>
      <c r="L68" s="356">
        <f>'RFM input'!L231-'RFM input'!L285</f>
        <v>0</v>
      </c>
      <c r="M68" s="356">
        <f>'RFM input'!M231-'RFM input'!M285</f>
        <v>0</v>
      </c>
      <c r="N68" s="356">
        <f>'RFM input'!N231-'RFM input'!N285</f>
        <v>0</v>
      </c>
      <c r="O68" s="356">
        <f>'RFM input'!O231-'RFM input'!O285</f>
        <v>0</v>
      </c>
      <c r="P68" s="356">
        <f>'RFM input'!P231-'RFM input'!P285</f>
        <v>0</v>
      </c>
      <c r="Q68" s="356">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0</v>
      </c>
      <c r="J69" s="356">
        <f>'RFM input'!J232-'RFM input'!J286</f>
        <v>0</v>
      </c>
      <c r="K69" s="356">
        <f>'RFM input'!K232-'RFM input'!K286</f>
        <v>0</v>
      </c>
      <c r="L69" s="356">
        <f>'RFM input'!L232-'RFM input'!L286</f>
        <v>0</v>
      </c>
      <c r="M69" s="356">
        <f>'RFM input'!M232-'RFM input'!M286</f>
        <v>0</v>
      </c>
      <c r="N69" s="356">
        <f>'RFM input'!N232-'RFM input'!N286</f>
        <v>0</v>
      </c>
      <c r="O69" s="356">
        <f>'RFM input'!O232-'RFM input'!O286</f>
        <v>0</v>
      </c>
      <c r="P69" s="356">
        <f>'RFM input'!P232-'RFM input'!P286</f>
        <v>0</v>
      </c>
      <c r="Q69" s="356">
        <f>'RFM input'!Q232-'RFM input'!Q286</f>
        <v>1.9144029999999999E-2</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0</v>
      </c>
      <c r="I70" s="356">
        <f>'RFM input'!I233-'RFM input'!I287</f>
        <v>0</v>
      </c>
      <c r="J70" s="356">
        <f>'RFM input'!J233-'RFM input'!J287</f>
        <v>0</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8.0454426465054588E-2</v>
      </c>
      <c r="I71" s="356">
        <f>'RFM input'!I234-'RFM input'!I288</f>
        <v>3.527518373419028E-2</v>
      </c>
      <c r="J71" s="356">
        <f>'RFM input'!J234-'RFM input'!J288</f>
        <v>2.3241850460258093E-2</v>
      </c>
      <c r="K71" s="356">
        <f>'RFM input'!K234-'RFM input'!K288</f>
        <v>1.9210645653691481E-2</v>
      </c>
      <c r="L71" s="356">
        <f>'RFM input'!L234-'RFM input'!L288</f>
        <v>9.5409406028951219E-2</v>
      </c>
      <c r="M71" s="356">
        <f>'RFM input'!M234-'RFM input'!M288</f>
        <v>0.11705133940547846</v>
      </c>
      <c r="N71" s="356">
        <f>'RFM input'!N234-'RFM input'!N288</f>
        <v>5.0470198177664523E-2</v>
      </c>
      <c r="O71" s="356">
        <f>'RFM input'!O234-'RFM input'!O288</f>
        <v>8.5639415146838205E-2</v>
      </c>
      <c r="P71" s="356">
        <f>'RFM input'!P234-'RFM input'!P288</f>
        <v>0.11806738991739381</v>
      </c>
      <c r="Q71" s="356">
        <f>'RFM input'!Q234-'RFM input'!Q288</f>
        <v>0.10529788768889591</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8.5842237822920997E-2</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0</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-1.9982600284225132</v>
      </c>
      <c r="I111" s="270">
        <f t="shared" ref="I111:Q111" si="3">I124+I137+I150+I163+I176+I189+I202+I215+I228+I241+I254+I267+I280+I293+I306+I319+I332+I345+I358+I371+I384+I397+I410+I423+I436+I449+I462+I475+I488+I501+I514+I527+I540+I553+I566+I579+I592+I605+I618+I631+I644+I657+I670+I683+I696+I709+I722+I735+I748+I761</f>
        <v>-2.014350913715524</v>
      </c>
      <c r="J111" s="1336">
        <f t="shared" si="3"/>
        <v>-2.0350839654623623</v>
      </c>
      <c r="K111" s="270">
        <f t="shared" si="3"/>
        <v>-1.5172990688583801</v>
      </c>
      <c r="L111" s="270">
        <f>L124+L137+L150+L163+L176+L189+L202+L215+L228+L241+L254+L267+L280+L293+L306+L319+L332+L345+L358+L371+L384+L397+L410+L423+L436+L449+L462+L475+L488+L501+L514+L527+L540+L553+L566+L579+L592+L605+L618+L631+L644+L657+L670+L683+L696+L709+L722+L735+L748+L761</f>
        <v>-1.5078885765108327</v>
      </c>
      <c r="M111" s="270">
        <f t="shared" si="3"/>
        <v>-1.5336008977166229</v>
      </c>
      <c r="N111" s="270">
        <f t="shared" si="3"/>
        <v>-1.5409202803047075</v>
      </c>
      <c r="O111" s="270">
        <f t="shared" si="3"/>
        <v>-1.5554316561934023</v>
      </c>
      <c r="P111" s="270">
        <f t="shared" si="3"/>
        <v>-1.5735708061307185</v>
      </c>
      <c r="Q111" s="270">
        <f t="shared" si="3"/>
        <v>-1.6028181909834589</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1.4254519557493213</v>
      </c>
      <c r="I112" s="20">
        <f>IF(I$3&gt;A1taxremlife,A1taxvalue-SUM($F112:H112),IF(A1taxremlife="N/A","n/a",A1taxvalue/A1taxremlife))</f>
        <v>1.4254519557493213</v>
      </c>
      <c r="J112" s="20">
        <f>IF(J$3&gt;A1taxremlife,A1taxvalue-SUM($F112:I112),IF(A1taxremlife="N/A","n/a",A1taxvalue/A1taxremlife))</f>
        <v>1.4254519557493213</v>
      </c>
      <c r="K112" s="20">
        <f>IF(K$3&gt;A1taxremlife,A1taxvalue-SUM($F112:J112),IF(A1taxremlife="N/A","n/a",A1taxvalue/A1taxremlife))</f>
        <v>1.4254519557493213</v>
      </c>
      <c r="L112" s="20">
        <f>IF(L$3&gt;A1taxremlife,A1taxvalue-SUM($F112:K112),IF(A1taxremlife="N/A","n/a",A1taxvalue/A1taxremlife))</f>
        <v>1.4254519557493213</v>
      </c>
      <c r="M112" s="20">
        <f>IF(M$3&gt;A1taxremlife,A1taxvalue-SUM($F112:L112),IF(A1taxremlife="N/A","n/a",A1taxvalue/A1taxremlife))</f>
        <v>1.4254519557493213</v>
      </c>
      <c r="N112" s="20">
        <f>IF(N$3&gt;A1taxremlife,A1taxvalue-SUM($F112:M112),IF(A1taxremlife="N/A","n/a",A1taxvalue/A1taxremlife))</f>
        <v>1.4254519557493213</v>
      </c>
      <c r="O112" s="20">
        <f>IF(O$3&gt;A1taxremlife,A1taxvalue-SUM($F112:N112),IF(A1taxremlife="N/A","n/a",A1taxvalue/A1taxremlife))</f>
        <v>1.4254519557493213</v>
      </c>
      <c r="P112" s="20">
        <f>IF(P$3&gt;A1taxremlife,A1taxvalue-SUM($F112:O112),IF(A1taxremlife="N/A","n/a",A1taxvalue/A1taxremlife))</f>
        <v>1.4254519557493213</v>
      </c>
      <c r="Q112" s="20">
        <f>IF(Q$3&gt;A1taxremlife,A1taxvalue-SUM($F112:P112),IF(A1taxremlife="N/A","n/a",A1taxvalue/A1taxremlife))</f>
        <v>1.4254519557493213</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4"/>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1.6661064499999999E-2</v>
      </c>
      <c r="L116" s="18">
        <f>IF(A1taxstdlife="n/a","n/a",IF(L$3&gt;(A1taxstdlife+$E116),('RFM input'!$J$223-'RFM input'!$J$277)-SUM($J116:K116),('RFM input'!$J$223-'RFM input'!$J$277)/A1taxstdlife))</f>
        <v>1.6661064499999999E-2</v>
      </c>
      <c r="M116" s="18">
        <f>IF(A1taxstdlife="n/a","n/a",IF(M$3&gt;(A1taxstdlife+$E116),('RFM input'!$J$223-'RFM input'!$J$277)-SUM($J116:L116),('RFM input'!$J$223-'RFM input'!$J$277)/A1taxstdlife))</f>
        <v>1.6661064499999999E-2</v>
      </c>
      <c r="N116" s="18">
        <f>IF(A1taxstdlife="n/a","n/a",IF(N$3&gt;(A1taxstdlife+$E116),('RFM input'!$J$223-'RFM input'!$J$277)-SUM($J116:M116),('RFM input'!$J$223-'RFM input'!$J$277)/A1taxstdlife))</f>
        <v>1.6661064499999999E-2</v>
      </c>
      <c r="O116" s="18">
        <f>IF(A1taxstdlife="n/a","n/a",IF(O$3&gt;(A1taxstdlife+$E116),('RFM input'!$J$223-'RFM input'!$J$277)-SUM($J116:N116),('RFM input'!$J$223-'RFM input'!$J$277)/A1taxstdlife))</f>
        <v>1.6661064499999999E-2</v>
      </c>
      <c r="P116" s="18">
        <f>IF(A1taxstdlife="n/a","n/a",IF(P$3&gt;(A1taxstdlife+$E116),('RFM input'!$J$223-'RFM input'!$J$277)-SUM($J116:O116),('RFM input'!$J$223-'RFM input'!$J$277)/A1taxstdlife))</f>
        <v>1.6661064499999999E-2</v>
      </c>
      <c r="Q116" s="18">
        <f>IF(A1taxstdlife="n/a","n/a",IF(Q$3&gt;(A1taxstdlife+$E116),('RFM input'!$J$223-'RFM input'!$J$277)-SUM($J116:P116),('RFM input'!$J$223-'RFM input'!$J$277)/A1taxstdlife))</f>
        <v>1.6661064499999999E-2</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6.6304399999999996E-3</v>
      </c>
      <c r="N118" s="18">
        <f>IF(A1taxstdlife="n/a","n/a",IF(N$3&gt;(A1taxstdlife+$E118),('RFM input'!$L$223-'RFM input'!$L$277)-SUM($L118:M118),('RFM input'!$L$223-'RFM input'!$L$277)/A1taxstdlife))</f>
        <v>6.6304399999999996E-3</v>
      </c>
      <c r="O118" s="18">
        <f>IF(A1taxstdlife="n/a","n/a",IF(O$3&gt;(A1taxstdlife+$E118),('RFM input'!$L$223-'RFM input'!$L$277)-SUM($L118:N118),('RFM input'!$L$223-'RFM input'!$L$277)/A1taxstdlife))</f>
        <v>6.6304399999999996E-3</v>
      </c>
      <c r="P118" s="18">
        <f>IF(A1taxstdlife="n/a","n/a",IF(P$3&gt;(A1taxstdlife+$E118),('RFM input'!$L$223-'RFM input'!$L$277)-SUM($L118:O118),('RFM input'!$L$223-'RFM input'!$L$277)/A1taxstdlife))</f>
        <v>6.6304399999999996E-3</v>
      </c>
      <c r="Q118" s="18">
        <f>IF(A1taxstdlife="n/a","n/a",IF(Q$3&gt;(A1taxstdlife+$E118),('RFM input'!$L$223-'RFM input'!$L$277)-SUM($L118:P118),('RFM input'!$L$223-'RFM input'!$L$277)/A1taxstdlife))</f>
        <v>6.6304399999999996E-3</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-1.4254519557493213</v>
      </c>
      <c r="I124" s="1337">
        <f>IF('RFM input'!$G$457="Tracked",-1*INDEX('RFM input'!I$461:I$510,MATCH('TAB roll forward'!$C124,'RFM input'!$E$461:$E$510,0)),-SUM(I112:I123))</f>
        <v>-1.4254519557493213</v>
      </c>
      <c r="J124" s="1314">
        <f>IF(COUNT($H124:I124)&gt;='RFM input'!$AA$7,0, IF('RFM input'!$G$457="Tracked",-1*INDEX('RFM input'!I$461:I$510,MATCH('TAB roll forward'!$C124,'RFM input'!$E$461:$E$510,0)),-SUM(J112:J123)))</f>
        <v>-1.4254519557493213</v>
      </c>
      <c r="K124" s="1314">
        <f>IF(COUNT($H124:J124)&gt;='RFM input'!$AA$7,0, IF('RFM input'!$G$457="Tracked",-1*INDEX('RFM input'!J$461:J$510,MATCH('TAB roll forward'!$C124,'RFM input'!$E$461:$E$510,0)),-SUM(K112:K123)))</f>
        <v>-1.4421130202493213</v>
      </c>
      <c r="L124" s="1314">
        <f>IF(COUNT($H124:K124)&gt;='RFM input'!$AA$7,0, IF('RFM input'!$G$457="Tracked",-1*INDEX('RFM input'!K$461:K$510,MATCH('TAB roll forward'!$C124,'RFM input'!$E$461:$E$510,0)),-SUM(L112:L123)))</f>
        <v>-1.4421130202493213</v>
      </c>
      <c r="M124" s="1314">
        <f>IF(COUNT($H124:L124)&gt;='RFM input'!$AA$7,0, IF('RFM input'!$G$457="Tracked",-1*INDEX('RFM input'!L$461:L$510,MATCH('TAB roll forward'!$C124,'RFM input'!$E$461:$E$510,0)),-SUM(M112:M123)))</f>
        <v>-1.4487434602493212</v>
      </c>
      <c r="N124" s="1314">
        <f>IF(COUNT($H124:M124)&gt;='RFM input'!$AA$7,0, IF('RFM input'!$G$457="Tracked",-1*INDEX('RFM input'!M$461:M$510,MATCH('TAB roll forward'!$C124,'RFM input'!$E$461:$E$510,0)),-SUM(N112:N123)))</f>
        <v>-1.4487434602493212</v>
      </c>
      <c r="O124" s="1314">
        <f>IF(COUNT($H124:N124)&gt;='RFM input'!$AA$7,0, IF('RFM input'!$G$457="Tracked",-1*INDEX('RFM input'!N$461:N$510,MATCH('TAB roll forward'!$C124,'RFM input'!$E$461:$E$510,0)),-SUM(O112:O123)))</f>
        <v>-1.4487434602493212</v>
      </c>
      <c r="P124" s="1314">
        <f>IF(COUNT($H124:O124)&gt;='RFM input'!$AA$7,0, IF('RFM input'!$G$457="Tracked",-1*INDEX('RFM input'!O$461:O$510,MATCH('TAB roll forward'!$C124,'RFM input'!$E$461:$E$510,0)),-SUM(P112:P123)))</f>
        <v>-1.4487434602493212</v>
      </c>
      <c r="Q124" s="1314">
        <f>IF(COUNT($H124:P124)&gt;='RFM input'!$AA$7,0, IF('RFM input'!$G$457="Tracked",-1*INDEX('RFM input'!P$461:P$510,MATCH('TAB roll forward'!$C124,'RFM input'!$E$461:$E$510,0)),-SUM(Q112:Q123)))</f>
        <v>-1.4487434602493212</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v>
      </c>
      <c r="I137" s="1337">
        <f>IF('RFM input'!$G$457="Tracked",-1*INDEX('RFM input'!I$461:I$510,MATCH('TAB roll forward'!$C137,'RFM input'!$E$461:$E$510,0)),-SUM(I125:I136))</f>
        <v>0</v>
      </c>
      <c r="J137" s="1314">
        <f>IF(COUNT($H137:I137)&gt;='RFM input'!$AA$7,0, IF('RFM input'!$G$457="Tracked",-1*INDEX('RFM input'!I$461:I$510,MATCH('TAB roll forward'!$C137,'RFM input'!$E$461:$E$510,0)),-SUM(J125:J136)))</f>
        <v>0</v>
      </c>
      <c r="K137" s="1314">
        <f>IF(COUNT($H137:J137)&gt;='RFM input'!$AA$7,0, IF('RFM input'!$G$457="Tracked",-1*INDEX('RFM input'!J$461:J$510,MATCH('TAB roll forward'!$C137,'RFM input'!$E$461:$E$510,0)),-SUM(K125:K136)))</f>
        <v>0</v>
      </c>
      <c r="L137" s="1314">
        <f>IF(COUNT($H137:K137)&gt;='RFM input'!$AA$7,0, IF('RFM input'!$G$457="Tracked",-1*INDEX('RFM input'!K$461:K$510,MATCH('TAB roll forward'!$C137,'RFM input'!$E$461:$E$510,0)),-SUM(L125:L136)))</f>
        <v>0</v>
      </c>
      <c r="M137" s="1314">
        <f>IF(COUNT($H137:L137)&gt;='RFM input'!$AA$7,0, IF('RFM input'!$G$457="Tracked",-1*INDEX('RFM input'!L$461:L$510,MATCH('TAB roll forward'!$C137,'RFM input'!$E$461:$E$510,0)),-SUM(M125:M136)))</f>
        <v>0</v>
      </c>
      <c r="N137" s="1314">
        <f>IF(COUNT($H137:M137)&gt;='RFM input'!$AA$7,0, IF('RFM input'!$G$457="Tracked",-1*INDEX('RFM input'!M$461:M$510,MATCH('TAB roll forward'!$C137,'RFM input'!$E$461:$E$510,0)),-SUM(N125:N136)))</f>
        <v>0</v>
      </c>
      <c r="O137" s="1314">
        <f>IF(COUNT($H137:N137)&gt;='RFM input'!$AA$7,0, IF('RFM input'!$G$457="Tracked",-1*INDEX('RFM input'!N$461:N$510,MATCH('TAB roll forward'!$C137,'RFM input'!$E$461:$E$510,0)),-SUM(O125:O136)))</f>
        <v>0</v>
      </c>
      <c r="P137" s="1314">
        <f>IF(COUNT($H137:O137)&gt;='RFM input'!$AA$7,0, IF('RFM input'!$G$457="Tracked",-1*INDEX('RFM input'!O$461:O$510,MATCH('TAB roll forward'!$C137,'RFM input'!$E$461:$E$510,0)),-SUM(P125:P136)))</f>
        <v>0</v>
      </c>
      <c r="Q137" s="1314">
        <f>IF(COUNT($H137:P137)&gt;='RFM input'!$AA$7,0, IF('RFM input'!$G$457="Tracked",-1*INDEX('RFM input'!P$461:P$510,MATCH('TAB roll forward'!$C137,'RFM input'!$E$461:$E$510,0)),-SUM(Q125:Q136)))</f>
        <v>0</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0</v>
      </c>
      <c r="I150" s="1337">
        <f>IF('RFM input'!$G$457="Tracked",-1*INDEX('RFM input'!I$461:I$510,MATCH('TAB roll forward'!$C150,'RFM input'!$E$461:$E$510,0)),-SUM(I138:I149))</f>
        <v>0</v>
      </c>
      <c r="J150" s="1314">
        <f>IF(COUNT($H150:I150)&gt;='RFM input'!$AA$7,0, IF('RFM input'!$G$457="Tracked",-1*INDEX('RFM input'!I$461:I$510,MATCH('TAB roll forward'!$C150,'RFM input'!$E$461:$E$510,0)),-SUM(J138:J149)))</f>
        <v>0</v>
      </c>
      <c r="K150" s="1314">
        <f>IF(COUNT($H150:J150)&gt;='RFM input'!$AA$7,0, IF('RFM input'!$G$457="Tracked",-1*INDEX('RFM input'!J$461:J$510,MATCH('TAB roll forward'!$C150,'RFM input'!$E$461:$E$510,0)),-SUM(K138:K149)))</f>
        <v>0</v>
      </c>
      <c r="L150" s="1314">
        <f>IF(COUNT($H150:K150)&gt;='RFM input'!$AA$7,0, IF('RFM input'!$G$457="Tracked",-1*INDEX('RFM input'!K$461:K$510,MATCH('TAB roll forward'!$C150,'RFM input'!$E$461:$E$510,0)),-SUM(L138:L149)))</f>
        <v>0</v>
      </c>
      <c r="M150" s="1314">
        <f>IF(COUNT($H150:L150)&gt;='RFM input'!$AA$7,0, IF('RFM input'!$G$457="Tracked",-1*INDEX('RFM input'!L$461:L$510,MATCH('TAB roll forward'!$C150,'RFM input'!$E$461:$E$510,0)),-SUM(M138:M149)))</f>
        <v>0</v>
      </c>
      <c r="N150" s="1314">
        <f>IF(COUNT($H150:M150)&gt;='RFM input'!$AA$7,0, IF('RFM input'!$G$457="Tracked",-1*INDEX('RFM input'!M$461:M$510,MATCH('TAB roll forward'!$C150,'RFM input'!$E$461:$E$510,0)),-SUM(N138:N149)))</f>
        <v>0</v>
      </c>
      <c r="O150" s="1314">
        <f>IF(COUNT($H150:N150)&gt;='RFM input'!$AA$7,0, IF('RFM input'!$G$457="Tracked",-1*INDEX('RFM input'!N$461:N$510,MATCH('TAB roll forward'!$C150,'RFM input'!$E$461:$E$510,0)),-SUM(O138:O149)))</f>
        <v>0</v>
      </c>
      <c r="P150" s="1314">
        <f>IF(COUNT($H150:O150)&gt;='RFM input'!$AA$7,0, IF('RFM input'!$G$457="Tracked",-1*INDEX('RFM input'!O$461:O$510,MATCH('TAB roll forward'!$C150,'RFM input'!$E$461:$E$510,0)),-SUM(P138:P149)))</f>
        <v>0</v>
      </c>
      <c r="Q150" s="1314">
        <f>IF(COUNT($H150:P150)&gt;='RFM input'!$AA$7,0, IF('RFM input'!$G$457="Tracked",-1*INDEX('RFM input'!P$461:P$510,MATCH('TAB roll forward'!$C150,'RFM input'!$E$461:$E$510,0)),-SUM(Q138:Q149)))</f>
        <v>0</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2.0461119998872498E-2</v>
      </c>
      <c r="I151" s="20">
        <f>IF(I$3&gt;A4taxremlife,A4taxvalue-SUM($F151:H151),IF(A4taxremlife="N/A","n/a",A4taxvalue/A4taxremlife))</f>
        <v>2.0461119998872498E-2</v>
      </c>
      <c r="J151" s="20">
        <f>IF(J$3&gt;A4taxremlife,A4taxvalue-SUM($F151:I151),IF(A4taxremlife="N/A","n/a",A4taxvalue/A4taxremlife))</f>
        <v>2.0461119998872498E-2</v>
      </c>
      <c r="K151" s="20">
        <f>IF(K$3&gt;A4taxremlife,A4taxvalue-SUM($F151:J151),IF(A4taxremlife="N/A","n/a",A4taxvalue/A4taxremlife))</f>
        <v>2.0461119998872498E-2</v>
      </c>
      <c r="L151" s="20">
        <f>IF(L$3&gt;A4taxremlife,A4taxvalue-SUM($F151:K151),IF(A4taxremlife="N/A","n/a",A4taxvalue/A4taxremlife))</f>
        <v>2.0461119998872498E-2</v>
      </c>
      <c r="M151" s="20">
        <f>IF(M$3&gt;A4taxremlife,A4taxvalue-SUM($F151:L151),IF(A4taxremlife="N/A","n/a",A4taxvalue/A4taxremlife))</f>
        <v>2.0461119998872498E-2</v>
      </c>
      <c r="N151" s="20">
        <f>IF(N$3&gt;A4taxremlife,A4taxvalue-SUM($F151:M151),IF(A4taxremlife="N/A","n/a",A4taxvalue/A4taxremlife))</f>
        <v>2.0461119998872498E-2</v>
      </c>
      <c r="O151" s="20">
        <f>IF(O$3&gt;A4taxremlife,A4taxvalue-SUM($F151:N151),IF(A4taxremlife="N/A","n/a",A4taxvalue/A4taxremlife))</f>
        <v>2.0461119998872498E-2</v>
      </c>
      <c r="P151" s="20">
        <f>IF(P$3&gt;A4taxremlife,A4taxvalue-SUM($F151:O151),IF(A4taxremlife="N/A","n/a",A4taxvalue/A4taxremlife))</f>
        <v>2.0461119998872498E-2</v>
      </c>
      <c r="Q151" s="20">
        <f>IF(Q$3&gt;A4taxremlife,A4taxvalue-SUM($F151:P151),IF(A4taxremlife="N/A","n/a",A4taxvalue/A4taxremlife))</f>
        <v>2.0461119998872498E-2</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-2.0461119998872498E-2</v>
      </c>
      <c r="I163" s="1337">
        <f>IF('RFM input'!$G$457="Tracked",-1*INDEX('RFM input'!I$461:I$510,MATCH('TAB roll forward'!$C163,'RFM input'!$E$461:$E$510,0)),-SUM(I151:I162))</f>
        <v>-2.0461119998872498E-2</v>
      </c>
      <c r="J163" s="1314">
        <f>IF(COUNT($H163:I163)&gt;='RFM input'!$AA$7,0, IF('RFM input'!$G$457="Tracked",-1*INDEX('RFM input'!I$461:I$510,MATCH('TAB roll forward'!$C163,'RFM input'!$E$461:$E$510,0)),-SUM(J151:J162)))</f>
        <v>-2.0461119998872498E-2</v>
      </c>
      <c r="K163" s="1314">
        <f>IF(COUNT($H163:J163)&gt;='RFM input'!$AA$7,0, IF('RFM input'!$G$457="Tracked",-1*INDEX('RFM input'!J$461:J$510,MATCH('TAB roll forward'!$C163,'RFM input'!$E$461:$E$510,0)),-SUM(K151:K162)))</f>
        <v>-2.0461119998872498E-2</v>
      </c>
      <c r="L163" s="1314">
        <f>IF(COUNT($H163:K163)&gt;='RFM input'!$AA$7,0, IF('RFM input'!$G$457="Tracked",-1*INDEX('RFM input'!K$461:K$510,MATCH('TAB roll forward'!$C163,'RFM input'!$E$461:$E$510,0)),-SUM(L151:L162)))</f>
        <v>-2.0461119998872498E-2</v>
      </c>
      <c r="M163" s="1314">
        <f>IF(COUNT($H163:L163)&gt;='RFM input'!$AA$7,0, IF('RFM input'!$G$457="Tracked",-1*INDEX('RFM input'!L$461:L$510,MATCH('TAB roll forward'!$C163,'RFM input'!$E$461:$E$510,0)),-SUM(M151:M162)))</f>
        <v>-2.0461119998872498E-2</v>
      </c>
      <c r="N163" s="1314">
        <f>IF(COUNT($H163:M163)&gt;='RFM input'!$AA$7,0, IF('RFM input'!$G$457="Tracked",-1*INDEX('RFM input'!M$461:M$510,MATCH('TAB roll forward'!$C163,'RFM input'!$E$461:$E$510,0)),-SUM(N151:N162)))</f>
        <v>-2.0461119998872498E-2</v>
      </c>
      <c r="O163" s="1314">
        <f>IF(COUNT($H163:N163)&gt;='RFM input'!$AA$7,0, IF('RFM input'!$G$457="Tracked",-1*INDEX('RFM input'!N$461:N$510,MATCH('TAB roll forward'!$C163,'RFM input'!$E$461:$E$510,0)),-SUM(O151:O162)))</f>
        <v>-2.0461119998872498E-2</v>
      </c>
      <c r="P163" s="1314">
        <f>IF(COUNT($H163:O163)&gt;='RFM input'!$AA$7,0, IF('RFM input'!$G$457="Tracked",-1*INDEX('RFM input'!O$461:O$510,MATCH('TAB roll forward'!$C163,'RFM input'!$E$461:$E$510,0)),-SUM(P151:P162)))</f>
        <v>-2.0461119998872498E-2</v>
      </c>
      <c r="Q163" s="1314">
        <f>IF(COUNT($H163:P163)&gt;='RFM input'!$AA$7,0, IF('RFM input'!$G$457="Tracked",-1*INDEX('RFM input'!P$461:P$510,MATCH('TAB roll forward'!$C163,'RFM input'!$E$461:$E$510,0)),-SUM(Q151:Q162)))</f>
        <v>-2.0461119998872498E-2</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1.3678014999999998E-2</v>
      </c>
      <c r="K167" s="18">
        <f>IF(A5taxstdlife="n/a","n/a",IF(K$3&gt;(A5taxstdlife+$E167),('RFM input'!$I$227-'RFM input'!$I$281)-SUM($I167:J167),('RFM input'!$I$227-'RFM input'!$I$281)/A5taxstdlife))</f>
        <v>1.3678014999999998E-2</v>
      </c>
      <c r="L167" s="18">
        <f>IF(A5taxstdlife="n/a","n/a",IF(L$3&gt;(A5taxstdlife+$E167),('RFM input'!$I$227-'RFM input'!$I$281)-SUM($I167:K167),('RFM input'!$I$227-'RFM input'!$I$281)/A5taxstdlife))</f>
        <v>1.3678014999999998E-2</v>
      </c>
      <c r="M167" s="18">
        <f>IF(A5taxstdlife="n/a","n/a",IF(M$3&gt;(A5taxstdlife+$E167),('RFM input'!$I$227-'RFM input'!$I$281)-SUM($I167:L167),('RFM input'!$I$227-'RFM input'!$I$281)/A5taxstdlife))</f>
        <v>1.3678014999999998E-2</v>
      </c>
      <c r="N167" s="18">
        <f>IF(A5taxstdlife="n/a","n/a",IF(N$3&gt;(A5taxstdlife+$E167),('RFM input'!$I$227-'RFM input'!$I$281)-SUM($I167:M167),('RFM input'!$I$227-'RFM input'!$I$281)/A5taxstdlife))</f>
        <v>1.3678014999999998E-2</v>
      </c>
      <c r="O167" s="18">
        <f>IF(A5taxstdlife="n/a","n/a",IF(O$3&gt;(A5taxstdlife+$E167),('RFM input'!$I$227-'RFM input'!$I$281)-SUM($I167:N167),('RFM input'!$I$227-'RFM input'!$I$281)/A5taxstdlife))</f>
        <v>1.3678014999999998E-2</v>
      </c>
      <c r="P167" s="18">
        <f>IF(A5taxstdlife="n/a","n/a",IF(P$3&gt;(A5taxstdlife+$E167),('RFM input'!$I$227-'RFM input'!$I$281)-SUM($I167:O167),('RFM input'!$I$227-'RFM input'!$I$281)/A5taxstdlife))</f>
        <v>1.3678014999999998E-2</v>
      </c>
      <c r="Q167" s="18">
        <f>IF(A5taxstdlife="n/a","n/a",IF(Q$3&gt;(A5taxstdlife+$E167),('RFM input'!$I$227-'RFM input'!$I$281)-SUM($I167:P167),('RFM input'!$I$227-'RFM input'!$I$281)/A5taxstdlife))</f>
        <v>1.3678014999999998E-2</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-1.3678014999999998E-2</v>
      </c>
      <c r="K176" s="1314">
        <f>IF(COUNT($H176:J176)&gt;='RFM input'!$AA$7,0, IF('RFM input'!$G$457="Tracked",-1*INDEX('RFM input'!J$461:J$510,MATCH('TAB roll forward'!$C176,'RFM input'!$E$461:$E$510,0)),-SUM(K164:K175)))</f>
        <v>-1.3678014999999998E-2</v>
      </c>
      <c r="L176" s="1314">
        <f>IF(COUNT($H176:K176)&gt;='RFM input'!$AA$7,0, IF('RFM input'!$G$457="Tracked",-1*INDEX('RFM input'!K$461:K$510,MATCH('TAB roll forward'!$C176,'RFM input'!$E$461:$E$510,0)),-SUM(L164:L175)))</f>
        <v>-1.3678014999999998E-2</v>
      </c>
      <c r="M176" s="1314">
        <f>IF(COUNT($H176:L176)&gt;='RFM input'!$AA$7,0, IF('RFM input'!$G$457="Tracked",-1*INDEX('RFM input'!L$461:L$510,MATCH('TAB roll forward'!$C176,'RFM input'!$E$461:$E$510,0)),-SUM(M164:M175)))</f>
        <v>-1.3678014999999998E-2</v>
      </c>
      <c r="N176" s="1314">
        <f>IF(COUNT($H176:M176)&gt;='RFM input'!$AA$7,0, IF('RFM input'!$G$457="Tracked",-1*INDEX('RFM input'!M$461:M$510,MATCH('TAB roll forward'!$C176,'RFM input'!$E$461:$E$510,0)),-SUM(N164:N175)))</f>
        <v>-1.3678014999999998E-2</v>
      </c>
      <c r="O176" s="1314">
        <f>IF(COUNT($H176:N176)&gt;='RFM input'!$AA$7,0, IF('RFM input'!$G$457="Tracked",-1*INDEX('RFM input'!N$461:N$510,MATCH('TAB roll forward'!$C176,'RFM input'!$E$461:$E$510,0)),-SUM(O164:O175)))</f>
        <v>-1.3678014999999998E-2</v>
      </c>
      <c r="P176" s="1314">
        <f>IF(COUNT($H176:O176)&gt;='RFM input'!$AA$7,0, IF('RFM input'!$G$457="Tracked",-1*INDEX('RFM input'!O$461:O$510,MATCH('TAB roll forward'!$C176,'RFM input'!$E$461:$E$510,0)),-SUM(P164:P175)))</f>
        <v>-1.3678014999999998E-2</v>
      </c>
      <c r="Q176" s="1314">
        <f>IF(COUNT($H176:P176)&gt;='RFM input'!$AA$7,0, IF('RFM input'!$G$457="Tracked",-1*INDEX('RFM input'!P$461:P$510,MATCH('TAB roll forward'!$C176,'RFM input'!$E$461:$E$510,0)),-SUM(Q164:Q175)))</f>
        <v>-1.3678014999999998E-2</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1.0773000000000004E-3</v>
      </c>
      <c r="I177" s="20">
        <f>IF(I$3&gt;A6taxremlife,A6taxvalue-SUM($F177:H177),IF(A6taxremlife="N/A","n/a",A6taxvalue/A6taxremlife))</f>
        <v>1.0773000000000004E-3</v>
      </c>
      <c r="J177" s="20">
        <f>IF(J$3&gt;A6taxremlife,A6taxvalue-SUM($F177:I177),IF(A6taxremlife="N/A","n/a",A6taxvalue/A6taxremlife))</f>
        <v>1.0773000000000004E-3</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4"/>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1.1472372999999999E-2</v>
      </c>
      <c r="P185" s="18">
        <f>IF(A6taxstdlife="n/a","n/a",IF(P$3&gt;(A6taxstdlife+$E185),('RFM input'!$N$228-'RFM input'!$N$282)-SUM($N185:O185),('RFM input'!$N$228-'RFM input'!$N$282)/A6taxstdlife))</f>
        <v>1.1472372999999999E-2</v>
      </c>
      <c r="Q185" s="18">
        <f>IF(A6taxstdlife="n/a","n/a",IF(Q$3&gt;(A6taxstdlife+$E185),('RFM input'!$N$228-'RFM input'!$N$282)-SUM($N185:P185),('RFM input'!$N$228-'RFM input'!$N$282)/A6taxstdlife))</f>
        <v>1.1472372999999999E-2</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5.6596370000000003E-3</v>
      </c>
      <c r="Q186" s="18">
        <f>IF(A6taxstdlife="n/a","n/a",IF(Q$3&gt;(A6taxstdlife+$E186),('RFM input'!$O$228-'RFM input'!$O$282)-SUM($O186:P186),('RFM input'!$O$228-'RFM input'!$O$282)/A6taxstdlife))</f>
        <v>5.6596370000000003E-3</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9.4760360000000002E-3</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-1.0773000000000004E-3</v>
      </c>
      <c r="I189" s="1337">
        <f>IF('RFM input'!$G$457="Tracked",-1*INDEX('RFM input'!I$461:I$510,MATCH('TAB roll forward'!$C189,'RFM input'!$E$461:$E$510,0)),-SUM(I177:I188))</f>
        <v>-1.0773000000000004E-3</v>
      </c>
      <c r="J189" s="1314">
        <f>IF(COUNT($H189:I189)&gt;='RFM input'!$AA$7,0, IF('RFM input'!$G$457="Tracked",-1*INDEX('RFM input'!I$461:I$510,MATCH('TAB roll forward'!$C189,'RFM input'!$E$461:$E$510,0)),-SUM(J177:J188)))</f>
        <v>-1.0773000000000004E-3</v>
      </c>
      <c r="K189" s="1314">
        <f>IF(COUNT($H189:J189)&gt;='RFM input'!$AA$7,0, IF('RFM input'!$G$457="Tracked",-1*INDEX('RFM input'!J$461:J$510,MATCH('TAB roll forward'!$C189,'RFM input'!$E$461:$E$510,0)),-SUM(K177:K188)))</f>
        <v>0</v>
      </c>
      <c r="L189" s="1314">
        <f>IF(COUNT($H189:K189)&gt;='RFM input'!$AA$7,0, IF('RFM input'!$G$457="Tracked",-1*INDEX('RFM input'!K$461:K$510,MATCH('TAB roll forward'!$C189,'RFM input'!$E$461:$E$510,0)),-SUM(L177:L188)))</f>
        <v>0</v>
      </c>
      <c r="M189" s="1314">
        <f>IF(COUNT($H189:L189)&gt;='RFM input'!$AA$7,0, IF('RFM input'!$G$457="Tracked",-1*INDEX('RFM input'!L$461:L$510,MATCH('TAB roll forward'!$C189,'RFM input'!$E$461:$E$510,0)),-SUM(M177:M188)))</f>
        <v>0</v>
      </c>
      <c r="N189" s="1314">
        <f>IF(COUNT($H189:M189)&gt;='RFM input'!$AA$7,0, IF('RFM input'!$G$457="Tracked",-1*INDEX('RFM input'!M$461:M$510,MATCH('TAB roll forward'!$C189,'RFM input'!$E$461:$E$510,0)),-SUM(N177:N188)))</f>
        <v>0</v>
      </c>
      <c r="O189" s="1314">
        <f>IF(COUNT($H189:N189)&gt;='RFM input'!$AA$7,0, IF('RFM input'!$G$457="Tracked",-1*INDEX('RFM input'!N$461:N$510,MATCH('TAB roll forward'!$C189,'RFM input'!$E$461:$E$510,0)),-SUM(O177:O188)))</f>
        <v>-1.1472372999999999E-2</v>
      </c>
      <c r="P189" s="1314">
        <f>IF(COUNT($H189:O189)&gt;='RFM input'!$AA$7,0, IF('RFM input'!$G$457="Tracked",-1*INDEX('RFM input'!O$461:O$510,MATCH('TAB roll forward'!$C189,'RFM input'!$E$461:$E$510,0)),-SUM(P177:P188)))</f>
        <v>-1.713201E-2</v>
      </c>
      <c r="Q189" s="1314">
        <f>IF(COUNT($H189:P189)&gt;='RFM input'!$AA$7,0, IF('RFM input'!$G$457="Tracked",-1*INDEX('RFM input'!P$461:P$510,MATCH('TAB roll forward'!$C189,'RFM input'!$E$461:$E$510,0)),-SUM(Q177:Q188)))</f>
        <v>-2.6608046E-2</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0</v>
      </c>
      <c r="I202" s="1337">
        <f>IF('RFM input'!$G$457="Tracked",-1*INDEX('RFM input'!I$461:I$510,MATCH('TAB roll forward'!$C202,'RFM input'!$E$461:$E$510,0)),-SUM(I190:I201))</f>
        <v>0</v>
      </c>
      <c r="J202" s="1314">
        <f>IF(COUNT($H202:I202)&gt;='RFM input'!$AA$7,0, IF('RFM input'!$G$457="Tracked",-1*INDEX('RFM input'!I$461:I$510,MATCH('TAB roll forward'!$C202,'RFM input'!$E$461:$E$510,0)),-SUM(J190:J201)))</f>
        <v>0</v>
      </c>
      <c r="K202" s="1314">
        <f>IF(COUNT($H202:J202)&gt;='RFM input'!$AA$7,0, IF('RFM input'!$G$457="Tracked",-1*INDEX('RFM input'!J$461:J$510,MATCH('TAB roll forward'!$C202,'RFM input'!$E$461:$E$510,0)),-SUM(K190:K201)))</f>
        <v>0</v>
      </c>
      <c r="L202" s="1314">
        <f>IF(COUNT($H202:K202)&gt;='RFM input'!$AA$7,0, IF('RFM input'!$G$457="Tracked",-1*INDEX('RFM input'!K$461:K$510,MATCH('TAB roll forward'!$C202,'RFM input'!$E$461:$E$510,0)),-SUM(L190:L201)))</f>
        <v>0</v>
      </c>
      <c r="M202" s="1314">
        <f>IF(COUNT($H202:L202)&gt;='RFM input'!$AA$7,0, IF('RFM input'!$G$457="Tracked",-1*INDEX('RFM input'!L$461:L$510,MATCH('TAB roll forward'!$C202,'RFM input'!$E$461:$E$510,0)),-SUM(M190:M201)))</f>
        <v>0</v>
      </c>
      <c r="N202" s="1314">
        <f>IF(COUNT($H202:M202)&gt;='RFM input'!$AA$7,0, IF('RFM input'!$G$457="Tracked",-1*INDEX('RFM input'!M$461:M$510,MATCH('TAB roll forward'!$C202,'RFM input'!$E$461:$E$510,0)),-SUM(N190:N201)))</f>
        <v>0</v>
      </c>
      <c r="O202" s="1314">
        <f>IF(COUNT($H202:N202)&gt;='RFM input'!$AA$7,0, IF('RFM input'!$G$457="Tracked",-1*INDEX('RFM input'!N$461:N$510,MATCH('TAB roll forward'!$C202,'RFM input'!$E$461:$E$510,0)),-SUM(O190:O201)))</f>
        <v>0</v>
      </c>
      <c r="P202" s="1314">
        <f>IF(COUNT($H202:O202)&gt;='RFM input'!$AA$7,0, IF('RFM input'!$G$457="Tracked",-1*INDEX('RFM input'!O$461:O$510,MATCH('TAB roll forward'!$C202,'RFM input'!$E$461:$E$510,0)),-SUM(P190:P201)))</f>
        <v>0</v>
      </c>
      <c r="Q202" s="1314">
        <f>IF(COUNT($H202:P202)&gt;='RFM input'!$AA$7,0, IF('RFM input'!$G$457="Tracked",-1*INDEX('RFM input'!P$461:P$510,MATCH('TAB roll forward'!$C202,'RFM input'!$E$461:$E$510,0)),-SUM(Q190:Q201)))</f>
        <v>0</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4"/>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0</v>
      </c>
      <c r="I228" s="1337">
        <f>IF('RFM input'!$G$457="Tracked",-1*INDEX('RFM input'!I$461:I$510,MATCH('TAB roll forward'!$C228,'RFM input'!$E$461:$E$510,0)),-SUM(I216:I227))</f>
        <v>0</v>
      </c>
      <c r="J228" s="1314">
        <f>IF(COUNT($H228:I228)&gt;='RFM input'!$AA$7,0, IF('RFM input'!$G$457="Tracked",-1*INDEX('RFM input'!I$461:I$510,MATCH('TAB roll forward'!$C228,'RFM input'!$E$461:$E$510,0)),-SUM(J216:J227)))</f>
        <v>0</v>
      </c>
      <c r="K228" s="1314">
        <f>IF(COUNT($H228:J228)&gt;='RFM input'!$AA$7,0, IF('RFM input'!$G$457="Tracked",-1*INDEX('RFM input'!J$461:J$510,MATCH('TAB roll forward'!$C228,'RFM input'!$E$461:$E$510,0)),-SUM(K216:K227)))</f>
        <v>0</v>
      </c>
      <c r="L228" s="1314">
        <f>IF(COUNT($H228:K228)&gt;='RFM input'!$AA$7,0, IF('RFM input'!$G$457="Tracked",-1*INDEX('RFM input'!K$461:K$510,MATCH('TAB roll forward'!$C228,'RFM input'!$E$461:$E$510,0)),-SUM(L216:L227)))</f>
        <v>0</v>
      </c>
      <c r="M228" s="1314">
        <f>IF(COUNT($H228:L228)&gt;='RFM input'!$AA$7,0, IF('RFM input'!$G$457="Tracked",-1*INDEX('RFM input'!L$461:L$510,MATCH('TAB roll forward'!$C228,'RFM input'!$E$461:$E$510,0)),-SUM(M216:M227)))</f>
        <v>0</v>
      </c>
      <c r="N228" s="1314">
        <f>IF(COUNT($H228:M228)&gt;='RFM input'!$AA$7,0, IF('RFM input'!$G$457="Tracked",-1*INDEX('RFM input'!M$461:M$510,MATCH('TAB roll forward'!$C228,'RFM input'!$E$461:$E$510,0)),-SUM(N216:N227)))</f>
        <v>0</v>
      </c>
      <c r="O228" s="1314">
        <f>IF(COUNT($H228:N228)&gt;='RFM input'!$AA$7,0, IF('RFM input'!$G$457="Tracked",-1*INDEX('RFM input'!N$461:N$510,MATCH('TAB roll forward'!$C228,'RFM input'!$E$461:$E$510,0)),-SUM(O216:O227)))</f>
        <v>0</v>
      </c>
      <c r="P228" s="1314">
        <f>IF(COUNT($H228:O228)&gt;='RFM input'!$AA$7,0, IF('RFM input'!$G$457="Tracked",-1*INDEX('RFM input'!O$461:O$510,MATCH('TAB roll forward'!$C228,'RFM input'!$E$461:$E$510,0)),-SUM(P216:P227)))</f>
        <v>0</v>
      </c>
      <c r="Q228" s="1314">
        <f>IF(COUNT($H228:P228)&gt;='RFM input'!$AA$7,0, IF('RFM input'!$G$457="Tracked",-1*INDEX('RFM input'!P$461:P$510,MATCH('TAB roll forward'!$C228,'RFM input'!$E$461:$E$510,0)),-SUM(Q216:Q227)))</f>
        <v>0</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0</v>
      </c>
      <c r="I241" s="1337">
        <f>IF('RFM input'!$G$457="Tracked",-1*INDEX('RFM input'!I$461:I$510,MATCH('TAB roll forward'!$C241,'RFM input'!$E$461:$E$510,0)),-SUM(I229:I240))</f>
        <v>0</v>
      </c>
      <c r="J241" s="1314">
        <f>IF(COUNT($H241:I241)&gt;='RFM input'!$AA$7,0, IF('RFM input'!$G$457="Tracked",-1*INDEX('RFM input'!I$461:I$510,MATCH('TAB roll forward'!$C241,'RFM input'!$E$461:$E$510,0)),-SUM(J229:J240)))</f>
        <v>0</v>
      </c>
      <c r="K241" s="1314">
        <f>IF(COUNT($H241:J241)&gt;='RFM input'!$AA$7,0, IF('RFM input'!$G$457="Tracked",-1*INDEX('RFM input'!J$461:J$510,MATCH('TAB roll forward'!$C241,'RFM input'!$E$461:$E$510,0)),-SUM(K229:K240)))</f>
        <v>0</v>
      </c>
      <c r="L241" s="1314">
        <f>IF(COUNT($H241:K241)&gt;='RFM input'!$AA$7,0, IF('RFM input'!$G$457="Tracked",-1*INDEX('RFM input'!K$461:K$510,MATCH('TAB roll forward'!$C241,'RFM input'!$E$461:$E$510,0)),-SUM(L229:L240)))</f>
        <v>0</v>
      </c>
      <c r="M241" s="1314">
        <f>IF(COUNT($H241:L241)&gt;='RFM input'!$AA$7,0, IF('RFM input'!$G$457="Tracked",-1*INDEX('RFM input'!L$461:L$510,MATCH('TAB roll forward'!$C241,'RFM input'!$E$461:$E$510,0)),-SUM(M229:M240)))</f>
        <v>0</v>
      </c>
      <c r="N241" s="1314">
        <f>IF(COUNT($H241:M241)&gt;='RFM input'!$AA$7,0, IF('RFM input'!$G$457="Tracked",-1*INDEX('RFM input'!M$461:M$510,MATCH('TAB roll forward'!$C241,'RFM input'!$E$461:$E$510,0)),-SUM(N229:N240)))</f>
        <v>0</v>
      </c>
      <c r="O241" s="1314">
        <f>IF(COUNT($H241:N241)&gt;='RFM input'!$AA$7,0, IF('RFM input'!$G$457="Tracked",-1*INDEX('RFM input'!N$461:N$510,MATCH('TAB roll forward'!$C241,'RFM input'!$E$461:$E$510,0)),-SUM(O229:O240)))</f>
        <v>0</v>
      </c>
      <c r="P241" s="1314">
        <f>IF(COUNT($H241:O241)&gt;='RFM input'!$AA$7,0, IF('RFM input'!$G$457="Tracked",-1*INDEX('RFM input'!O$461:O$510,MATCH('TAB roll forward'!$C241,'RFM input'!$E$461:$E$510,0)),-SUM(P229:P240)))</f>
        <v>0</v>
      </c>
      <c r="Q241" s="1314">
        <f>IF(COUNT($H241:P241)&gt;='RFM input'!$AA$7,0, IF('RFM input'!$G$457="Tracked",-1*INDEX('RFM input'!P$461:P$510,MATCH('TAB roll forward'!$C241,'RFM input'!$E$461:$E$510,0)),-SUM(Q229:Q240)))</f>
        <v>0</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4"/>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v>
      </c>
      <c r="J254" s="1314">
        <f>IF(COUNT($H254:I254)&gt;='RFM input'!$AA$7,0, IF('RFM input'!$G$457="Tracked",-1*INDEX('RFM input'!I$461:I$510,MATCH('TAB roll forward'!$C254,'RFM input'!$E$461:$E$510,0)),-SUM(J242:J253)))</f>
        <v>0</v>
      </c>
      <c r="K254" s="1314">
        <f>IF(COUNT($H254:J254)&gt;='RFM input'!$AA$7,0, IF('RFM input'!$G$457="Tracked",-1*INDEX('RFM input'!J$461:J$510,MATCH('TAB roll forward'!$C254,'RFM input'!$E$461:$E$510,0)),-SUM(K242:K253)))</f>
        <v>0</v>
      </c>
      <c r="L254" s="1314">
        <f>IF(COUNT($H254:K254)&gt;='RFM input'!$AA$7,0, IF('RFM input'!$G$457="Tracked",-1*INDEX('RFM input'!K$461:K$510,MATCH('TAB roll forward'!$C254,'RFM input'!$E$461:$E$510,0)),-SUM(L242:L253)))</f>
        <v>0</v>
      </c>
      <c r="M254" s="1314">
        <f>IF(COUNT($H254:L254)&gt;='RFM input'!$AA$7,0, IF('RFM input'!$G$457="Tracked",-1*INDEX('RFM input'!L$461:L$510,MATCH('TAB roll forward'!$C254,'RFM input'!$E$461:$E$510,0)),-SUM(M242:M253)))</f>
        <v>0</v>
      </c>
      <c r="N254" s="1314">
        <f>IF(COUNT($H254:M254)&gt;='RFM input'!$AA$7,0, IF('RFM input'!$G$457="Tracked",-1*INDEX('RFM input'!M$461:M$510,MATCH('TAB roll forward'!$C254,'RFM input'!$E$461:$E$510,0)),-SUM(N242:N253)))</f>
        <v>0</v>
      </c>
      <c r="O254" s="1314">
        <f>IF(COUNT($H254:N254)&gt;='RFM input'!$AA$7,0, IF('RFM input'!$G$457="Tracked",-1*INDEX('RFM input'!N$461:N$510,MATCH('TAB roll forward'!$C254,'RFM input'!$E$461:$E$510,0)),-SUM(O242:O253)))</f>
        <v>0</v>
      </c>
      <c r="P254" s="1314">
        <f>IF(COUNT($H254:O254)&gt;='RFM input'!$AA$7,0, IF('RFM input'!$G$457="Tracked",-1*INDEX('RFM input'!O$461:O$510,MATCH('TAB roll forward'!$C254,'RFM input'!$E$461:$E$510,0)),-SUM(P242:P253)))</f>
        <v>0</v>
      </c>
      <c r="Q254" s="1314">
        <f>IF(COUNT($H254:P254)&gt;='RFM input'!$AA$7,0, IF('RFM input'!$G$457="Tracked",-1*INDEX('RFM input'!P$461:P$510,MATCH('TAB roll forward'!$C254,'RFM input'!$E$461:$E$510,0)),-SUM(Q242:Q253)))</f>
        <v>0</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1.4141074821593646E-2</v>
      </c>
      <c r="I255" s="20">
        <f>IF(I$3&gt;A12taxremlife,A12taxvalue-SUM($F255:H255),IF(A12taxremlife="N/A","n/a",A12taxvalue/A12taxremlife))</f>
        <v>1.4141074821593646E-2</v>
      </c>
      <c r="J255" s="20">
        <f>IF(J$3&gt;A12taxremlife,A12taxvalue-SUM($F255:I255),IF(A12taxremlife="N/A","n/a",A12taxvalue/A12taxremlife))</f>
        <v>1.4141074821593646E-2</v>
      </c>
      <c r="K255" s="20">
        <f>IF(K$3&gt;A12taxremlife,A12taxvalue-SUM($F255:J255),IF(A12taxremlife="N/A","n/a",A12taxvalue/A12taxremlife))</f>
        <v>1.3233587036462997E-2</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4"/>
      <c r="I257" s="18">
        <f>IF(A12taxstdlife="n/a","n/a",IF(I$3&gt;(A12taxstdlife+$E257),('RFM input'!$H$234-'RFM input'!$H$288)-SUM($H257:H257),('RFM input'!$H$234-'RFM input'!$H$288)/A12taxstdlife))</f>
        <v>1.6090885293010917E-2</v>
      </c>
      <c r="J257" s="18">
        <f>IF(A12taxstdlife="n/a","n/a",IF(J$3&gt;(A12taxstdlife+$E257),('RFM input'!$H$234-'RFM input'!$H$288)-SUM($H257:I257),('RFM input'!$H$234-'RFM input'!$H$288)/A12taxstdlife))</f>
        <v>1.6090885293010917E-2</v>
      </c>
      <c r="K257" s="18">
        <f>IF(A12taxstdlife="n/a","n/a",IF(K$3&gt;(A12taxstdlife+$E257),('RFM input'!$H$234-'RFM input'!$H$288)-SUM($H257:J257),('RFM input'!$H$234-'RFM input'!$H$288)/A12taxstdlife))</f>
        <v>1.6090885293010917E-2</v>
      </c>
      <c r="L257" s="18">
        <f>IF(A12taxstdlife="n/a","n/a",IF(L$3&gt;(A12taxstdlife+$E257),('RFM input'!$H$234-'RFM input'!$H$288)-SUM($H257:K257),('RFM input'!$H$234-'RFM input'!$H$288)/A12taxstdlife))</f>
        <v>1.6090885293010917E-2</v>
      </c>
      <c r="M257" s="18">
        <f>IF(A12taxstdlife="n/a","n/a",IF(M$3&gt;(A12taxstdlife+$E257),('RFM input'!$H$234-'RFM input'!$H$288)-SUM($H257:L257),('RFM input'!$H$234-'RFM input'!$H$288)/A12taxstdlife))</f>
        <v>1.6090885293010917E-2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7.0550367468380556E-3</v>
      </c>
      <c r="K258" s="18">
        <f>IF(A12taxstdlife="n/a","n/a",IF(K$3&gt;(A12taxstdlife+$E258),('RFM input'!$I$234-'RFM input'!$I$288)-SUM($I258:J258),('RFM input'!$I$234-'RFM input'!$I$288)/A12taxstdlife))</f>
        <v>7.0550367468380556E-3</v>
      </c>
      <c r="L258" s="18">
        <f>IF(A12taxstdlife="n/a","n/a",IF(L$3&gt;(A12taxstdlife+$E258),('RFM input'!$I$234-'RFM input'!$I$288)-SUM($I258:K258),('RFM input'!$I$234-'RFM input'!$I$288)/A12taxstdlife))</f>
        <v>7.0550367468380556E-3</v>
      </c>
      <c r="M258" s="18">
        <f>IF(A12taxstdlife="n/a","n/a",IF(M$3&gt;(A12taxstdlife+$E258),('RFM input'!$I$234-'RFM input'!$I$288)-SUM($I258:L258),('RFM input'!$I$234-'RFM input'!$I$288)/A12taxstdlife))</f>
        <v>7.0550367468380556E-3</v>
      </c>
      <c r="N258" s="18">
        <f>IF(A12taxstdlife="n/a","n/a",IF(N$3&gt;(A12taxstdlife+$E258),('RFM input'!$I$234-'RFM input'!$I$288)-SUM($I258:M258),('RFM input'!$I$234-'RFM input'!$I$288)/A12taxstdlife))</f>
        <v>7.0550367468380556E-3</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4.6483700920516187E-3</v>
      </c>
      <c r="L259" s="18">
        <f>IF(A12taxstdlife="n/a","n/a",IF(L$3&gt;(A12taxstdlife+$E259),('RFM input'!$J$234-'RFM input'!$J$288)-SUM($J259:K259),('RFM input'!$J$234-'RFM input'!$J$288)/A12taxstdlife))</f>
        <v>4.6483700920516187E-3</v>
      </c>
      <c r="M259" s="18">
        <f>IF(A12taxstdlife="n/a","n/a",IF(M$3&gt;(A12taxstdlife+$E259),('RFM input'!$J$234-'RFM input'!$J$288)-SUM($J259:L259),('RFM input'!$J$234-'RFM input'!$J$288)/A12taxstdlife))</f>
        <v>4.6483700920516187E-3</v>
      </c>
      <c r="N259" s="18">
        <f>IF(A12taxstdlife="n/a","n/a",IF(N$3&gt;(A12taxstdlife+$E259),('RFM input'!$J$234-'RFM input'!$J$288)-SUM($J259:M259),('RFM input'!$J$234-'RFM input'!$J$288)/A12taxstdlife))</f>
        <v>4.6483700920516187E-3</v>
      </c>
      <c r="O259" s="18">
        <f>IF(A12taxstdlife="n/a","n/a",IF(O$3&gt;(A12taxstdlife+$E259),('RFM input'!$J$234-'RFM input'!$J$288)-SUM($J259:N259),('RFM input'!$J$234-'RFM input'!$J$288)/A12taxstdlife))</f>
        <v>4.6483700920516187E-3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3.8421291307382962E-3</v>
      </c>
      <c r="M260" s="18">
        <f>IF(A12taxstdlife="n/a","n/a",IF(M$3&gt;(A12taxstdlife+$E260),('RFM input'!$K$234-'RFM input'!$K$288)-SUM($K260:L260),('RFM input'!$K$234-'RFM input'!$K$288)/A12taxstdlife))</f>
        <v>3.8421291307382962E-3</v>
      </c>
      <c r="N260" s="18">
        <f>IF(A12taxstdlife="n/a","n/a",IF(N$3&gt;(A12taxstdlife+$E260),('RFM input'!$K$234-'RFM input'!$K$288)-SUM($K260:M260),('RFM input'!$K$234-'RFM input'!$K$288)/A12taxstdlife))</f>
        <v>3.8421291307382962E-3</v>
      </c>
      <c r="O260" s="18">
        <f>IF(A12taxstdlife="n/a","n/a",IF(O$3&gt;(A12taxstdlife+$E260),('RFM input'!$K$234-'RFM input'!$K$288)-SUM($K260:N260),('RFM input'!$K$234-'RFM input'!$K$288)/A12taxstdlife))</f>
        <v>3.8421291307382962E-3</v>
      </c>
      <c r="P260" s="18">
        <f>IF(A12taxstdlife="n/a","n/a",IF(P$3&gt;(A12taxstdlife+$E260),('RFM input'!$K$234-'RFM input'!$K$288)-SUM($K260:O260),('RFM input'!$K$234-'RFM input'!$K$288)/A12taxstdlife))</f>
        <v>3.8421291307382962E-3</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1.9081881205790244E-2</v>
      </c>
      <c r="N261" s="18">
        <f>IF(A12taxstdlife="n/a","n/a",IF(N$3&gt;(A12taxstdlife+$E261),('RFM input'!$L$234-'RFM input'!$L$288)-SUM($L261:M261),('RFM input'!$L$234-'RFM input'!$L$288)/A12taxstdlife))</f>
        <v>1.9081881205790244E-2</v>
      </c>
      <c r="O261" s="18">
        <f>IF(A12taxstdlife="n/a","n/a",IF(O$3&gt;(A12taxstdlife+$E261),('RFM input'!$L$234-'RFM input'!$L$288)-SUM($L261:N261),('RFM input'!$L$234-'RFM input'!$L$288)/A12taxstdlife))</f>
        <v>1.9081881205790244E-2</v>
      </c>
      <c r="P261" s="18">
        <f>IF(A12taxstdlife="n/a","n/a",IF(P$3&gt;(A12taxstdlife+$E261),('RFM input'!$L$234-'RFM input'!$L$288)-SUM($L261:O261),('RFM input'!$L$234-'RFM input'!$L$288)/A12taxstdlife))</f>
        <v>1.9081881205790244E-2</v>
      </c>
      <c r="Q261" s="18">
        <f>IF(A12taxstdlife="n/a","n/a",IF(Q$3&gt;(A12taxstdlife+$E261),('RFM input'!$L$234-'RFM input'!$L$288)-SUM($L261:P261),('RFM input'!$L$234-'RFM input'!$L$288)/A12taxstdlife))</f>
        <v>1.9081881205790244E-2</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2.3410267881095691E-2</v>
      </c>
      <c r="O262" s="18">
        <f>IF(A12taxstdlife="n/a","n/a",IF(O$3&gt;(A12taxstdlife+$E262),('RFM input'!$M$234-'RFM input'!$M$288)-SUM($M262:N262),('RFM input'!$M$234-'RFM input'!$M$288)/A12taxstdlife))</f>
        <v>2.3410267881095691E-2</v>
      </c>
      <c r="P262" s="18">
        <f>IF(A12taxstdlife="n/a","n/a",IF(P$3&gt;(A12taxstdlife+$E262),('RFM input'!$M$234-'RFM input'!$M$288)-SUM($M262:O262),('RFM input'!$M$234-'RFM input'!$M$288)/A12taxstdlife))</f>
        <v>2.3410267881095691E-2</v>
      </c>
      <c r="Q262" s="18">
        <f>IF(A12taxstdlife="n/a","n/a",IF(Q$3&gt;(A12taxstdlife+$E262),('RFM input'!$M$234-'RFM input'!$M$288)-SUM($M262:P262),('RFM input'!$M$234-'RFM input'!$M$288)/A12taxstdlife))</f>
        <v>2.3410267881095691E-2</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1.0094039635532905E-2</v>
      </c>
      <c r="P263" s="18">
        <f>IF(A12taxstdlife="n/a","n/a",IF(P$3&gt;(A12taxstdlife+$E263),('RFM input'!$N$234-'RFM input'!$N$288)-SUM($N263:O263),('RFM input'!$N$234-'RFM input'!$N$288)/A12taxstdlife))</f>
        <v>1.0094039635532905E-2</v>
      </c>
      <c r="Q263" s="18">
        <f>IF(A12taxstdlife="n/a","n/a",IF(Q$3&gt;(A12taxstdlife+$E263),('RFM input'!$N$234-'RFM input'!$N$288)-SUM($N263:P263),('RFM input'!$N$234-'RFM input'!$N$288)/A12taxstdlife))</f>
        <v>1.0094039635532905E-2</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1.712788302936764E-2</v>
      </c>
      <c r="Q264" s="18">
        <f>IF(A12taxstdlife="n/a","n/a",IF(Q$3&gt;(A12taxstdlife+$E264),('RFM input'!$O$234-'RFM input'!$O$288)-SUM($O264:P264),('RFM input'!$O$234-'RFM input'!$O$288)/A12taxstdlife))</f>
        <v>1.712788302936764E-2</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2.3613477983478761E-2</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-1.4141074821593646E-2</v>
      </c>
      <c r="I267" s="1337">
        <f>IF('RFM input'!$G$457="Tracked",-1*INDEX('RFM input'!I$461:I$510,MATCH('TAB roll forward'!$C267,'RFM input'!$E$461:$E$510,0)),-SUM(I255:I266))</f>
        <v>-3.0231960114604564E-2</v>
      </c>
      <c r="J267" s="1314">
        <f>IF(COUNT($H267:I267)&gt;='RFM input'!$AA$7,0, IF('RFM input'!$G$457="Tracked",-1*INDEX('RFM input'!I$461:I$510,MATCH('TAB roll forward'!$C267,'RFM input'!$E$461:$E$510,0)),-SUM(J255:J266)))</f>
        <v>-3.7286996861442621E-2</v>
      </c>
      <c r="K267" s="1314">
        <f>IF(COUNT($H267:J267)&gt;='RFM input'!$AA$7,0, IF('RFM input'!$G$457="Tracked",-1*INDEX('RFM input'!J$461:J$510,MATCH('TAB roll forward'!$C267,'RFM input'!$E$461:$E$510,0)),-SUM(K255:K266)))</f>
        <v>-4.102787916836359E-2</v>
      </c>
      <c r="L267" s="1314">
        <f>IF(COUNT($H267:K267)&gt;='RFM input'!$AA$7,0, IF('RFM input'!$G$457="Tracked",-1*INDEX('RFM input'!K$461:K$510,MATCH('TAB roll forward'!$C267,'RFM input'!$E$461:$E$510,0)),-SUM(L255:L266)))</f>
        <v>-3.1636421262638888E-2</v>
      </c>
      <c r="M267" s="1314">
        <f>IF(COUNT($H267:L267)&gt;='RFM input'!$AA$7,0, IF('RFM input'!$G$457="Tracked",-1*INDEX('RFM input'!L$461:L$510,MATCH('TAB roll forward'!$C267,'RFM input'!$E$461:$E$510,0)),-SUM(M255:M266)))</f>
        <v>-5.0718302468429136E-2</v>
      </c>
      <c r="N267" s="1314">
        <f>IF(COUNT($H267:M267)&gt;='RFM input'!$AA$7,0, IF('RFM input'!$G$457="Tracked",-1*INDEX('RFM input'!M$461:M$510,MATCH('TAB roll forward'!$C267,'RFM input'!$E$461:$E$510,0)),-SUM(N255:N266)))</f>
        <v>-5.803768505651391E-2</v>
      </c>
      <c r="O267" s="1314">
        <f>IF(COUNT($H267:N267)&gt;='RFM input'!$AA$7,0, IF('RFM input'!$G$457="Tracked",-1*INDEX('RFM input'!N$461:N$510,MATCH('TAB roll forward'!$C267,'RFM input'!$E$461:$E$510,0)),-SUM(O255:O266)))</f>
        <v>-6.1076687945208749E-2</v>
      </c>
      <c r="P267" s="1314">
        <f>IF(COUNT($H267:O267)&gt;='RFM input'!$AA$7,0, IF('RFM input'!$G$457="Tracked",-1*INDEX('RFM input'!O$461:O$510,MATCH('TAB roll forward'!$C267,'RFM input'!$E$461:$E$510,0)),-SUM(P255:P266)))</f>
        <v>-7.3556200882524778E-2</v>
      </c>
      <c r="Q267" s="1314">
        <f>IF(COUNT($H267:P267)&gt;='RFM input'!$AA$7,0, IF('RFM input'!$G$457="Tracked",-1*INDEX('RFM input'!P$461:P$510,MATCH('TAB roll forward'!$C267,'RFM input'!$E$461:$E$510,0)),-SUM(Q255:Q266)))</f>
        <v>-9.3327549735265247E-2</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0.53712857785272594</v>
      </c>
      <c r="I281" s="20">
        <f>IF(I$3&gt;A14taxremlife,A14taxvalue-SUM($F281:H281),IF(A14taxremlife="N/A","n/a",A14taxvalue/A14taxremlife))</f>
        <v>0.53712857785272594</v>
      </c>
      <c r="J281" s="20">
        <f>IF(J$3&gt;A14taxremlife,A14taxvalue-SUM($F281:I281),IF(A14taxremlife="N/A","n/a",A14taxvalue/A14taxremlife))</f>
        <v>0.53712857785272594</v>
      </c>
      <c r="K281" s="20">
        <f>IF(K$3&gt;A14taxremlife,A14taxvalue-SUM($F281:J281),IF(A14taxremlife="N/A","n/a",A14taxvalue/A14taxremlife))</f>
        <v>1.9034441822718406E-5</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-0.53712857785272594</v>
      </c>
      <c r="I293" s="1337">
        <f>IF('RFM input'!$G$457="Tracked",-1*INDEX('RFM input'!I$461:I$510,MATCH('TAB roll forward'!$C293,'RFM input'!$E$461:$E$510,0)),-SUM(I281:I292))</f>
        <v>-0.53712857785272594</v>
      </c>
      <c r="J293" s="1314">
        <f>IF(COUNT($H293:I293)&gt;='RFM input'!$AA$7,0, IF('RFM input'!$G$457="Tracked",-1*INDEX('RFM input'!I$461:I$510,MATCH('TAB roll forward'!$C293,'RFM input'!$E$461:$E$510,0)),-SUM(J281:J292)))</f>
        <v>-0.53712857785272594</v>
      </c>
      <c r="K293" s="1314">
        <f>IF(COUNT($H293:J293)&gt;='RFM input'!$AA$7,0, IF('RFM input'!$G$457="Tracked",-1*INDEX('RFM input'!J$461:J$510,MATCH('TAB roll forward'!$C293,'RFM input'!$E$461:$E$510,0)),-SUM(K281:K292)))</f>
        <v>-1.9034441822718406E-5</v>
      </c>
      <c r="L293" s="1314">
        <f>IF(COUNT($H293:K293)&gt;='RFM input'!$AA$7,0, IF('RFM input'!$G$457="Tracked",-1*INDEX('RFM input'!K$461:K$510,MATCH('TAB roll forward'!$C293,'RFM input'!$E$461:$E$510,0)),-SUM(L281:L292)))</f>
        <v>0</v>
      </c>
      <c r="M293" s="1314">
        <f>IF(COUNT($H293:L293)&gt;='RFM input'!$AA$7,0, IF('RFM input'!$G$457="Tracked",-1*INDEX('RFM input'!L$461:L$510,MATCH('TAB roll forward'!$C293,'RFM input'!$E$461:$E$510,0)),-SUM(M281:M292)))</f>
        <v>0</v>
      </c>
      <c r="N293" s="1314">
        <f>IF(COUNT($H293:M293)&gt;='RFM input'!$AA$7,0, IF('RFM input'!$G$457="Tracked",-1*INDEX('RFM input'!M$461:M$510,MATCH('TAB roll forward'!$C293,'RFM input'!$E$461:$E$510,0)),-SUM(N281:N292)))</f>
        <v>0</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Central West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2010-11</v>
      </c>
      <c r="E6" s="104" t="str">
        <f>IF(LEN(D6)&gt;4,CONCATENATE(LEFT(D6,4)+1&amp;"-"&amp;IF(D6&gt;"2007-08",,"0")&amp;RIGHT(D6,2)+1),D6+1)</f>
        <v>2011-12</v>
      </c>
      <c r="F6" s="104" t="str">
        <f t="shared" ref="F6:W6" si="0">IF(LEN(E6)&gt;4,CONCATENATE(LEFT(E6,4)+1&amp;"-"&amp;IF(E6&gt;"2007-08",,"0")&amp;RIGHT(E6,2)+1),E6+1)</f>
        <v>2012-13</v>
      </c>
      <c r="G6" s="104" t="str">
        <f t="shared" si="0"/>
        <v>2013-14</v>
      </c>
      <c r="H6" s="104" t="str">
        <f t="shared" si="0"/>
        <v>2014-15</v>
      </c>
      <c r="I6" s="104" t="str">
        <f t="shared" si="0"/>
        <v>2015-16</v>
      </c>
      <c r="J6" s="104" t="str">
        <f t="shared" si="0"/>
        <v>2016-17</v>
      </c>
      <c r="K6" s="104" t="str">
        <f t="shared" si="0"/>
        <v>2017-18</v>
      </c>
      <c r="L6" s="104" t="str">
        <f t="shared" si="0"/>
        <v>2018-19</v>
      </c>
      <c r="M6" s="104" t="str">
        <f t="shared" si="0"/>
        <v>2019-20</v>
      </c>
      <c r="N6" s="104" t="str">
        <f t="shared" si="0"/>
        <v>2020-21</v>
      </c>
      <c r="O6" s="104" t="str">
        <f t="shared" si="0"/>
        <v>2021-22</v>
      </c>
      <c r="P6" s="104" t="str">
        <f t="shared" si="0"/>
        <v>2022-23</v>
      </c>
      <c r="Q6" s="104" t="str">
        <f t="shared" si="0"/>
        <v>2023-24</v>
      </c>
      <c r="R6" s="104" t="str">
        <f t="shared" si="0"/>
        <v>2024-25</v>
      </c>
      <c r="S6" s="104" t="str">
        <f t="shared" si="0"/>
        <v>2025-26</v>
      </c>
      <c r="T6" s="104" t="str">
        <f t="shared" si="0"/>
        <v>2026-27</v>
      </c>
      <c r="U6" s="104" t="str">
        <f t="shared" si="0"/>
        <v>2027-28</v>
      </c>
      <c r="V6" s="104" t="str">
        <f t="shared" si="0"/>
        <v>2028-29</v>
      </c>
      <c r="W6" s="104" t="str">
        <f t="shared" si="0"/>
        <v>2029-30</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2010-11</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3.0538922155688653E-2</v>
      </c>
      <c r="D9" s="313">
        <f>IF(LEFT(D$6,4)&lt;LEFT('RFM input'!$G$60,4),"enter input",IF(LEFT(D$6,4)&gt;LEFT('RFM input'!$Q$60,4),0,
INDEX('RFM input'!$E$384:$Q$392,MATCH($B9,'RFM input'!$E$384:$E$392,0),MATCH(D$6,'RFM input'!$E$384:$Q$384,0))))</f>
        <v>3.6025566531086683E-2</v>
      </c>
      <c r="E9" s="313">
        <f>IF(LEFT(E$6,4)&lt;LEFT('RFM input'!$G$60,4),"enter input",IF(LEFT(E$6,4)&gt;LEFT('RFM input'!$Q$60,4),0,
INDEX('RFM input'!$E$384:$Q$392,MATCH($B9,'RFM input'!$E$384:$E$392,0),MATCH(E$6,'RFM input'!$E$384:$Q$384,0))))</f>
        <v>1.1777902411665764E-2</v>
      </c>
      <c r="F9" s="313">
        <f>IF(LEFT(F$6,4)&lt;LEFT('RFM input'!$G$60,4),"enter input",IF(LEFT(F$6,4)&gt;LEFT('RFM input'!$Q$60,4),0,
INDEX('RFM input'!$E$384:$Q$392,MATCH($B9,'RFM input'!$E$384:$E$392,0),MATCH(F$6,'RFM input'!$E$384:$Q$384,0))))</f>
        <v>2.3904382470119501E-2</v>
      </c>
      <c r="G9" s="313">
        <f>IF(LEFT(G$6,4)&lt;LEFT('RFM input'!$G$60,4),"enter input",IF(LEFT(G$6,4)&gt;LEFT('RFM input'!$Q$60,4),0,
INDEX('RFM input'!$E$384:$Q$392,MATCH($B9,'RFM input'!$E$384:$E$392,0),MATCH(G$6,'RFM input'!$E$384:$Q$384,0))))</f>
        <v>3.0155642023346418E-2</v>
      </c>
      <c r="H9" s="313">
        <f>IF(LEFT(H$6,4)&lt;LEFT('RFM input'!$G$60,4),"enter input",IF(LEFT(H$6,4)&gt;LEFT('RFM input'!$Q$60,4),0,
INDEX('RFM input'!$E$384:$Q$392,MATCH($B9,'RFM input'!$E$384:$E$392,0),MATCH(H$6,'RFM input'!$E$384:$Q$384,0))))</f>
        <v>1.5108593012275628E-2</v>
      </c>
      <c r="I9" s="313">
        <f>IF(LEFT(I$6,4)&lt;LEFT('RFM input'!$G$60,4),"enter input",IF(LEFT(I$6,4)&gt;LEFT('RFM input'!$Q$60,4),0,
INDEX('RFM input'!$E$384:$Q$392,MATCH($B9,'RFM input'!$E$384:$E$392,0),MATCH(I$6,'RFM input'!$E$384:$Q$384,0))))</f>
        <v>1.0232558139534831E-2</v>
      </c>
      <c r="J9" s="313">
        <f>IF(LEFT(J$6,4)&lt;LEFT('RFM input'!$G$60,4),"enter input",IF(LEFT(J$6,4)&gt;LEFT('RFM input'!$Q$60,4),0,
INDEX('RFM input'!$E$384:$Q$392,MATCH($B9,'RFM input'!$E$384:$E$392,0),MATCH(J$6,'RFM input'!$E$384:$Q$384,0))))</f>
        <v>1.9337016574585641E-2</v>
      </c>
      <c r="K9" s="313">
        <f>IF(LEFT(K$6,4)&lt;LEFT('RFM input'!$G$60,4),"enter input",IF(LEFT(K$6,4)&gt;LEFT('RFM input'!$Q$60,4),0,
INDEX('RFM input'!$E$384:$Q$392,MATCH($B9,'RFM input'!$E$384:$E$392,0),MATCH(K$6,'RFM input'!$E$384:$Q$384,0))))</f>
        <v>2.0776874435411097E-2</v>
      </c>
      <c r="L9" s="313">
        <f>IF(LEFT(L$6,4)&lt;LEFT('RFM input'!$G$60,4),"enter input",IF(LEFT(L$6,4)&gt;LEFT('RFM input'!$Q$60,4),0,
INDEX('RFM input'!$E$384:$Q$392,MATCH($B9,'RFM input'!$E$384:$E$392,0),MATCH(L$6,'RFM input'!$E$384:$Q$384,0))))</f>
        <v>1.5929203539823078E-2</v>
      </c>
      <c r="M9" s="313">
        <f>IF(LEFT(M$6,4)&lt;LEFT('RFM input'!$G$60,4),"enter input",IF(LEFT(M$6,4)&gt;LEFT('RFM input'!$Q$60,4),0,
INDEX('RFM input'!$E$384:$Q$392,MATCH($B9,'RFM input'!$E$384:$E$392,0),MATCH(M$6,'RFM input'!$E$384:$Q$384,0))))</f>
        <v>-3.4843205574912606E-3</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1.0305389221556887</v>
      </c>
      <c r="E10" s="281">
        <f>D10*(1+D9)</f>
        <v>1.0676646706586828</v>
      </c>
      <c r="F10" s="281">
        <f t="shared" ref="F10:W10" si="1">E10*(1+E9)</f>
        <v>1.080239520958084</v>
      </c>
      <c r="G10" s="281">
        <f t="shared" si="1"/>
        <v>1.1060619796264046</v>
      </c>
      <c r="H10" s="281">
        <f>G10*(1+G9)</f>
        <v>1.1394159887396524</v>
      </c>
      <c r="I10" s="281">
        <f t="shared" si="1"/>
        <v>1.1566309611851995</v>
      </c>
      <c r="J10" s="281">
        <f t="shared" si="1"/>
        <v>1.168466254741513</v>
      </c>
      <c r="K10" s="281">
        <f t="shared" si="1"/>
        <v>1.1910609060762936</v>
      </c>
      <c r="L10" s="281">
        <f t="shared" si="1"/>
        <v>1.2158074289667677</v>
      </c>
      <c r="M10" s="281">
        <f t="shared" si="1"/>
        <v>1.2351742729680084</v>
      </c>
      <c r="N10" s="281">
        <f t="shared" si="1"/>
        <v>1.2308705298566216</v>
      </c>
      <c r="O10" s="281">
        <f t="shared" si="1"/>
        <v>1.2308705298566216</v>
      </c>
      <c r="P10" s="281">
        <f t="shared" si="1"/>
        <v>1.2308705298566216</v>
      </c>
      <c r="Q10" s="281">
        <f t="shared" si="1"/>
        <v>1.2308705298566216</v>
      </c>
      <c r="R10" s="281">
        <f t="shared" si="1"/>
        <v>1.2308705298566216</v>
      </c>
      <c r="S10" s="281">
        <f t="shared" si="1"/>
        <v>1.2308705298566216</v>
      </c>
      <c r="T10" s="281">
        <f t="shared" si="1"/>
        <v>1.2308705298566216</v>
      </c>
      <c r="U10" s="281">
        <f t="shared" si="1"/>
        <v>1.2308705298566216</v>
      </c>
      <c r="V10" s="281">
        <f t="shared" si="1"/>
        <v>1.2308705298566216</v>
      </c>
      <c r="W10" s="281">
        <f t="shared" si="1"/>
        <v>1.2308705298566216</v>
      </c>
    </row>
    <row r="11" spans="1:26">
      <c r="B11" s="222" t="s">
        <v>45</v>
      </c>
      <c r="C11" s="314">
        <f>IFERROR(INDEX('RFM input'!$E$384:$Q$392,MATCH($B11,'RFM input'!$E$384:$E$392,0),MATCH(D$6,'RFM input'!$E$384:$Q$384,0)-1),"enter input")</f>
        <v>0.10779927892173657</v>
      </c>
      <c r="D11" s="313">
        <f>IF(LEFT(D$6,4)&lt;LEFT('RFM input'!$G$60,4),"enter input",IF(LEFT(D$6,4)&gt;LEFT('RFM input'!$Q$60,4),0,
INDEX('RFM input'!$E$384:$Q$392,MATCH($B11,'RFM input'!$E$384:$E$392,0),MATCH(D$6,'RFM input'!$E$384:$Q$384,0))))</f>
        <v>0.10570857752500307</v>
      </c>
      <c r="E11" s="313">
        <f>IF(LEFT(E$6,4)&lt;LEFT('RFM input'!$G$60,4),"enter input",IF(LEFT(E$6,4)&gt;LEFT('RFM input'!$Q$60,4),0,
INDEX('RFM input'!$E$384:$Q$392,MATCH($B11,'RFM input'!$E$384:$E$392,0),MATCH(E$6,'RFM input'!$E$384:$Q$384,0))))</f>
        <v>7.8917333186033334E-2</v>
      </c>
      <c r="F11" s="313">
        <f>IF(LEFT(F$6,4)&lt;LEFT('RFM input'!$G$60,4),"enter input",IF(LEFT(F$6,4)&gt;LEFT('RFM input'!$Q$60,4),0,
INDEX('RFM input'!$E$384:$Q$392,MATCH($B11,'RFM input'!$E$384:$E$392,0),MATCH(F$6,'RFM input'!$E$384:$Q$384,0))))</f>
        <v>7.186963506286892E-2</v>
      </c>
      <c r="G11" s="313">
        <f>IF(LEFT(G$6,4)&lt;LEFT('RFM input'!$G$60,4),"enter input",IF(LEFT(G$6,4)&gt;LEFT('RFM input'!$Q$60,4),0,
INDEX('RFM input'!$E$384:$Q$392,MATCH($B11,'RFM input'!$E$384:$E$392,0),MATCH(G$6,'RFM input'!$E$384:$Q$384,0))))</f>
        <v>8.072120859827292E-2</v>
      </c>
      <c r="H11" s="313">
        <f>IF(LEFT(H$6,4)&lt;LEFT('RFM input'!$G$60,4),"enter input",IF(LEFT(H$6,4)&gt;LEFT('RFM input'!$Q$60,4),0,
INDEX('RFM input'!$E$384:$Q$392,MATCH($B11,'RFM input'!$E$384:$E$392,0),MATCH(H$6,'RFM input'!$E$384:$Q$384,0))))</f>
        <v>6.6631543794191339E-2</v>
      </c>
      <c r="I11" s="313">
        <f>IF(LEFT(I$6,4)&lt;LEFT('RFM input'!$G$60,4),"enter input",IF(LEFT(I$6,4)&gt;LEFT('RFM input'!$Q$60,4),0,
INDEX('RFM input'!$E$384:$Q$392,MATCH($B11,'RFM input'!$E$384:$E$392,0),MATCH(I$6,'RFM input'!$E$384:$Q$384,0))))</f>
        <v>5.4463496313102766E-2</v>
      </c>
      <c r="J11" s="313">
        <f>IF(LEFT(J$6,4)&lt;LEFT('RFM input'!$G$60,4),"enter input",IF(LEFT(J$6,4)&gt;LEFT('RFM input'!$Q$60,4),0,
INDEX('RFM input'!$E$384:$Q$392,MATCH($B11,'RFM input'!$E$384:$E$392,0),MATCH(J$6,'RFM input'!$E$384:$Q$384,0))))</f>
        <v>5.2373390830024125E-2</v>
      </c>
      <c r="K11" s="313">
        <f>IF(LEFT(K$6,4)&lt;LEFT('RFM input'!$G$60,4),"enter input",IF(LEFT(K$6,4)&gt;LEFT('RFM input'!$Q$60,4),0,
INDEX('RFM input'!$E$384:$Q$392,MATCH($B11,'RFM input'!$E$384:$E$392,0),MATCH(K$6,'RFM input'!$E$384:$Q$384,0))))</f>
        <v>5.1966696494946119E-2</v>
      </c>
      <c r="L11" s="313">
        <f>IF(LEFT(L$6,4)&lt;LEFT('RFM input'!$G$60,4),"enter input",IF(LEFT(L$6,4)&gt;LEFT('RFM input'!$Q$60,4),0,
INDEX('RFM input'!$E$384:$Q$392,MATCH($B11,'RFM input'!$E$384:$E$392,0),MATCH(L$6,'RFM input'!$E$384:$Q$384,0))))</f>
        <v>4.8326341682757956E-2</v>
      </c>
      <c r="M11" s="313">
        <f>IF(LEFT(M$6,4)&lt;LEFT('RFM input'!$G$60,4),"enter input",IF(LEFT(M$6,4)&gt;LEFT('RFM input'!$Q$60,4),0,
INDEX('RFM input'!$E$384:$Q$392,MATCH($B11,'RFM input'!$E$384:$E$392,0),MATCH(M$6,'RFM input'!$E$384:$Q$384,0))))</f>
        <v>1.8955260447490518E-2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34.332183819572137</v>
      </c>
      <c r="D14" s="1339">
        <f>IF(LEFT(D$6,4)&lt;LEFT('RFM input'!$G$60,4),"enter input",IF(LEFT(D$6,4)&gt;LEFT('RFM input'!$Q$60,4),0,
INDEX('RFM input'!$G$223:$Q$272,$A14,MATCH(D$6,'RFM input'!$G$222:$Q$222,0))
-INDEX('RFM input'!$G$277:$Q$326,$A14,MATCH(D$6,'RFM input'!$G$222:$Q$222,0))))</f>
        <v>0</v>
      </c>
      <c r="E14" s="1339">
        <f>IF(LEFT(E$6,4)&lt;LEFT('RFM input'!$G$60,4),"enter input",IF(LEFT(E$6,4)&gt;LEFT('RFM input'!$Q$60,4),0,
INDEX('RFM input'!$G$223:$Q$272,$A14,MATCH(E$6,'RFM input'!$G$222:$Q$222,0))
-INDEX('RFM input'!$G$277:$Q$326,$A14,MATCH(E$6,'RFM input'!$G$222:$Q$222,0))))</f>
        <v>0</v>
      </c>
      <c r="F14" s="1339">
        <f>IF(LEFT(F$6,4)&lt;LEFT('RFM input'!$G$60,4),"enter input",IF(LEFT(F$6,4)&gt;LEFT('RFM input'!$Q$60,4),0,
INDEX('RFM input'!$G$223:$Q$272,$A14,MATCH(F$6,'RFM input'!$G$222:$Q$222,0))
-INDEX('RFM input'!$G$277:$Q$326,$A14,MATCH(F$6,'RFM input'!$G$222:$Q$222,0))))</f>
        <v>0.33322129</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0.1326088</v>
      </c>
      <c r="I14" s="1339">
        <f>IF(LEFT(I$6,4)&lt;LEFT('RFM input'!$G$60,4),"enter input",IF(LEFT(I$6,4)&gt;LEFT('RFM input'!$Q$60,4),0,
INDEX('RFM input'!$G$223:$Q$272,$A14,MATCH(I$6,'RFM input'!$G$222:$Q$222,0))
-INDEX('RFM input'!$G$277:$Q$326,$A14,MATCH(I$6,'RFM input'!$G$222:$Q$222,0))))</f>
        <v>0</v>
      </c>
      <c r="J14" s="1339">
        <f>IF(LEFT(J$6,4)&lt;LEFT('RFM input'!$G$60,4),"enter input",IF(LEFT(J$6,4)&gt;LEFT('RFM input'!$Q$60,4),0,
INDEX('RFM input'!$G$223:$Q$272,$A14,MATCH(J$6,'RFM input'!$G$222:$Q$222,0))
-INDEX('RFM input'!$G$277:$Q$326,$A14,MATCH(J$6,'RFM input'!$G$222:$Q$222,0))))</f>
        <v>0</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0</v>
      </c>
      <c r="M14" s="1339">
        <f>IF(LEFT(M$6,4)&lt;LEFT('RFM input'!$G$60,4),"enter input",IF(LEFT(M$6,4)&gt;LEFT('RFM input'!$Q$60,4),0,
INDEX('RFM input'!$G$223:$Q$272,$A14,MATCH(M$6,'RFM input'!$G$222:$Q$222,0))
-INDEX('RFM input'!$G$277:$Q$326,$A14,MATCH(M$6,'RFM input'!$G$222:$Q$222,0))))</f>
        <v>0</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70.098590866578306</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34.332183819572137</v>
      </c>
      <c r="D19" s="1343">
        <f ca="1">IF(C43="n/a",C19,IFERROR(IF((OFFSET($C19,0,$A19))&lt;0,
MIN(0,C19-(OFFSET($C19,0,$A19)/(OFFSET($C14,-$A18,$A19)))),
MAX(0,C19-(OFFSET($C19,0,$A19)/(OFFSET($C14,-$A18,$A19))))),0))</f>
        <v>33.842413862784873</v>
      </c>
      <c r="E19" s="1343">
        <f t="shared" ref="E19:W19" ca="1" si="3">IF(D43="n/a",D19,IFERROR(IF((OFFSET($C19,0,$A19))&lt;0,
MIN(0,D19-(OFFSET($C19,0,$A19)/(OFFSET($C14,-$A18,$A19)))),
MAX(0,D19-(OFFSET($C19,0,$A19)/(OFFSET($C14,-$A18,$A19))))),0))</f>
        <v>33.35264390599761</v>
      </c>
      <c r="F19" s="1343">
        <f t="shared" ca="1" si="3"/>
        <v>32.862873949210346</v>
      </c>
      <c r="G19" s="1343">
        <f t="shared" ca="1" si="3"/>
        <v>32.373103992423083</v>
      </c>
      <c r="H19" s="1343">
        <f t="shared" ca="1" si="3"/>
        <v>31.883334035635819</v>
      </c>
      <c r="I19" s="1343">
        <f t="shared" ca="1" si="3"/>
        <v>31.393564078848556</v>
      </c>
      <c r="J19" s="1343">
        <f t="shared" ca="1" si="3"/>
        <v>30.903794122061292</v>
      </c>
      <c r="K19" s="1343">
        <f t="shared" ca="1" si="3"/>
        <v>30.414024165274029</v>
      </c>
      <c r="L19" s="1343">
        <f t="shared" ca="1" si="3"/>
        <v>29.924254208486765</v>
      </c>
      <c r="M19" s="1343">
        <f t="shared" ca="1" si="3"/>
        <v>29.434484251699502</v>
      </c>
      <c r="N19" s="1343">
        <f t="shared" ca="1" si="3"/>
        <v>28.944714294912238</v>
      </c>
      <c r="O19" s="1343">
        <f t="shared" ca="1" si="3"/>
        <v>28.454944338124974</v>
      </c>
      <c r="P19" s="1343">
        <f t="shared" ca="1" si="3"/>
        <v>27.965174381337711</v>
      </c>
      <c r="Q19" s="1343">
        <f t="shared" ca="1" si="3"/>
        <v>27.475404424550447</v>
      </c>
      <c r="R19" s="1343">
        <f t="shared" ca="1" si="3"/>
        <v>26.985634467763184</v>
      </c>
      <c r="S19" s="1343">
        <f t="shared" ca="1" si="3"/>
        <v>26.49586451097592</v>
      </c>
      <c r="T19" s="1343">
        <f t="shared" ca="1" si="3"/>
        <v>26.006094554188657</v>
      </c>
      <c r="U19" s="1343">
        <f t="shared" ca="1" si="3"/>
        <v>25.516324597401393</v>
      </c>
      <c r="V19" s="1343">
        <f t="shared" ca="1" si="3"/>
        <v>25.02655464061413</v>
      </c>
      <c r="W19" s="1343">
        <f t="shared" ca="1" si="3"/>
        <v>24.536784683826866</v>
      </c>
    </row>
    <row r="20" spans="1:26" ht="12.75" hidden="1" customHeight="1" outlineLevel="1">
      <c r="A20" s="223">
        <v>1</v>
      </c>
      <c r="B20" s="210" t="str">
        <f t="shared" ref="B20:B38" ca="1" si="4">"Depreciated Net Capex "&amp;OFFSET($C$6,0,A20)</f>
        <v>Depreciated Net Capex 2010-11</v>
      </c>
      <c r="C20" s="1344"/>
      <c r="D20" s="1345">
        <f>(D14*((1+D$11)^0.5)/D$10)</f>
        <v>0</v>
      </c>
      <c r="E20" s="1343">
        <f ca="1">IF(D44="n/a",D20,IFERROR(IF((OFFSET($C20,0,$A20))&lt;0,
MIN(0,D20-(OFFSET($C20,0,$A20)/(OFFSET($C15,-$A19,$A20)))),
MAX(0,D20-(OFFSET($C20,0,$A20)/(OFFSET($C15,-$A19,$A20))))),0))</f>
        <v>0</v>
      </c>
      <c r="F20" s="1343">
        <f t="shared" ref="F20:W20" ca="1" si="5">IF(E44="n/a",E20,IFERROR(IF((OFFSET($C20,0,$A20))&lt;0,
MIN(0,E20-(OFFSET($C20,0,$A20)/(OFFSET($C15,-$A19,$A20)))),
MAX(0,E20-(OFFSET($C20,0,$A20)/(OFFSET($C15,-$A19,$A20))))),0))</f>
        <v>0</v>
      </c>
      <c r="G20" s="1343">
        <f t="shared" ca="1" si="5"/>
        <v>0</v>
      </c>
      <c r="H20" s="1343">
        <f t="shared" ca="1" si="5"/>
        <v>0</v>
      </c>
      <c r="I20" s="1343">
        <f t="shared" ca="1" si="5"/>
        <v>0</v>
      </c>
      <c r="J20" s="1343">
        <f t="shared" ca="1" si="5"/>
        <v>0</v>
      </c>
      <c r="K20" s="1343">
        <f t="shared" ca="1" si="5"/>
        <v>0</v>
      </c>
      <c r="L20" s="1343">
        <f t="shared" ca="1" si="5"/>
        <v>0</v>
      </c>
      <c r="M20" s="1343">
        <f t="shared" ca="1" si="5"/>
        <v>0</v>
      </c>
      <c r="N20" s="1343">
        <f t="shared" ca="1" si="5"/>
        <v>0</v>
      </c>
      <c r="O20" s="1343">
        <f t="shared" ca="1" si="5"/>
        <v>0</v>
      </c>
      <c r="P20" s="1343">
        <f t="shared" ca="1" si="5"/>
        <v>0</v>
      </c>
      <c r="Q20" s="1343">
        <f t="shared" ca="1" si="5"/>
        <v>0</v>
      </c>
      <c r="R20" s="1343">
        <f t="shared" ca="1" si="5"/>
        <v>0</v>
      </c>
      <c r="S20" s="1343">
        <f t="shared" ca="1" si="5"/>
        <v>0</v>
      </c>
      <c r="T20" s="1343">
        <f t="shared" ca="1" si="5"/>
        <v>0</v>
      </c>
      <c r="U20" s="1343">
        <f t="shared" ca="1" si="5"/>
        <v>0</v>
      </c>
      <c r="V20" s="1343">
        <f t="shared" ca="1" si="5"/>
        <v>0</v>
      </c>
      <c r="W20" s="1343">
        <f t="shared" ca="1" si="5"/>
        <v>0</v>
      </c>
    </row>
    <row r="21" spans="1:26" ht="12.75" hidden="1" customHeight="1" outlineLevel="1">
      <c r="A21" s="223">
        <v>2</v>
      </c>
      <c r="B21" s="210" t="str">
        <f t="shared" ca="1" si="4"/>
        <v>Depreciated Net Capex 2011-12</v>
      </c>
      <c r="C21" s="1346"/>
      <c r="D21" s="1347"/>
      <c r="E21" s="1345">
        <f>(E14*((1+E$11)^0.5)/E$10)</f>
        <v>0</v>
      </c>
      <c r="F21" s="1343">
        <f ca="1">IF(E45="n/a",E21,IFERROR(IF((OFFSET($C21,0,$A21))&lt;0,
MIN(0,E21-(OFFSET($C21,0,$A21)/(OFFSET($C16,-$A20,$A21)))),
MAX(0,E21-(OFFSET($C21,0,$A21)/(OFFSET($C16,-$A20,$A21))))),0))</f>
        <v>0</v>
      </c>
      <c r="G21" s="1343">
        <f t="shared" ref="G21" ca="1" si="6">IF(F45="n/a",F21,IFERROR(IF((OFFSET($C21,0,$A21))&lt;0,
MIN(0,F21-(OFFSET($C21,0,$A21)/(OFFSET($C16,-$A20,$A21)))),
MAX(0,F21-(OFFSET($C21,0,$A21)/(OFFSET($C16,-$A20,$A21))))),0))</f>
        <v>0</v>
      </c>
      <c r="H21" s="1343">
        <f t="shared" ref="H21:H22" ca="1" si="7">IF(G45="n/a",G21,IFERROR(IF((OFFSET($C21,0,$A21))&lt;0,
MIN(0,G21-(OFFSET($C21,0,$A21)/(OFFSET($C16,-$A20,$A21)))),
MAX(0,G21-(OFFSET($C21,0,$A21)/(OFFSET($C16,-$A20,$A21))))),0))</f>
        <v>0</v>
      </c>
      <c r="I21" s="1343">
        <f t="shared" ref="I21:I23" ca="1" si="8">IF(H45="n/a",H21,IFERROR(IF((OFFSET($C21,0,$A21))&lt;0,
MIN(0,H21-(OFFSET($C21,0,$A21)/(OFFSET($C16,-$A20,$A21)))),
MAX(0,H21-(OFFSET($C21,0,$A21)/(OFFSET($C16,-$A20,$A21))))),0))</f>
        <v>0</v>
      </c>
      <c r="J21" s="1343">
        <f t="shared" ref="J21:J24" ca="1" si="9">IF(I45="n/a",I21,IFERROR(IF((OFFSET($C21,0,$A21))&lt;0,
MIN(0,I21-(OFFSET($C21,0,$A21)/(OFFSET($C16,-$A20,$A21)))),
MAX(0,I21-(OFFSET($C21,0,$A21)/(OFFSET($C16,-$A20,$A21))))),0))</f>
        <v>0</v>
      </c>
      <c r="K21" s="1343">
        <f t="shared" ref="K21:K25" ca="1" si="10">IF(J45="n/a",J21,IFERROR(IF((OFFSET($C21,0,$A21))&lt;0,
MIN(0,J21-(OFFSET($C21,0,$A21)/(OFFSET($C16,-$A20,$A21)))),
MAX(0,J21-(OFFSET($C21,0,$A21)/(OFFSET($C16,-$A20,$A21))))),0))</f>
        <v>0</v>
      </c>
      <c r="L21" s="1343">
        <f t="shared" ref="L21:L26" ca="1" si="11">IF(K45="n/a",K21,IFERROR(IF((OFFSET($C21,0,$A21))&lt;0,
MIN(0,K21-(OFFSET($C21,0,$A21)/(OFFSET($C16,-$A20,$A21)))),
MAX(0,K21-(OFFSET($C21,0,$A21)/(OFFSET($C16,-$A20,$A21))))),0))</f>
        <v>0</v>
      </c>
      <c r="M21" s="1343">
        <f t="shared" ref="M21:M27" ca="1" si="12">IF(L45="n/a",L21,IFERROR(IF((OFFSET($C21,0,$A21))&lt;0,
MIN(0,L21-(OFFSET($C21,0,$A21)/(OFFSET($C16,-$A20,$A21)))),
MAX(0,L21-(OFFSET($C21,0,$A21)/(OFFSET($C16,-$A20,$A21))))),0))</f>
        <v>0</v>
      </c>
      <c r="N21" s="1343">
        <f t="shared" ref="N21:N28" ca="1" si="13">IF(M45="n/a",M21,IFERROR(IF((OFFSET($C21,0,$A21))&lt;0,
MIN(0,M21-(OFFSET($C21,0,$A21)/(OFFSET($C16,-$A20,$A21)))),
MAX(0,M21-(OFFSET($C21,0,$A21)/(OFFSET($C16,-$A20,$A21))))),0))</f>
        <v>0</v>
      </c>
      <c r="O21" s="1343">
        <f t="shared" ref="O21:O29" ca="1" si="14">IF(N45="n/a",N21,IFERROR(IF((OFFSET($C21,0,$A21))&lt;0,
MIN(0,N21-(OFFSET($C21,0,$A21)/(OFFSET($C16,-$A20,$A21)))),
MAX(0,N21-(OFFSET($C21,0,$A21)/(OFFSET($C16,-$A20,$A21))))),0))</f>
        <v>0</v>
      </c>
      <c r="P21" s="1343">
        <f t="shared" ref="P21:P30" ca="1" si="15">IF(O45="n/a",O21,IFERROR(IF((OFFSET($C21,0,$A21))&lt;0,
MIN(0,O21-(OFFSET($C21,0,$A21)/(OFFSET($C16,-$A20,$A21)))),
MAX(0,O21-(OFFSET($C21,0,$A21)/(OFFSET($C16,-$A20,$A21))))),0))</f>
        <v>0</v>
      </c>
      <c r="Q21" s="1343">
        <f t="shared" ref="Q21:Q31" ca="1" si="16">IF(P45="n/a",P21,IFERROR(IF((OFFSET($C21,0,$A21))&lt;0,
MIN(0,P21-(OFFSET($C21,0,$A21)/(OFFSET($C16,-$A20,$A21)))),
MAX(0,P21-(OFFSET($C21,0,$A21)/(OFFSET($C16,-$A20,$A21))))),0))</f>
        <v>0</v>
      </c>
      <c r="R21" s="1343">
        <f t="shared" ref="R21:R32" ca="1" si="17">IF(Q45="n/a",Q21,IFERROR(IF((OFFSET($C21,0,$A21))&lt;0,
MIN(0,Q21-(OFFSET($C21,0,$A21)/(OFFSET($C16,-$A20,$A21)))),
MAX(0,Q21-(OFFSET($C21,0,$A21)/(OFFSET($C16,-$A20,$A21))))),0))</f>
        <v>0</v>
      </c>
      <c r="S21" s="1343">
        <f t="shared" ref="S21:S33" ca="1" si="18">IF(R45="n/a",R21,IFERROR(IF((OFFSET($C21,0,$A21))&lt;0,
MIN(0,R21-(OFFSET($C21,0,$A21)/(OFFSET($C16,-$A20,$A21)))),
MAX(0,R21-(OFFSET($C21,0,$A21)/(OFFSET($C16,-$A20,$A21))))),0))</f>
        <v>0</v>
      </c>
      <c r="T21" s="1343">
        <f t="shared" ref="T21:T34" ca="1" si="19">IF(S45="n/a",S21,IFERROR(IF((OFFSET($C21,0,$A21))&lt;0,
MIN(0,S21-(OFFSET($C21,0,$A21)/(OFFSET($C16,-$A20,$A21)))),
MAX(0,S21-(OFFSET($C21,0,$A21)/(OFFSET($C16,-$A20,$A21))))),0))</f>
        <v>0</v>
      </c>
      <c r="U21" s="1343">
        <f t="shared" ref="U21:U35" ca="1" si="20">IF(T45="n/a",T21,IFERROR(IF((OFFSET($C21,0,$A21))&lt;0,
MIN(0,T21-(OFFSET($C21,0,$A21)/(OFFSET($C16,-$A20,$A21)))),
MAX(0,T21-(OFFSET($C21,0,$A21)/(OFFSET($C16,-$A20,$A21))))),0))</f>
        <v>0</v>
      </c>
      <c r="V21" s="1343">
        <f t="shared" ref="V21:V36" ca="1" si="21">IF(U45="n/a",U21,IFERROR(IF((OFFSET($C21,0,$A21))&lt;0,
MIN(0,U21-(OFFSET($C21,0,$A21)/(OFFSET($C16,-$A20,$A21)))),
MAX(0,U21-(OFFSET($C21,0,$A21)/(OFFSET($C16,-$A20,$A21))))),0))</f>
        <v>0</v>
      </c>
      <c r="W21" s="1343">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2012-13</v>
      </c>
      <c r="C22" s="1346"/>
      <c r="D22" s="1346"/>
      <c r="E22" s="1347"/>
      <c r="F22" s="1348">
        <f>($F14*((1+F$11)^0.5)/F$10)</f>
        <v>0.31936231171490431</v>
      </c>
      <c r="G22" s="1343">
        <f ca="1">IF(F46="n/a",F22,IFERROR(IF((OFFSET($C22,0,$A22))&lt;0,
MIN(0,F22-(OFFSET($C22,0,$A22)/(OFFSET($C17,-$A21,$A22)))),
MAX(0,F22-(OFFSET($C22,0,$A22)/(OFFSET($C17,-$A21,$A22))))),0))</f>
        <v>0.31537028281846802</v>
      </c>
      <c r="H22" s="1343">
        <f t="shared" ca="1" si="7"/>
        <v>0.31137825392203172</v>
      </c>
      <c r="I22" s="1343">
        <f t="shared" ca="1" si="8"/>
        <v>0.30738622502559543</v>
      </c>
      <c r="J22" s="1343">
        <f t="shared" ca="1" si="9"/>
        <v>0.30339419612915913</v>
      </c>
      <c r="K22" s="1343">
        <f t="shared" ca="1" si="10"/>
        <v>0.29940216723272284</v>
      </c>
      <c r="L22" s="1343">
        <f t="shared" ca="1" si="11"/>
        <v>0.29541013833628654</v>
      </c>
      <c r="M22" s="1343">
        <f t="shared" ca="1" si="12"/>
        <v>0.29141810943985025</v>
      </c>
      <c r="N22" s="1343">
        <f t="shared" ca="1" si="13"/>
        <v>0.28742608054341395</v>
      </c>
      <c r="O22" s="1343">
        <f t="shared" ca="1" si="14"/>
        <v>0.28343405164697766</v>
      </c>
      <c r="P22" s="1343">
        <f t="shared" ca="1" si="15"/>
        <v>0.27944202275054136</v>
      </c>
      <c r="Q22" s="1343">
        <f t="shared" ca="1" si="16"/>
        <v>0.27544999385410507</v>
      </c>
      <c r="R22" s="1343">
        <f t="shared" ca="1" si="17"/>
        <v>0.27145796495766877</v>
      </c>
      <c r="S22" s="1343">
        <f t="shared" ca="1" si="18"/>
        <v>0.26746593606123248</v>
      </c>
      <c r="T22" s="1343">
        <f t="shared" ca="1" si="19"/>
        <v>0.26347390716479618</v>
      </c>
      <c r="U22" s="1343">
        <f t="shared" ca="1" si="20"/>
        <v>0.25948187826835989</v>
      </c>
      <c r="V22" s="1343">
        <f t="shared" ca="1" si="21"/>
        <v>0.25548984937192359</v>
      </c>
      <c r="W22" s="1343">
        <f t="shared" ca="1" si="22"/>
        <v>0.2514978204754873</v>
      </c>
      <c r="X22" s="226"/>
      <c r="Y22" s="226"/>
    </row>
    <row r="23" spans="1:26" ht="12.75" hidden="1" customHeight="1" outlineLevel="1">
      <c r="A23" s="223">
        <v>4</v>
      </c>
      <c r="B23" s="210" t="str">
        <f t="shared" ca="1" si="4"/>
        <v>Depreciated Net Capex 2013-14</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2014-15</v>
      </c>
      <c r="C24" s="1346"/>
      <c r="D24" s="1346"/>
      <c r="E24" s="1346"/>
      <c r="F24" s="1346"/>
      <c r="G24" s="1347"/>
      <c r="H24" s="1348">
        <f>(H14*((1+H$11)^0.5)/H$10)</f>
        <v>0.12019800161298765</v>
      </c>
      <c r="I24" s="1343">
        <f ca="1">IF(H48="n/a",H24,IFERROR(IF((OFFSET($C24,0,$A24))&lt;0,
MIN(0,H24-(OFFSET($C24,0,$A24)/(OFFSET($C19,-$A23,$A24)))),
MAX(0,H24-(OFFSET($C24,0,$A24)/(OFFSET($C19,-$A23,$A24))))),0))</f>
        <v>0.1186955265928253</v>
      </c>
      <c r="J24" s="1343">
        <f t="shared" ca="1" si="9"/>
        <v>0.11719305157266295</v>
      </c>
      <c r="K24" s="1343">
        <f t="shared" ca="1" si="10"/>
        <v>0.1156905765525006</v>
      </c>
      <c r="L24" s="1343">
        <f t="shared" ca="1" si="11"/>
        <v>0.11418810153233826</v>
      </c>
      <c r="M24" s="1343">
        <f t="shared" ca="1" si="12"/>
        <v>0.11268562651217591</v>
      </c>
      <c r="N24" s="1343">
        <f t="shared" ca="1" si="13"/>
        <v>0.11118315149201356</v>
      </c>
      <c r="O24" s="1343">
        <f t="shared" ca="1" si="14"/>
        <v>0.10968067647185122</v>
      </c>
      <c r="P24" s="1343">
        <f t="shared" ca="1" si="15"/>
        <v>0.10817820145168887</v>
      </c>
      <c r="Q24" s="1343">
        <f t="shared" ca="1" si="16"/>
        <v>0.10667572643152652</v>
      </c>
      <c r="R24" s="1343">
        <f t="shared" ca="1" si="17"/>
        <v>0.10517325141136417</v>
      </c>
      <c r="S24" s="1343">
        <f t="shared" ca="1" si="18"/>
        <v>0.10367077639120183</v>
      </c>
      <c r="T24" s="1343">
        <f t="shared" ca="1" si="19"/>
        <v>0.10216830137103948</v>
      </c>
      <c r="U24" s="1343">
        <f t="shared" ca="1" si="20"/>
        <v>0.10066582635087713</v>
      </c>
      <c r="V24" s="1343">
        <f t="shared" ca="1" si="21"/>
        <v>9.9163351330714786E-2</v>
      </c>
      <c r="W24" s="1343">
        <f t="shared" ca="1" si="22"/>
        <v>9.7660876310552439E-2</v>
      </c>
      <c r="X24" s="226"/>
      <c r="Y24" s="226"/>
      <c r="Z24" s="226"/>
    </row>
    <row r="25" spans="1:26" ht="12.75" hidden="1" customHeight="1" outlineLevel="1">
      <c r="A25" s="223">
        <v>6</v>
      </c>
      <c r="B25" s="210" t="str">
        <f t="shared" ca="1" si="4"/>
        <v>Depreciated Net Capex 2015-16</v>
      </c>
      <c r="C25" s="1346"/>
      <c r="D25" s="1346"/>
      <c r="E25" s="1346"/>
      <c r="F25" s="1346"/>
      <c r="G25" s="1346"/>
      <c r="H25" s="1347"/>
      <c r="I25" s="1348">
        <f>(I14*((1+I$11)^0.5)/I$10)</f>
        <v>0</v>
      </c>
      <c r="J25" s="1343">
        <f ca="1">IF(I49="n/a",I25,IFERROR(IF((OFFSET($C25,0,$A25))&lt;0,
MIN(0,I25-(OFFSET($C25,0,$A25)/(OFFSET($C20,-$A24,$A25)))),
MAX(0,I25-(OFFSET($C25,0,$A25)/(OFFSET($C20,-$A24,$A25))))),0))</f>
        <v>0</v>
      </c>
      <c r="K25" s="1343">
        <f t="shared" ca="1" si="10"/>
        <v>0</v>
      </c>
      <c r="L25" s="1343">
        <f t="shared" ca="1" si="11"/>
        <v>0</v>
      </c>
      <c r="M25" s="1343">
        <f t="shared" ca="1" si="12"/>
        <v>0</v>
      </c>
      <c r="N25" s="1343">
        <f t="shared" ca="1" si="13"/>
        <v>0</v>
      </c>
      <c r="O25" s="1343">
        <f t="shared" ca="1" si="14"/>
        <v>0</v>
      </c>
      <c r="P25" s="1343">
        <f t="shared" ca="1" si="15"/>
        <v>0</v>
      </c>
      <c r="Q25" s="1343">
        <f t="shared" ca="1" si="16"/>
        <v>0</v>
      </c>
      <c r="R25" s="1343">
        <f t="shared" ca="1" si="17"/>
        <v>0</v>
      </c>
      <c r="S25" s="1343">
        <f t="shared" ca="1" si="18"/>
        <v>0</v>
      </c>
      <c r="T25" s="1343">
        <f t="shared" ca="1" si="19"/>
        <v>0</v>
      </c>
      <c r="U25" s="1343">
        <f t="shared" ca="1" si="20"/>
        <v>0</v>
      </c>
      <c r="V25" s="1343">
        <f t="shared" ca="1" si="21"/>
        <v>0</v>
      </c>
      <c r="W25" s="1343">
        <f t="shared" ca="1" si="22"/>
        <v>0</v>
      </c>
      <c r="X25" s="226"/>
      <c r="Y25" s="226"/>
      <c r="Z25" s="226"/>
    </row>
    <row r="26" spans="1:26" ht="12.75" hidden="1" customHeight="1" outlineLevel="1">
      <c r="A26" s="223">
        <v>7</v>
      </c>
      <c r="B26" s="210" t="str">
        <f t="shared" ca="1" si="4"/>
        <v>Depreciated Net Capex 2016-17</v>
      </c>
      <c r="C26" s="1346"/>
      <c r="D26" s="1346"/>
      <c r="E26" s="1346"/>
      <c r="F26" s="1346"/>
      <c r="G26" s="1346"/>
      <c r="H26" s="1346"/>
      <c r="I26" s="1347"/>
      <c r="J26" s="1348">
        <f>(J14*((1+J$11)^0.5)/J$10)</f>
        <v>0</v>
      </c>
      <c r="K26" s="1343">
        <f ca="1">IF(J50="n/a",J26,IFERROR(IF((OFFSET($C26,0,$A26))&lt;0,
MIN(0,J26-(OFFSET($C26,0,$A26)/(OFFSET($C21,-$A25,$A26)))),
MAX(0,J26-(OFFSET($C26,0,$A26)/(OFFSET($C21,-$A25,$A26))))),0))</f>
        <v>0</v>
      </c>
      <c r="L26" s="1343">
        <f t="shared" ca="1" si="11"/>
        <v>0</v>
      </c>
      <c r="M26" s="1343">
        <f t="shared" ca="1" si="12"/>
        <v>0</v>
      </c>
      <c r="N26" s="1343">
        <f t="shared" ca="1" si="13"/>
        <v>0</v>
      </c>
      <c r="O26" s="1343">
        <f t="shared" ca="1" si="14"/>
        <v>0</v>
      </c>
      <c r="P26" s="1343">
        <f t="shared" ca="1" si="15"/>
        <v>0</v>
      </c>
      <c r="Q26" s="1343">
        <f t="shared" ca="1" si="16"/>
        <v>0</v>
      </c>
      <c r="R26" s="1343">
        <f t="shared" ca="1" si="17"/>
        <v>0</v>
      </c>
      <c r="S26" s="1343">
        <f t="shared" ca="1" si="18"/>
        <v>0</v>
      </c>
      <c r="T26" s="1343">
        <f t="shared" ca="1" si="19"/>
        <v>0</v>
      </c>
      <c r="U26" s="1343">
        <f t="shared" ca="1" si="20"/>
        <v>0</v>
      </c>
      <c r="V26" s="1343">
        <f t="shared" ca="1" si="21"/>
        <v>0</v>
      </c>
      <c r="W26" s="1343">
        <f t="shared" ca="1" si="22"/>
        <v>0</v>
      </c>
      <c r="X26" s="226"/>
      <c r="Y26" s="226"/>
      <c r="Z26" s="226"/>
    </row>
    <row r="27" spans="1:26" ht="12.75" hidden="1" customHeight="1" outlineLevel="1">
      <c r="A27" s="223">
        <v>8</v>
      </c>
      <c r="B27" s="210" t="str">
        <f t="shared" ca="1" si="4"/>
        <v>Depreciated Net Capex 2017-18</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2018-19</v>
      </c>
      <c r="C28" s="1346"/>
      <c r="D28" s="1346"/>
      <c r="E28" s="1346"/>
      <c r="F28" s="1346"/>
      <c r="G28" s="1346"/>
      <c r="H28" s="1346"/>
      <c r="I28" s="1346"/>
      <c r="J28" s="1346"/>
      <c r="K28" s="1347"/>
      <c r="L28" s="1348">
        <f>(L14*((1+L$11)^0.5)/L$10)</f>
        <v>0</v>
      </c>
      <c r="M28" s="1343">
        <f ca="1">IF(L52="n/a",L28,IFERROR(IF((OFFSET($C28,0,$A28))&lt;0,
MIN(0,L28-(OFFSET($C28,0,$A28)/(OFFSET($C23,-$A27,$A28)))),
MAX(0,L28-(OFFSET($C28,0,$A28)/(OFFSET($C23,-$A27,$A28))))),0))</f>
        <v>0</v>
      </c>
      <c r="N28" s="1343">
        <f t="shared" ca="1" si="13"/>
        <v>0</v>
      </c>
      <c r="O28" s="1343">
        <f t="shared" ca="1" si="14"/>
        <v>0</v>
      </c>
      <c r="P28" s="1343">
        <f t="shared" ca="1" si="15"/>
        <v>0</v>
      </c>
      <c r="Q28" s="1343">
        <f t="shared" ca="1" si="16"/>
        <v>0</v>
      </c>
      <c r="R28" s="1343">
        <f t="shared" ca="1" si="17"/>
        <v>0</v>
      </c>
      <c r="S28" s="1343">
        <f t="shared" ca="1" si="18"/>
        <v>0</v>
      </c>
      <c r="T28" s="1343">
        <f t="shared" ca="1" si="19"/>
        <v>0</v>
      </c>
      <c r="U28" s="1343">
        <f t="shared" ca="1" si="20"/>
        <v>0</v>
      </c>
      <c r="V28" s="1343">
        <f t="shared" ca="1" si="21"/>
        <v>0</v>
      </c>
      <c r="W28" s="1343">
        <f t="shared" ca="1" si="22"/>
        <v>0</v>
      </c>
      <c r="X28" s="226"/>
      <c r="Y28" s="226"/>
      <c r="Z28" s="226"/>
    </row>
    <row r="29" spans="1:26" ht="12.75" hidden="1" customHeight="1" outlineLevel="1">
      <c r="A29" s="223">
        <v>10</v>
      </c>
      <c r="B29" s="210" t="str">
        <f t="shared" ca="1" si="4"/>
        <v>Depreciated Net Capex 2019-20</v>
      </c>
      <c r="C29" s="1346"/>
      <c r="D29" s="1346"/>
      <c r="E29" s="1346"/>
      <c r="F29" s="1346"/>
      <c r="G29" s="1346"/>
      <c r="H29" s="1346"/>
      <c r="I29" s="1346"/>
      <c r="J29" s="1346"/>
      <c r="K29" s="1346"/>
      <c r="L29" s="1347"/>
      <c r="M29" s="1348">
        <f>(M14*((1+M$11)^0.5)/M$10)</f>
        <v>0</v>
      </c>
      <c r="N29" s="1343">
        <f ca="1">IF(M53="n/a",M29,IFERROR(IF((OFFSET($C29,0,$A29))&lt;0,
MIN(0,M29-(OFFSET($C29,0,$A29)/(OFFSET($C24,-$A28,$A29)))),
MAX(0,M29-(OFFSET($C29,0,$A29)/(OFFSET($C24,-$A28,$A29))))),0))</f>
        <v>0</v>
      </c>
      <c r="O29" s="1343">
        <f t="shared" ca="1" si="14"/>
        <v>0</v>
      </c>
      <c r="P29" s="1343">
        <f t="shared" ca="1" si="15"/>
        <v>0</v>
      </c>
      <c r="Q29" s="1343">
        <f t="shared" ca="1" si="16"/>
        <v>0</v>
      </c>
      <c r="R29" s="1343">
        <f t="shared" ca="1" si="17"/>
        <v>0</v>
      </c>
      <c r="S29" s="1343">
        <f t="shared" ca="1" si="18"/>
        <v>0</v>
      </c>
      <c r="T29" s="1343">
        <f t="shared" ca="1" si="19"/>
        <v>0</v>
      </c>
      <c r="U29" s="1343">
        <f t="shared" ca="1" si="20"/>
        <v>0</v>
      </c>
      <c r="V29" s="1343">
        <f t="shared" ca="1" si="21"/>
        <v>0</v>
      </c>
      <c r="W29" s="1343">
        <f t="shared" ca="1" si="22"/>
        <v>0</v>
      </c>
      <c r="X29" s="226"/>
      <c r="Y29" s="226"/>
      <c r="Z29" s="226"/>
    </row>
    <row r="30" spans="1:26" ht="12.75" hidden="1" customHeight="1" outlineLevel="1">
      <c r="A30" s="223">
        <v>11</v>
      </c>
      <c r="B30" s="210" t="str">
        <f t="shared" ca="1" si="4"/>
        <v>Depreciated Net Capex 2020-21</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2021-22</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2022-23</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2023-24</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2024-25</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2025-26</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2026-27</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2027-28</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2028-29</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2029-30</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70.098590866578306</v>
      </c>
      <c r="D43" s="1343">
        <f t="shared" ref="D43:W43" ca="1" si="24">IF(C43="n/a","n/a",MAX(0,C43-1))</f>
        <v>69.098590866578306</v>
      </c>
      <c r="E43" s="1343">
        <f t="shared" ca="1" si="24"/>
        <v>68.098590866578306</v>
      </c>
      <c r="F43" s="1343">
        <f t="shared" ca="1" si="24"/>
        <v>67.098590866578306</v>
      </c>
      <c r="G43" s="1343">
        <f t="shared" ca="1" si="24"/>
        <v>66.098590866578306</v>
      </c>
      <c r="H43" s="1343">
        <f t="shared" ca="1" si="24"/>
        <v>65.098590866578306</v>
      </c>
      <c r="I43" s="1343">
        <f t="shared" ca="1" si="24"/>
        <v>64.098590866578306</v>
      </c>
      <c r="J43" s="1343">
        <f t="shared" ca="1" si="24"/>
        <v>63.098590866578306</v>
      </c>
      <c r="K43" s="1343">
        <f t="shared" ca="1" si="24"/>
        <v>62.098590866578306</v>
      </c>
      <c r="L43" s="1343">
        <f t="shared" ca="1" si="24"/>
        <v>61.098590866578306</v>
      </c>
      <c r="M43" s="1343">
        <f t="shared" ca="1" si="24"/>
        <v>60.098590866578306</v>
      </c>
      <c r="N43" s="1343">
        <f t="shared" ca="1" si="24"/>
        <v>59.098590866578306</v>
      </c>
      <c r="O43" s="1343">
        <f t="shared" ca="1" si="24"/>
        <v>58.098590866578306</v>
      </c>
      <c r="P43" s="1343">
        <f t="shared" ca="1" si="24"/>
        <v>57.098590866578306</v>
      </c>
      <c r="Q43" s="1343">
        <f t="shared" ca="1" si="24"/>
        <v>56.098590866578306</v>
      </c>
      <c r="R43" s="1343">
        <f t="shared" ca="1" si="24"/>
        <v>55.098590866578306</v>
      </c>
      <c r="S43" s="1343">
        <f t="shared" ca="1" si="24"/>
        <v>54.098590866578306</v>
      </c>
      <c r="T43" s="1343">
        <f t="shared" ca="1" si="24"/>
        <v>53.098590866578306</v>
      </c>
      <c r="U43" s="1343">
        <f t="shared" ca="1" si="24"/>
        <v>52.098590866578306</v>
      </c>
      <c r="V43" s="1343">
        <f t="shared" ca="1" si="24"/>
        <v>51.098590866578306</v>
      </c>
      <c r="W43" s="1343">
        <f t="shared" ca="1" si="24"/>
        <v>50.098590866578306</v>
      </c>
    </row>
    <row r="44" spans="1:26" ht="12.75" hidden="1" customHeight="1" outlineLevel="1">
      <c r="B44" s="210" t="str">
        <f t="shared" ref="B44:B63" ca="1" si="25">"RL Capex "&amp;OFFSET($C$6,0,A20)</f>
        <v>RL Capex 2010-11</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2011-12</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2012-13</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2013-14</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2014-15</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2015-16</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2016-17</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2017-18</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2018-19</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2019-20</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2020-21</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2021-22</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2022-23</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2023-24</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2024-25</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2025-26</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2026-27</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2027-28</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2028-29</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2029-30</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70.098590866578306</v>
      </c>
      <c r="D65" s="1351">
        <f ca="1">(IF(OR($C15&lt;&gt;"n/a",D15&lt;&gt;"n/a"),IF(SUM(D18:D40)=0,0,IF((SUMPRODUCT(D18:D40,D42:D64)/SUM(D18:D40))&lt;0,1,(SUMPRODUCT(D18:D40,D42:D64)/SUM(D18:D40)))),"n/a"))</f>
        <v>69.098590866578306</v>
      </c>
      <c r="E65" s="1351">
        <f t="shared" ref="E65:W65" ca="1" si="44">(IF(OR($C15&lt;&gt;"n/a",E15&lt;&gt;"n/a"),IF(SUM(E18:E40)=0,0,IF((SUMPRODUCT(E18:E40,E42:E64)/SUM(E18:E40))&lt;0,1,(SUMPRODUCT(E18:E40,E42:E64)/SUM(E18:E40)))),"n/a"))</f>
        <v>68.098590866578306</v>
      </c>
      <c r="F65" s="1351">
        <f t="shared" ca="1" si="44"/>
        <v>67.222760431668206</v>
      </c>
      <c r="G65" s="1351">
        <f t="shared" ca="1" si="44"/>
        <v>66.223060458303664</v>
      </c>
      <c r="H65" s="1351">
        <f t="shared" ca="1" si="44"/>
        <v>65.278332595576387</v>
      </c>
      <c r="I65" s="1351">
        <f t="shared" ca="1" si="44"/>
        <v>64.278808021905945</v>
      </c>
      <c r="J65" s="1351">
        <f t="shared" ca="1" si="44"/>
        <v>63.279298482005011</v>
      </c>
      <c r="K65" s="1351">
        <f t="shared" ca="1" si="44"/>
        <v>62.279804700418325</v>
      </c>
      <c r="L65" s="1351">
        <f t="shared" ca="1" si="44"/>
        <v>61.280327449009597</v>
      </c>
      <c r="M65" s="1351">
        <f t="shared" ca="1" si="44"/>
        <v>60.280867550888452</v>
      </c>
      <c r="N65" s="1351">
        <f t="shared" ca="1" si="44"/>
        <v>59.281425884735171</v>
      </c>
      <c r="O65" s="1351">
        <f t="shared" ca="1" si="44"/>
        <v>58.282003389570875</v>
      </c>
      <c r="P65" s="1351">
        <f t="shared" ca="1" si="44"/>
        <v>57.282601070027724</v>
      </c>
      <c r="Q65" s="1351">
        <f t="shared" ca="1" si="44"/>
        <v>56.28322000218116</v>
      </c>
      <c r="R65" s="1351">
        <f t="shared" ca="1" si="44"/>
        <v>55.283861340015662</v>
      </c>
      <c r="S65" s="1351">
        <f t="shared" ca="1" si="44"/>
        <v>54.284526322605615</v>
      </c>
      <c r="T65" s="1351">
        <f t="shared" ca="1" si="44"/>
        <v>53.285216282105253</v>
      </c>
      <c r="U65" s="1351">
        <f t="shared" ca="1" si="44"/>
        <v>52.285932652656257</v>
      </c>
      <c r="V65" s="1351">
        <f t="shared" ca="1" si="44"/>
        <v>51.286676980338129</v>
      </c>
      <c r="W65" s="1351">
        <f t="shared" ca="1" si="44"/>
        <v>50.287450934306797</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0</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0</v>
      </c>
      <c r="G68" s="1339">
        <f>IF(LEFT(G$6,4)&lt;LEFT('RFM input'!$G$60,4),"enter input",IF(LEFT(G$6,4)&gt;LEFT('RFM input'!$Q$60,4),0,
INDEX('RFM input'!$G$223:$Q$272,$A68,MATCH(G$6,'RFM input'!$G$222:$Q$222,0))
-INDEX('RFM input'!$G$277:$Q$326,$A68,MATCH(G$6,'RFM input'!$G$222:$Q$222,0))))</f>
        <v>0</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0</v>
      </c>
      <c r="J68" s="1339">
        <f>IF(LEFT(J$6,4)&lt;LEFT('RFM input'!$G$60,4),"enter input",IF(LEFT(J$6,4)&gt;LEFT('RFM input'!$Q$60,4),0,
INDEX('RFM input'!$G$223:$Q$272,$A68,MATCH(J$6,'RFM input'!$G$222:$Q$222,0))
-INDEX('RFM input'!$G$277:$Q$326,$A68,MATCH(J$6,'RFM input'!$G$222:$Q$222,0))))</f>
        <v>0</v>
      </c>
      <c r="K68" s="1339">
        <f>IF(LEFT(K$6,4)&lt;LEFT('RFM input'!$G$60,4),"enter input",IF(LEFT(K$6,4)&gt;LEFT('RFM input'!$Q$60,4),0,
INDEX('RFM input'!$G$223:$Q$272,$A68,MATCH(K$6,'RFM input'!$G$222:$Q$222,0))
-INDEX('RFM input'!$G$277:$Q$326,$A68,MATCH(K$6,'RFM input'!$G$222:$Q$222,0))))</f>
        <v>0</v>
      </c>
      <c r="L68" s="1339">
        <f>IF(LEFT(L$6,4)&lt;LEFT('RFM input'!$G$60,4),"enter input",IF(LEFT(L$6,4)&gt;LEFT('RFM input'!$Q$60,4),0,
INDEX('RFM input'!$G$223:$Q$272,$A68,MATCH(L$6,'RFM input'!$G$222:$Q$222,0))
-INDEX('RFM input'!$G$277:$Q$326,$A68,MATCH(L$6,'RFM input'!$G$222:$Q$222,0))))</f>
        <v>0</v>
      </c>
      <c r="M68" s="1339">
        <f>IF(LEFT(M$6,4)&lt;LEFT('RFM input'!$G$60,4),"enter input",IF(LEFT(M$6,4)&gt;LEFT('RFM input'!$Q$60,4),0,
INDEX('RFM input'!$G$223:$Q$272,$A68,MATCH(M$6,'RFM input'!$G$222:$Q$222,0))
-INDEX('RFM input'!$G$277:$Q$326,$A68,MATCH(M$6,'RFM input'!$G$222:$Q$222,0))))</f>
        <v>0</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0</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0</v>
      </c>
      <c r="D73" s="1343">
        <f ca="1">IF(C97="n/a",C73,IFERROR(IF((OFFSET($C73,0,$A73))&lt;0,
MIN(0,C73-(OFFSET($C73,0,$A73)/(OFFSET($C68,-$A72,$A73)))),
MAX(0,C73-(OFFSET($C73,0,$A73)/(OFFSET($C68,-$A72,$A73))))),0))</f>
        <v>0</v>
      </c>
      <c r="E73" s="1343">
        <f t="shared" ref="E73" ca="1" si="64">IF(D97="n/a",D73,IFERROR(IF((OFFSET($C73,0,$A73))&lt;0,
MIN(0,D73-(OFFSET($C73,0,$A73)/(OFFSET($C68,-$A72,$A73)))),
MAX(0,D73-(OFFSET($C73,0,$A73)/(OFFSET($C68,-$A72,$A73))))),0))</f>
        <v>0</v>
      </c>
      <c r="F73" s="1343">
        <f t="shared" ref="F73:F74" ca="1" si="65">IF(E97="n/a",E73,IFERROR(IF((OFFSET($C73,0,$A73))&lt;0,
MIN(0,E73-(OFFSET($C73,0,$A73)/(OFFSET($C68,-$A72,$A73)))),
MAX(0,E73-(OFFSET($C73,0,$A73)/(OFFSET($C68,-$A72,$A73))))),0))</f>
        <v>0</v>
      </c>
      <c r="G73" s="1343">
        <f t="shared" ref="G73:G75" ca="1" si="66">IF(F97="n/a",F73,IFERROR(IF((OFFSET($C73,0,$A73))&lt;0,
MIN(0,F73-(OFFSET($C73,0,$A73)/(OFFSET($C68,-$A72,$A73)))),
MAX(0,F73-(OFFSET($C73,0,$A73)/(OFFSET($C68,-$A72,$A73))))),0))</f>
        <v>0</v>
      </c>
      <c r="H73" s="1343">
        <f t="shared" ref="H73:H76" ca="1" si="67">IF(G97="n/a",G73,IFERROR(IF((OFFSET($C73,0,$A73))&lt;0,
MIN(0,G73-(OFFSET($C73,0,$A73)/(OFFSET($C68,-$A72,$A73)))),
MAX(0,G73-(OFFSET($C73,0,$A73)/(OFFSET($C68,-$A72,$A73))))),0))</f>
        <v>0</v>
      </c>
      <c r="I73" s="1343">
        <f t="shared" ref="I73:I77" ca="1" si="68">IF(H97="n/a",H73,IFERROR(IF((OFFSET($C73,0,$A73))&lt;0,
MIN(0,H73-(OFFSET($C73,0,$A73)/(OFFSET($C68,-$A72,$A73)))),
MAX(0,H73-(OFFSET($C73,0,$A73)/(OFFSET($C68,-$A72,$A73))))),0))</f>
        <v>0</v>
      </c>
      <c r="J73" s="1343">
        <f t="shared" ref="J73:J78" ca="1" si="69">IF(I97="n/a",I73,IFERROR(IF((OFFSET($C73,0,$A73))&lt;0,
MIN(0,I73-(OFFSET($C73,0,$A73)/(OFFSET($C68,-$A72,$A73)))),
MAX(0,I73-(OFFSET($C73,0,$A73)/(OFFSET($C68,-$A72,$A73))))),0))</f>
        <v>0</v>
      </c>
      <c r="K73" s="1343">
        <f t="shared" ref="K73:K79" ca="1" si="70">IF(J97="n/a",J73,IFERROR(IF((OFFSET($C73,0,$A73))&lt;0,
MIN(0,J73-(OFFSET($C73,0,$A73)/(OFFSET($C68,-$A72,$A73)))),
MAX(0,J73-(OFFSET($C73,0,$A73)/(OFFSET($C68,-$A72,$A73))))),0))</f>
        <v>0</v>
      </c>
      <c r="L73" s="1343">
        <f t="shared" ref="L73:L80" ca="1" si="71">IF(K97="n/a",K73,IFERROR(IF((OFFSET($C73,0,$A73))&lt;0,
MIN(0,K73-(OFFSET($C73,0,$A73)/(OFFSET($C68,-$A72,$A73)))),
MAX(0,K73-(OFFSET($C73,0,$A73)/(OFFSET($C68,-$A72,$A73))))),0))</f>
        <v>0</v>
      </c>
      <c r="M73" s="1343">
        <f t="shared" ref="M73:M81" ca="1" si="72">IF(L97="n/a",L73,IFERROR(IF((OFFSET($C73,0,$A73))&lt;0,
MIN(0,L73-(OFFSET($C73,0,$A73)/(OFFSET($C68,-$A72,$A73)))),
MAX(0,L73-(OFFSET($C73,0,$A73)/(OFFSET($C68,-$A72,$A73))))),0))</f>
        <v>0</v>
      </c>
      <c r="N73" s="1343">
        <f t="shared" ref="N73:N82" ca="1" si="73">IF(M97="n/a",M73,IFERROR(IF((OFFSET($C73,0,$A73))&lt;0,
MIN(0,M73-(OFFSET($C73,0,$A73)/(OFFSET($C68,-$A72,$A73)))),
MAX(0,M73-(OFFSET($C73,0,$A73)/(OFFSET($C68,-$A72,$A73))))),0))</f>
        <v>0</v>
      </c>
      <c r="O73" s="1343">
        <f t="shared" ref="O73:O83" ca="1" si="74">IF(N97="n/a",N73,IFERROR(IF((OFFSET($C73,0,$A73))&lt;0,
MIN(0,N73-(OFFSET($C73,0,$A73)/(OFFSET($C68,-$A72,$A73)))),
MAX(0,N73-(OFFSET($C73,0,$A73)/(OFFSET($C68,-$A72,$A73))))),0))</f>
        <v>0</v>
      </c>
      <c r="P73" s="1343">
        <f t="shared" ref="P73:P84" ca="1" si="75">IF(O97="n/a",O73,IFERROR(IF((OFFSET($C73,0,$A73))&lt;0,
MIN(0,O73-(OFFSET($C73,0,$A73)/(OFFSET($C68,-$A72,$A73)))),
MAX(0,O73-(OFFSET($C73,0,$A73)/(OFFSET($C68,-$A72,$A73))))),0))</f>
        <v>0</v>
      </c>
      <c r="Q73" s="1343">
        <f t="shared" ref="Q73:Q85" ca="1" si="76">IF(P97="n/a",P73,IFERROR(IF((OFFSET($C73,0,$A73))&lt;0,
MIN(0,P73-(OFFSET($C73,0,$A73)/(OFFSET($C68,-$A72,$A73)))),
MAX(0,P73-(OFFSET($C73,0,$A73)/(OFFSET($C68,-$A72,$A73))))),0))</f>
        <v>0</v>
      </c>
      <c r="R73" s="1343">
        <f t="shared" ref="R73:R86" ca="1" si="77">IF(Q97="n/a",Q73,IFERROR(IF((OFFSET($C73,0,$A73))&lt;0,
MIN(0,Q73-(OFFSET($C73,0,$A73)/(OFFSET($C68,-$A72,$A73)))),
MAX(0,Q73-(OFFSET($C73,0,$A73)/(OFFSET($C68,-$A72,$A73))))),0))</f>
        <v>0</v>
      </c>
      <c r="S73" s="1343">
        <f t="shared" ref="S73:S87" ca="1" si="78">IF(R97="n/a",R73,IFERROR(IF((OFFSET($C73,0,$A73))&lt;0,
MIN(0,R73-(OFFSET($C73,0,$A73)/(OFFSET($C68,-$A72,$A73)))),
MAX(0,R73-(OFFSET($C73,0,$A73)/(OFFSET($C68,-$A72,$A73))))),0))</f>
        <v>0</v>
      </c>
      <c r="T73" s="1343">
        <f t="shared" ref="T73:T88" ca="1" si="79">IF(S97="n/a",S73,IFERROR(IF((OFFSET($C73,0,$A73))&lt;0,
MIN(0,S73-(OFFSET($C73,0,$A73)/(OFFSET($C68,-$A72,$A73)))),
MAX(0,S73-(OFFSET($C73,0,$A73)/(OFFSET($C68,-$A72,$A73))))),0))</f>
        <v>0</v>
      </c>
      <c r="U73" s="1343">
        <f t="shared" ref="U73:U89" ca="1" si="80">IF(T97="n/a",T73,IFERROR(IF((OFFSET($C73,0,$A73))&lt;0,
MIN(0,T73-(OFFSET($C73,0,$A73)/(OFFSET($C68,-$A72,$A73)))),
MAX(0,T73-(OFFSET($C73,0,$A73)/(OFFSET($C68,-$A72,$A73))))),0))</f>
        <v>0</v>
      </c>
      <c r="V73" s="1343">
        <f t="shared" ref="V73:V90" ca="1" si="81">IF(U97="n/a",U73,IFERROR(IF((OFFSET($C73,0,$A73))&lt;0,
MIN(0,U73-(OFFSET($C73,0,$A73)/(OFFSET($C68,-$A72,$A73)))),
MAX(0,U73-(OFFSET($C73,0,$A73)/(OFFSET($C68,-$A72,$A73))))),0))</f>
        <v>0</v>
      </c>
      <c r="W73" s="1343">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2010-11</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2011-12</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2012-13</v>
      </c>
      <c r="C76" s="1346"/>
      <c r="D76" s="1346"/>
      <c r="E76" s="1347"/>
      <c r="F76" s="1348">
        <f>($F68*((1+F$11)^0.5)/F$10)</f>
        <v>0</v>
      </c>
      <c r="G76" s="1343">
        <f ca="1">IF(F100="n/a",F76,IFERROR(IF((OFFSET($C76,0,$A76))&lt;0,
MIN(0,F76-(OFFSET($C76,0,$A76)/(OFFSET($C71,-$A75,$A76)))),
MAX(0,F76-(OFFSET($C76,0,$A76)/(OFFSET($C71,-$A75,$A76))))),0))</f>
        <v>0</v>
      </c>
      <c r="H76" s="1343">
        <f t="shared" ca="1" si="67"/>
        <v>0</v>
      </c>
      <c r="I76" s="1343">
        <f t="shared" ca="1" si="68"/>
        <v>0</v>
      </c>
      <c r="J76" s="1343">
        <f t="shared" ca="1" si="69"/>
        <v>0</v>
      </c>
      <c r="K76" s="1343">
        <f t="shared" ca="1" si="70"/>
        <v>0</v>
      </c>
      <c r="L76" s="1343">
        <f t="shared" ca="1" si="71"/>
        <v>0</v>
      </c>
      <c r="M76" s="1343">
        <f t="shared" ca="1" si="72"/>
        <v>0</v>
      </c>
      <c r="N76" s="1343">
        <f t="shared" ca="1" si="73"/>
        <v>0</v>
      </c>
      <c r="O76" s="1343">
        <f t="shared" ca="1" si="74"/>
        <v>0</v>
      </c>
      <c r="P76" s="1343">
        <f t="shared" ca="1" si="75"/>
        <v>0</v>
      </c>
      <c r="Q76" s="1343">
        <f t="shared" ca="1" si="76"/>
        <v>0</v>
      </c>
      <c r="R76" s="1343">
        <f t="shared" ca="1" si="77"/>
        <v>0</v>
      </c>
      <c r="S76" s="1343">
        <f t="shared" ca="1" si="78"/>
        <v>0</v>
      </c>
      <c r="T76" s="1343">
        <f t="shared" ca="1" si="79"/>
        <v>0</v>
      </c>
      <c r="U76" s="1343">
        <f t="shared" ca="1" si="80"/>
        <v>0</v>
      </c>
      <c r="V76" s="1343">
        <f t="shared" ca="1" si="81"/>
        <v>0</v>
      </c>
      <c r="W76" s="1343">
        <f t="shared" ca="1" si="82"/>
        <v>0</v>
      </c>
      <c r="X76" s="226"/>
      <c r="Y76" s="226"/>
    </row>
    <row r="77" spans="1:26" hidden="1" outlineLevel="1">
      <c r="A77" s="223">
        <v>4</v>
      </c>
      <c r="B77" s="210" t="str">
        <f t="shared" ca="1" si="83"/>
        <v>Depreciated Net Capex 2013-14</v>
      </c>
      <c r="C77" s="1346"/>
      <c r="D77" s="1346"/>
      <c r="E77" s="1346"/>
      <c r="F77" s="1347"/>
      <c r="G77" s="1348">
        <f>($G68*((1+G$11)^0.5)/G$10)</f>
        <v>0</v>
      </c>
      <c r="H77" s="1343">
        <f ca="1">IF(G101="n/a",G77,IFERROR(IF((OFFSET($C77,0,$A77))&lt;0,
MIN(0,G77-(OFFSET($C77,0,$A77)/(OFFSET($C72,-$A76,$A77)))),
MAX(0,G77-(OFFSET($C77,0,$A77)/(OFFSET($C72,-$A76,$A77))))),0))</f>
        <v>0</v>
      </c>
      <c r="I77" s="1343">
        <f t="shared" ca="1" si="68"/>
        <v>0</v>
      </c>
      <c r="J77" s="1343">
        <f t="shared" ca="1" si="69"/>
        <v>0</v>
      </c>
      <c r="K77" s="1343">
        <f t="shared" ca="1" si="70"/>
        <v>0</v>
      </c>
      <c r="L77" s="1343">
        <f t="shared" ca="1" si="71"/>
        <v>0</v>
      </c>
      <c r="M77" s="1343">
        <f t="shared" ca="1" si="72"/>
        <v>0</v>
      </c>
      <c r="N77" s="1343">
        <f t="shared" ca="1" si="73"/>
        <v>0</v>
      </c>
      <c r="O77" s="1343">
        <f t="shared" ca="1" si="74"/>
        <v>0</v>
      </c>
      <c r="P77" s="1343">
        <f t="shared" ca="1" si="75"/>
        <v>0</v>
      </c>
      <c r="Q77" s="1343">
        <f t="shared" ca="1" si="76"/>
        <v>0</v>
      </c>
      <c r="R77" s="1343">
        <f t="shared" ca="1" si="77"/>
        <v>0</v>
      </c>
      <c r="S77" s="1343">
        <f t="shared" ca="1" si="78"/>
        <v>0</v>
      </c>
      <c r="T77" s="1343">
        <f t="shared" ca="1" si="79"/>
        <v>0</v>
      </c>
      <c r="U77" s="1343">
        <f t="shared" ca="1" si="80"/>
        <v>0</v>
      </c>
      <c r="V77" s="1343">
        <f t="shared" ca="1" si="81"/>
        <v>0</v>
      </c>
      <c r="W77" s="1343">
        <f t="shared" ca="1" si="82"/>
        <v>0</v>
      </c>
      <c r="X77" s="226"/>
      <c r="Y77" s="226"/>
      <c r="Z77" s="226"/>
    </row>
    <row r="78" spans="1:26" hidden="1" outlineLevel="1">
      <c r="A78" s="223">
        <v>5</v>
      </c>
      <c r="B78" s="210" t="str">
        <f t="shared" ca="1" si="83"/>
        <v>Depreciated Net Capex 2014-15</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2015-16</v>
      </c>
      <c r="C79" s="1346"/>
      <c r="D79" s="1346"/>
      <c r="E79" s="1346"/>
      <c r="F79" s="1346"/>
      <c r="G79" s="1346"/>
      <c r="H79" s="1347"/>
      <c r="I79" s="1348">
        <f>(I68*((1+I$11)^0.5)/I$10)</f>
        <v>0</v>
      </c>
      <c r="J79" s="1343">
        <f ca="1">IF(I103="n/a",I79,IFERROR(IF((OFFSET($C79,0,$A79))&lt;0,
MIN(0,I79-(OFFSET($C79,0,$A79)/(OFFSET($C74,-$A78,$A79)))),
MAX(0,I79-(OFFSET($C79,0,$A79)/(OFFSET($C74,-$A78,$A79))))),0))</f>
        <v>0</v>
      </c>
      <c r="K79" s="1343">
        <f t="shared" ca="1" si="70"/>
        <v>0</v>
      </c>
      <c r="L79" s="1343">
        <f t="shared" ca="1" si="71"/>
        <v>0</v>
      </c>
      <c r="M79" s="1343">
        <f t="shared" ca="1" si="72"/>
        <v>0</v>
      </c>
      <c r="N79" s="1343">
        <f t="shared" ca="1" si="73"/>
        <v>0</v>
      </c>
      <c r="O79" s="1343">
        <f t="shared" ca="1" si="74"/>
        <v>0</v>
      </c>
      <c r="P79" s="1343">
        <f t="shared" ca="1" si="75"/>
        <v>0</v>
      </c>
      <c r="Q79" s="1343">
        <f t="shared" ca="1" si="76"/>
        <v>0</v>
      </c>
      <c r="R79" s="1343">
        <f t="shared" ca="1" si="77"/>
        <v>0</v>
      </c>
      <c r="S79" s="1343">
        <f t="shared" ca="1" si="78"/>
        <v>0</v>
      </c>
      <c r="T79" s="1343">
        <f t="shared" ca="1" si="79"/>
        <v>0</v>
      </c>
      <c r="U79" s="1343">
        <f t="shared" ca="1" si="80"/>
        <v>0</v>
      </c>
      <c r="V79" s="1343">
        <f t="shared" ca="1" si="81"/>
        <v>0</v>
      </c>
      <c r="W79" s="1343">
        <f t="shared" ca="1" si="82"/>
        <v>0</v>
      </c>
      <c r="X79" s="226"/>
      <c r="Y79" s="226"/>
      <c r="Z79" s="226"/>
    </row>
    <row r="80" spans="1:26" hidden="1" outlineLevel="1">
      <c r="A80" s="223">
        <v>7</v>
      </c>
      <c r="B80" s="210" t="str">
        <f t="shared" ca="1" si="83"/>
        <v>Depreciated Net Capex 2016-17</v>
      </c>
      <c r="C80" s="1346"/>
      <c r="D80" s="1346"/>
      <c r="E80" s="1346"/>
      <c r="F80" s="1346"/>
      <c r="G80" s="1346"/>
      <c r="H80" s="1346"/>
      <c r="I80" s="1347"/>
      <c r="J80" s="1348">
        <f>(J68*((1+J$11)^0.5)/J$10)</f>
        <v>0</v>
      </c>
      <c r="K80" s="1343">
        <f ca="1">IF(J104="n/a",J80,IFERROR(IF((OFFSET($C80,0,$A80))&lt;0,
MIN(0,J80-(OFFSET($C80,0,$A80)/(OFFSET($C75,-$A79,$A80)))),
MAX(0,J80-(OFFSET($C80,0,$A80)/(OFFSET($C75,-$A79,$A80))))),0))</f>
        <v>0</v>
      </c>
      <c r="L80" s="1343">
        <f t="shared" ca="1" si="71"/>
        <v>0</v>
      </c>
      <c r="M80" s="1343">
        <f t="shared" ca="1" si="72"/>
        <v>0</v>
      </c>
      <c r="N80" s="1343">
        <f t="shared" ca="1" si="73"/>
        <v>0</v>
      </c>
      <c r="O80" s="1343">
        <f t="shared" ca="1" si="74"/>
        <v>0</v>
      </c>
      <c r="P80" s="1343">
        <f t="shared" ca="1" si="75"/>
        <v>0</v>
      </c>
      <c r="Q80" s="1343">
        <f t="shared" ca="1" si="76"/>
        <v>0</v>
      </c>
      <c r="R80" s="1343">
        <f t="shared" ca="1" si="77"/>
        <v>0</v>
      </c>
      <c r="S80" s="1343">
        <f t="shared" ca="1" si="78"/>
        <v>0</v>
      </c>
      <c r="T80" s="1343">
        <f t="shared" ca="1" si="79"/>
        <v>0</v>
      </c>
      <c r="U80" s="1343">
        <f t="shared" ca="1" si="80"/>
        <v>0</v>
      </c>
      <c r="V80" s="1343">
        <f t="shared" ca="1" si="81"/>
        <v>0</v>
      </c>
      <c r="W80" s="1343">
        <f t="shared" ca="1" si="82"/>
        <v>0</v>
      </c>
      <c r="X80" s="226"/>
      <c r="Y80" s="226"/>
      <c r="Z80" s="226"/>
    </row>
    <row r="81" spans="1:26" hidden="1" outlineLevel="1">
      <c r="A81" s="223">
        <v>8</v>
      </c>
      <c r="B81" s="210" t="str">
        <f t="shared" ca="1" si="83"/>
        <v>Depreciated Net Capex 2017-18</v>
      </c>
      <c r="C81" s="1346"/>
      <c r="D81" s="1346"/>
      <c r="E81" s="1346"/>
      <c r="F81" s="1346"/>
      <c r="G81" s="1346"/>
      <c r="H81" s="1346"/>
      <c r="I81" s="1346"/>
      <c r="J81" s="1347"/>
      <c r="K81" s="1348">
        <f>(K68*((1+K$11)^0.5)/K$10)</f>
        <v>0</v>
      </c>
      <c r="L81" s="1343">
        <f ca="1">IF(K105="n/a",K81,IFERROR(IF((OFFSET($C81,0,$A81))&lt;0,
MIN(0,K81-(OFFSET($C81,0,$A81)/(OFFSET($C76,-$A80,$A81)))),
MAX(0,K81-(OFFSET($C81,0,$A81)/(OFFSET($C76,-$A80,$A81))))),0))</f>
        <v>0</v>
      </c>
      <c r="M81" s="1343">
        <f t="shared" ca="1" si="72"/>
        <v>0</v>
      </c>
      <c r="N81" s="1343">
        <f t="shared" ca="1" si="73"/>
        <v>0</v>
      </c>
      <c r="O81" s="1343">
        <f t="shared" ca="1" si="74"/>
        <v>0</v>
      </c>
      <c r="P81" s="1343">
        <f t="shared" ca="1" si="75"/>
        <v>0</v>
      </c>
      <c r="Q81" s="1343">
        <f t="shared" ca="1" si="76"/>
        <v>0</v>
      </c>
      <c r="R81" s="1343">
        <f t="shared" ca="1" si="77"/>
        <v>0</v>
      </c>
      <c r="S81" s="1343">
        <f t="shared" ca="1" si="78"/>
        <v>0</v>
      </c>
      <c r="T81" s="1343">
        <f t="shared" ca="1" si="79"/>
        <v>0</v>
      </c>
      <c r="U81" s="1343">
        <f t="shared" ca="1" si="80"/>
        <v>0</v>
      </c>
      <c r="V81" s="1343">
        <f t="shared" ca="1" si="81"/>
        <v>0</v>
      </c>
      <c r="W81" s="1343">
        <f t="shared" ca="1" si="82"/>
        <v>0</v>
      </c>
      <c r="X81" s="226"/>
      <c r="Y81" s="226"/>
      <c r="Z81" s="226"/>
    </row>
    <row r="82" spans="1:26" hidden="1" outlineLevel="1">
      <c r="A82" s="223">
        <v>9</v>
      </c>
      <c r="B82" s="210" t="str">
        <f t="shared" ca="1" si="83"/>
        <v>Depreciated Net Capex 2018-19</v>
      </c>
      <c r="C82" s="1346"/>
      <c r="D82" s="1346"/>
      <c r="E82" s="1346"/>
      <c r="F82" s="1346"/>
      <c r="G82" s="1346"/>
      <c r="H82" s="1346"/>
      <c r="I82" s="1346"/>
      <c r="J82" s="1346"/>
      <c r="K82" s="1347"/>
      <c r="L82" s="1348">
        <f>(L68*((1+L$11)^0.5)/L$10)</f>
        <v>0</v>
      </c>
      <c r="M82" s="1343">
        <f ca="1">IF(L106="n/a",L82,IFERROR(IF((OFFSET($C82,0,$A82))&lt;0,
MIN(0,L82-(OFFSET($C82,0,$A82)/(OFFSET($C77,-$A81,$A82)))),
MAX(0,L82-(OFFSET($C82,0,$A82)/(OFFSET($C77,-$A81,$A82))))),0))</f>
        <v>0</v>
      </c>
      <c r="N82" s="1343">
        <f t="shared" ca="1" si="73"/>
        <v>0</v>
      </c>
      <c r="O82" s="1343">
        <f t="shared" ca="1" si="74"/>
        <v>0</v>
      </c>
      <c r="P82" s="1343">
        <f t="shared" ca="1" si="75"/>
        <v>0</v>
      </c>
      <c r="Q82" s="1343">
        <f t="shared" ca="1" si="76"/>
        <v>0</v>
      </c>
      <c r="R82" s="1343">
        <f t="shared" ca="1" si="77"/>
        <v>0</v>
      </c>
      <c r="S82" s="1343">
        <f t="shared" ca="1" si="78"/>
        <v>0</v>
      </c>
      <c r="T82" s="1343">
        <f t="shared" ca="1" si="79"/>
        <v>0</v>
      </c>
      <c r="U82" s="1343">
        <f t="shared" ca="1" si="80"/>
        <v>0</v>
      </c>
      <c r="V82" s="1343">
        <f t="shared" ca="1" si="81"/>
        <v>0</v>
      </c>
      <c r="W82" s="1343">
        <f t="shared" ca="1" si="82"/>
        <v>0</v>
      </c>
      <c r="X82" s="226"/>
      <c r="Y82" s="226"/>
      <c r="Z82" s="226"/>
    </row>
    <row r="83" spans="1:26" hidden="1" outlineLevel="1">
      <c r="A83" s="223">
        <v>10</v>
      </c>
      <c r="B83" s="210" t="str">
        <f t="shared" ca="1" si="83"/>
        <v>Depreciated Net Capex 2019-20</v>
      </c>
      <c r="C83" s="1346"/>
      <c r="D83" s="1346"/>
      <c r="E83" s="1346"/>
      <c r="F83" s="1346"/>
      <c r="G83" s="1346"/>
      <c r="H83" s="1346"/>
      <c r="I83" s="1346"/>
      <c r="J83" s="1346"/>
      <c r="K83" s="1346"/>
      <c r="L83" s="1347"/>
      <c r="M83" s="1348">
        <f>(M68*((1+M$11)^0.5)/M$10)</f>
        <v>0</v>
      </c>
      <c r="N83" s="1343">
        <f ca="1">IF(M107="n/a",M83,IFERROR(IF((OFFSET($C83,0,$A83))&lt;0,
MIN(0,M83-(OFFSET($C83,0,$A83)/(OFFSET($C78,-$A82,$A83)))),
MAX(0,M83-(OFFSET($C83,0,$A83)/(OFFSET($C78,-$A82,$A83))))),0))</f>
        <v>0</v>
      </c>
      <c r="O83" s="1343">
        <f t="shared" ca="1" si="74"/>
        <v>0</v>
      </c>
      <c r="P83" s="1343">
        <f t="shared" ca="1" si="75"/>
        <v>0</v>
      </c>
      <c r="Q83" s="1343">
        <f t="shared" ca="1" si="76"/>
        <v>0</v>
      </c>
      <c r="R83" s="1343">
        <f t="shared" ca="1" si="77"/>
        <v>0</v>
      </c>
      <c r="S83" s="1343">
        <f t="shared" ca="1" si="78"/>
        <v>0</v>
      </c>
      <c r="T83" s="1343">
        <f t="shared" ca="1" si="79"/>
        <v>0</v>
      </c>
      <c r="U83" s="1343">
        <f t="shared" ca="1" si="80"/>
        <v>0</v>
      </c>
      <c r="V83" s="1343">
        <f t="shared" ca="1" si="81"/>
        <v>0</v>
      </c>
      <c r="W83" s="1343">
        <f t="shared" ca="1" si="82"/>
        <v>0</v>
      </c>
      <c r="X83" s="226"/>
      <c r="Y83" s="226"/>
      <c r="Z83" s="226"/>
    </row>
    <row r="84" spans="1:26" hidden="1" outlineLevel="1">
      <c r="A84" s="223">
        <v>11</v>
      </c>
      <c r="B84" s="210" t="str">
        <f t="shared" ca="1" si="83"/>
        <v>Depreciated Net Capex 2020-21</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2021-22</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2022-23</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2023-24</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2024-25</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2025-26</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2026-27</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2027-28</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2028-29</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2029-30</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0</v>
      </c>
      <c r="D97" s="1343">
        <f t="shared" ref="D97" ca="1" si="103">IF(C97="n/a","n/a",MAX(0,C97-1))</f>
        <v>0</v>
      </c>
      <c r="E97" s="1343">
        <f t="shared" ref="E97:E98" ca="1" si="104">IF(D97="n/a","n/a",MAX(0,D97-1))</f>
        <v>0</v>
      </c>
      <c r="F97" s="1343">
        <f t="shared" ref="F97:F99" ca="1" si="105">IF(E97="n/a","n/a",MAX(0,E97-1))</f>
        <v>0</v>
      </c>
      <c r="G97" s="1343">
        <f t="shared" ref="G97:G100" ca="1" si="106">IF(F97="n/a","n/a",MAX(0,F97-1))</f>
        <v>0</v>
      </c>
      <c r="H97" s="1343">
        <f t="shared" ref="H97:H101" ca="1" si="107">IF(G97="n/a","n/a",MAX(0,G97-1))</f>
        <v>0</v>
      </c>
      <c r="I97" s="1343">
        <f t="shared" ref="I97:I102" ca="1" si="108">IF(H97="n/a","n/a",MAX(0,H97-1))</f>
        <v>0</v>
      </c>
      <c r="J97" s="1343">
        <f t="shared" ref="J97:J103" ca="1" si="109">IF(I97="n/a","n/a",MAX(0,I97-1))</f>
        <v>0</v>
      </c>
      <c r="K97" s="1343">
        <f t="shared" ref="K97:K104" ca="1" si="110">IF(J97="n/a","n/a",MAX(0,J97-1))</f>
        <v>0</v>
      </c>
      <c r="L97" s="1343">
        <f t="shared" ref="L97:L105" ca="1" si="111">IF(K97="n/a","n/a",MAX(0,K97-1))</f>
        <v>0</v>
      </c>
      <c r="M97" s="1343">
        <f t="shared" ref="M97:M106" ca="1" si="112">IF(L97="n/a","n/a",MAX(0,L97-1))</f>
        <v>0</v>
      </c>
      <c r="N97" s="1343">
        <f t="shared" ref="N97:N107" ca="1" si="113">IF(M97="n/a","n/a",MAX(0,M97-1))</f>
        <v>0</v>
      </c>
      <c r="O97" s="1343">
        <f t="shared" ref="O97:O108" ca="1" si="114">IF(N97="n/a","n/a",MAX(0,N97-1))</f>
        <v>0</v>
      </c>
      <c r="P97" s="1343">
        <f t="shared" ref="P97:P109" ca="1" si="115">IF(O97="n/a","n/a",MAX(0,O97-1))</f>
        <v>0</v>
      </c>
      <c r="Q97" s="1343">
        <f t="shared" ref="Q97:Q110" ca="1" si="116">IF(P97="n/a","n/a",MAX(0,P97-1))</f>
        <v>0</v>
      </c>
      <c r="R97" s="1343">
        <f t="shared" ref="R97:R111" ca="1" si="117">IF(Q97="n/a","n/a",MAX(0,Q97-1))</f>
        <v>0</v>
      </c>
      <c r="S97" s="1343">
        <f t="shared" ref="S97:S112" ca="1" si="118">IF(R97="n/a","n/a",MAX(0,R97-1))</f>
        <v>0</v>
      </c>
      <c r="T97" s="1343">
        <f t="shared" ref="T97:T113" ca="1" si="119">IF(S97="n/a","n/a",MAX(0,S97-1))</f>
        <v>0</v>
      </c>
      <c r="U97" s="1343">
        <f t="shared" ref="U97:U114" ca="1" si="120">IF(T97="n/a","n/a",MAX(0,T97-1))</f>
        <v>0</v>
      </c>
      <c r="V97" s="1343">
        <f t="shared" ref="V97:V115" ca="1" si="121">IF(U97="n/a","n/a",MAX(0,U97-1))</f>
        <v>0</v>
      </c>
      <c r="W97" s="1343">
        <f t="shared" ref="W97:W115" ca="1" si="122">IF(V97="n/a","n/a",MAX(0,V97-1))</f>
        <v>0</v>
      </c>
    </row>
    <row r="98" spans="2:23" hidden="1" outlineLevel="1">
      <c r="B98" s="210" t="str">
        <f t="shared" ref="B98:B117" ca="1" si="123">"RL Capex "&amp;OFFSET($C$6,0,A74)</f>
        <v>RL Capex 2010-11</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2011-12</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2012-13</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2013-14</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2014-15</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2015-16</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2016-17</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2017-18</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2018-19</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2019-20</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2020-21</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2021-22</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2022-23</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2023-24</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2024-25</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2025-26</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2026-27</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2027-28</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2028-29</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2029-30</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0</v>
      </c>
      <c r="D119" s="1351">
        <f ca="1">(IF(OR($C69&lt;&gt;"n/a",D69&lt;&gt;"n/a"),IF(SUM(D72:D94)=0,0,IF((SUMPRODUCT(D72:D94,D96:D118)/SUM(D72:D94))&lt;0,1,(SUMPRODUCT(D72:D94,D96:D118)/SUM(D72:D94)))),"n/a"))</f>
        <v>0</v>
      </c>
      <c r="E119" s="1351">
        <f t="shared" ref="E119:W119" ca="1" si="124">(IF(OR($C69&lt;&gt;"n/a",E69&lt;&gt;"n/a"),IF(SUM(E72:E94)=0,0,IF((SUMPRODUCT(E72:E94,E96:E118)/SUM(E72:E94))&lt;0,1,(SUMPRODUCT(E72:E94,E96:E118)/SUM(E72:E94)))),"n/a"))</f>
        <v>0</v>
      </c>
      <c r="F119" s="1351">
        <f t="shared" ca="1" si="124"/>
        <v>0</v>
      </c>
      <c r="G119" s="1351">
        <f t="shared" ca="1" si="124"/>
        <v>0</v>
      </c>
      <c r="H119" s="1351">
        <f t="shared" ca="1" si="124"/>
        <v>0</v>
      </c>
      <c r="I119" s="1351">
        <f t="shared" ca="1" si="124"/>
        <v>0</v>
      </c>
      <c r="J119" s="1351">
        <f t="shared" ca="1" si="124"/>
        <v>0</v>
      </c>
      <c r="K119" s="1351">
        <f t="shared" ca="1" si="124"/>
        <v>0</v>
      </c>
      <c r="L119" s="1351">
        <f t="shared" ca="1" si="124"/>
        <v>0</v>
      </c>
      <c r="M119" s="1351">
        <f t="shared" ca="1" si="124"/>
        <v>0</v>
      </c>
      <c r="N119" s="1351">
        <f t="shared" ca="1" si="124"/>
        <v>0</v>
      </c>
      <c r="O119" s="1351">
        <f t="shared" ca="1" si="124"/>
        <v>0</v>
      </c>
      <c r="P119" s="1351">
        <f t="shared" ca="1" si="124"/>
        <v>0</v>
      </c>
      <c r="Q119" s="1351">
        <f t="shared" ca="1" si="124"/>
        <v>0</v>
      </c>
      <c r="R119" s="1351">
        <f t="shared" ca="1" si="124"/>
        <v>0</v>
      </c>
      <c r="S119" s="1351">
        <f t="shared" ca="1" si="124"/>
        <v>0</v>
      </c>
      <c r="T119" s="1351">
        <f t="shared" ca="1" si="124"/>
        <v>0</v>
      </c>
      <c r="U119" s="1351">
        <f t="shared" ca="1" si="124"/>
        <v>0</v>
      </c>
      <c r="V119" s="1351">
        <f t="shared" ca="1" si="124"/>
        <v>0</v>
      </c>
      <c r="W119" s="1351">
        <f t="shared" ca="1" si="124"/>
        <v>0</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0</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0</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0</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0</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0</v>
      </c>
      <c r="D127" s="1343">
        <f ca="1">IF(C151="n/a",C127,IFERROR(IF((OFFSET($C127,0,$A127))&lt;0,
MIN(0,C127-(OFFSET($C127,0,$A127)/(OFFSET($C122,-$A126,$A127)))),
MAX(0,C127-(OFFSET($C127,0,$A127)/(OFFSET($C122,-$A126,$A127))))),0))</f>
        <v>0</v>
      </c>
      <c r="E127" s="1343">
        <f t="shared" ref="E127" ca="1" si="144">IF(D151="n/a",D127,IFERROR(IF((OFFSET($C127,0,$A127))&lt;0,
MIN(0,D127-(OFFSET($C127,0,$A127)/(OFFSET($C122,-$A126,$A127)))),
MAX(0,D127-(OFFSET($C127,0,$A127)/(OFFSET($C122,-$A126,$A127))))),0))</f>
        <v>0</v>
      </c>
      <c r="F127" s="1343">
        <f t="shared" ref="F127:F128" ca="1" si="145">IF(E151="n/a",E127,IFERROR(IF((OFFSET($C127,0,$A127))&lt;0,
MIN(0,E127-(OFFSET($C127,0,$A127)/(OFFSET($C122,-$A126,$A127)))),
MAX(0,E127-(OFFSET($C127,0,$A127)/(OFFSET($C122,-$A126,$A127))))),0))</f>
        <v>0</v>
      </c>
      <c r="G127" s="1343">
        <f t="shared" ref="G127:G129" ca="1" si="146">IF(F151="n/a",F127,IFERROR(IF((OFFSET($C127,0,$A127))&lt;0,
MIN(0,F127-(OFFSET($C127,0,$A127)/(OFFSET($C122,-$A126,$A127)))),
MAX(0,F127-(OFFSET($C127,0,$A127)/(OFFSET($C122,-$A126,$A127))))),0))</f>
        <v>0</v>
      </c>
      <c r="H127" s="1343">
        <f t="shared" ref="H127:H130" ca="1" si="147">IF(G151="n/a",G127,IFERROR(IF((OFFSET($C127,0,$A127))&lt;0,
MIN(0,G127-(OFFSET($C127,0,$A127)/(OFFSET($C122,-$A126,$A127)))),
MAX(0,G127-(OFFSET($C127,0,$A127)/(OFFSET($C122,-$A126,$A127))))),0))</f>
        <v>0</v>
      </c>
      <c r="I127" s="1343">
        <f t="shared" ref="I127:I131" ca="1" si="148">IF(H151="n/a",H127,IFERROR(IF((OFFSET($C127,0,$A127))&lt;0,
MIN(0,H127-(OFFSET($C127,0,$A127)/(OFFSET($C122,-$A126,$A127)))),
MAX(0,H127-(OFFSET($C127,0,$A127)/(OFFSET($C122,-$A126,$A127))))),0))</f>
        <v>0</v>
      </c>
      <c r="J127" s="1343">
        <f t="shared" ref="J127:J132" ca="1" si="149">IF(I151="n/a",I127,IFERROR(IF((OFFSET($C127,0,$A127))&lt;0,
MIN(0,I127-(OFFSET($C127,0,$A127)/(OFFSET($C122,-$A126,$A127)))),
MAX(0,I127-(OFFSET($C127,0,$A127)/(OFFSET($C122,-$A126,$A127))))),0))</f>
        <v>0</v>
      </c>
      <c r="K127" s="1343">
        <f t="shared" ref="K127:K133" ca="1" si="150">IF(J151="n/a",J127,IFERROR(IF((OFFSET($C127,0,$A127))&lt;0,
MIN(0,J127-(OFFSET($C127,0,$A127)/(OFFSET($C122,-$A126,$A127)))),
MAX(0,J127-(OFFSET($C127,0,$A127)/(OFFSET($C122,-$A126,$A127))))),0))</f>
        <v>0</v>
      </c>
      <c r="L127" s="1343">
        <f t="shared" ref="L127:L134" ca="1" si="151">IF(K151="n/a",K127,IFERROR(IF((OFFSET($C127,0,$A127))&lt;0,
MIN(0,K127-(OFFSET($C127,0,$A127)/(OFFSET($C122,-$A126,$A127)))),
MAX(0,K127-(OFFSET($C127,0,$A127)/(OFFSET($C122,-$A126,$A127))))),0))</f>
        <v>0</v>
      </c>
      <c r="M127" s="1343">
        <f t="shared" ref="M127:M135" ca="1" si="152">IF(L151="n/a",L127,IFERROR(IF((OFFSET($C127,0,$A127))&lt;0,
MIN(0,L127-(OFFSET($C127,0,$A127)/(OFFSET($C122,-$A126,$A127)))),
MAX(0,L127-(OFFSET($C127,0,$A127)/(OFFSET($C122,-$A126,$A127))))),0))</f>
        <v>0</v>
      </c>
      <c r="N127" s="1343">
        <f t="shared" ref="N127:N136" ca="1" si="153">IF(M151="n/a",M127,IFERROR(IF((OFFSET($C127,0,$A127))&lt;0,
MIN(0,M127-(OFFSET($C127,0,$A127)/(OFFSET($C122,-$A126,$A127)))),
MAX(0,M127-(OFFSET($C127,0,$A127)/(OFFSET($C122,-$A126,$A127))))),0))</f>
        <v>0</v>
      </c>
      <c r="O127" s="1343">
        <f t="shared" ref="O127:O137" ca="1" si="154">IF(N151="n/a",N127,IFERROR(IF((OFFSET($C127,0,$A127))&lt;0,
MIN(0,N127-(OFFSET($C127,0,$A127)/(OFFSET($C122,-$A126,$A127)))),
MAX(0,N127-(OFFSET($C127,0,$A127)/(OFFSET($C122,-$A126,$A127))))),0))</f>
        <v>0</v>
      </c>
      <c r="P127" s="1343">
        <f t="shared" ref="P127:P138" ca="1" si="155">IF(O151="n/a",O127,IFERROR(IF((OFFSET($C127,0,$A127))&lt;0,
MIN(0,O127-(OFFSET($C127,0,$A127)/(OFFSET($C122,-$A126,$A127)))),
MAX(0,O127-(OFFSET($C127,0,$A127)/(OFFSET($C122,-$A126,$A127))))),0))</f>
        <v>0</v>
      </c>
      <c r="Q127" s="1343">
        <f t="shared" ref="Q127:Q139" ca="1" si="156">IF(P151="n/a",P127,IFERROR(IF((OFFSET($C127,0,$A127))&lt;0,
MIN(0,P127-(OFFSET($C127,0,$A127)/(OFFSET($C122,-$A126,$A127)))),
MAX(0,P127-(OFFSET($C127,0,$A127)/(OFFSET($C122,-$A126,$A127))))),0))</f>
        <v>0</v>
      </c>
      <c r="R127" s="1343">
        <f t="shared" ref="R127:R140" ca="1" si="157">IF(Q151="n/a",Q127,IFERROR(IF((OFFSET($C127,0,$A127))&lt;0,
MIN(0,Q127-(OFFSET($C127,0,$A127)/(OFFSET($C122,-$A126,$A127)))),
MAX(0,Q127-(OFFSET($C127,0,$A127)/(OFFSET($C122,-$A126,$A127))))),0))</f>
        <v>0</v>
      </c>
      <c r="S127" s="1343">
        <f t="shared" ref="S127:S141" ca="1" si="158">IF(R151="n/a",R127,IFERROR(IF((OFFSET($C127,0,$A127))&lt;0,
MIN(0,R127-(OFFSET($C127,0,$A127)/(OFFSET($C122,-$A126,$A127)))),
MAX(0,R127-(OFFSET($C127,0,$A127)/(OFFSET($C122,-$A126,$A127))))),0))</f>
        <v>0</v>
      </c>
      <c r="T127" s="1343">
        <f t="shared" ref="T127:T142" ca="1" si="159">IF(S151="n/a",S127,IFERROR(IF((OFFSET($C127,0,$A127))&lt;0,
MIN(0,S127-(OFFSET($C127,0,$A127)/(OFFSET($C122,-$A126,$A127)))),
MAX(0,S127-(OFFSET($C127,0,$A127)/(OFFSET($C122,-$A126,$A127))))),0))</f>
        <v>0</v>
      </c>
      <c r="U127" s="1343">
        <f t="shared" ref="U127:U143" ca="1" si="160">IF(T151="n/a",T127,IFERROR(IF((OFFSET($C127,0,$A127))&lt;0,
MIN(0,T127-(OFFSET($C127,0,$A127)/(OFFSET($C122,-$A126,$A127)))),
MAX(0,T127-(OFFSET($C127,0,$A127)/(OFFSET($C122,-$A126,$A127))))),0))</f>
        <v>0</v>
      </c>
      <c r="V127" s="1343">
        <f t="shared" ref="V127:V144" ca="1" si="161">IF(U151="n/a",U127,IFERROR(IF((OFFSET($C127,0,$A127))&lt;0,
MIN(0,U127-(OFFSET($C127,0,$A127)/(OFFSET($C122,-$A126,$A127)))),
MAX(0,U127-(OFFSET($C127,0,$A127)/(OFFSET($C122,-$A126,$A127))))),0))</f>
        <v>0</v>
      </c>
      <c r="W127" s="1343">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2010-11</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2011-12</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2012-13</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2013-14</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2014-15</v>
      </c>
      <c r="C132" s="1346"/>
      <c r="D132" s="1346"/>
      <c r="E132" s="1346"/>
      <c r="F132" s="1346"/>
      <c r="G132" s="1347"/>
      <c r="H132" s="1348">
        <f>(H122*((1+H$11)^0.5)/H$10)</f>
        <v>0</v>
      </c>
      <c r="I132" s="1343">
        <f ca="1">IF(H156="n/a",H132,IFERROR(IF((OFFSET($C132,0,$A132))&lt;0,
MIN(0,H132-(OFFSET($C132,0,$A132)/(OFFSET($C127,-$A131,$A132)))),
MAX(0,H132-(OFFSET($C132,0,$A132)/(OFFSET($C127,-$A131,$A132))))),0))</f>
        <v>0</v>
      </c>
      <c r="J132" s="1343">
        <f t="shared" ca="1" si="149"/>
        <v>0</v>
      </c>
      <c r="K132" s="1343">
        <f t="shared" ca="1" si="150"/>
        <v>0</v>
      </c>
      <c r="L132" s="1343">
        <f t="shared" ca="1" si="151"/>
        <v>0</v>
      </c>
      <c r="M132" s="1343">
        <f t="shared" ca="1" si="152"/>
        <v>0</v>
      </c>
      <c r="N132" s="1343">
        <f t="shared" ca="1" si="153"/>
        <v>0</v>
      </c>
      <c r="O132" s="1343">
        <f t="shared" ca="1" si="154"/>
        <v>0</v>
      </c>
      <c r="P132" s="1343">
        <f t="shared" ca="1" si="155"/>
        <v>0</v>
      </c>
      <c r="Q132" s="1343">
        <f t="shared" ca="1" si="156"/>
        <v>0</v>
      </c>
      <c r="R132" s="1343">
        <f t="shared" ca="1" si="157"/>
        <v>0</v>
      </c>
      <c r="S132" s="1343">
        <f t="shared" ca="1" si="158"/>
        <v>0</v>
      </c>
      <c r="T132" s="1343">
        <f t="shared" ca="1" si="159"/>
        <v>0</v>
      </c>
      <c r="U132" s="1343">
        <f t="shared" ca="1" si="160"/>
        <v>0</v>
      </c>
      <c r="V132" s="1343">
        <f t="shared" ca="1" si="161"/>
        <v>0</v>
      </c>
      <c r="W132" s="1343">
        <f t="shared" ca="1" si="162"/>
        <v>0</v>
      </c>
      <c r="X132" s="226"/>
      <c r="Y132" s="226"/>
      <c r="Z132" s="226"/>
    </row>
    <row r="133" spans="1:26" hidden="1" outlineLevel="1">
      <c r="A133" s="223">
        <v>6</v>
      </c>
      <c r="B133" s="210" t="str">
        <f t="shared" ca="1" si="163"/>
        <v>Depreciated Net Capex 2015-16</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2016-17</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2017-18</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2018-19</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2019-20</v>
      </c>
      <c r="C137" s="1346"/>
      <c r="D137" s="1346"/>
      <c r="E137" s="1346"/>
      <c r="F137" s="1346"/>
      <c r="G137" s="1346"/>
      <c r="H137" s="1346"/>
      <c r="I137" s="1346"/>
      <c r="J137" s="1346"/>
      <c r="K137" s="1346"/>
      <c r="L137" s="1347"/>
      <c r="M137" s="1348">
        <f>(M122*((1+M$11)^0.5)/M$10)</f>
        <v>0</v>
      </c>
      <c r="N137" s="1343">
        <f ca="1">IF(M161="n/a",M137,IFERROR(IF((OFFSET($C137,0,$A137))&lt;0,
MIN(0,M137-(OFFSET($C137,0,$A137)/(OFFSET($C132,-$A136,$A137)))),
MAX(0,M137-(OFFSET($C137,0,$A137)/(OFFSET($C132,-$A136,$A137))))),0))</f>
        <v>0</v>
      </c>
      <c r="O137" s="1343">
        <f t="shared" ca="1" si="154"/>
        <v>0</v>
      </c>
      <c r="P137" s="1343">
        <f t="shared" ca="1" si="155"/>
        <v>0</v>
      </c>
      <c r="Q137" s="1343">
        <f t="shared" ca="1" si="156"/>
        <v>0</v>
      </c>
      <c r="R137" s="1343">
        <f t="shared" ca="1" si="157"/>
        <v>0</v>
      </c>
      <c r="S137" s="1343">
        <f t="shared" ca="1" si="158"/>
        <v>0</v>
      </c>
      <c r="T137" s="1343">
        <f t="shared" ca="1" si="159"/>
        <v>0</v>
      </c>
      <c r="U137" s="1343">
        <f t="shared" ca="1" si="160"/>
        <v>0</v>
      </c>
      <c r="V137" s="1343">
        <f t="shared" ca="1" si="161"/>
        <v>0</v>
      </c>
      <c r="W137" s="1343">
        <f t="shared" ca="1" si="162"/>
        <v>0</v>
      </c>
      <c r="X137" s="226"/>
      <c r="Y137" s="226"/>
      <c r="Z137" s="226"/>
    </row>
    <row r="138" spans="1:26" hidden="1" outlineLevel="1">
      <c r="A138" s="223">
        <v>11</v>
      </c>
      <c r="B138" s="210" t="str">
        <f t="shared" ca="1" si="163"/>
        <v>Depreciated Net Capex 2020-21</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2021-22</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2022-23</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2023-24</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2024-25</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2025-26</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2026-27</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2027-28</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2028-29</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2029-30</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0</v>
      </c>
      <c r="D151" s="1343">
        <f t="shared" ref="D151" ca="1" si="183">IF(C151="n/a","n/a",MAX(0,C151-1))</f>
        <v>0</v>
      </c>
      <c r="E151" s="1343">
        <f t="shared" ref="E151:E152" ca="1" si="184">IF(D151="n/a","n/a",MAX(0,D151-1))</f>
        <v>0</v>
      </c>
      <c r="F151" s="1343">
        <f t="shared" ref="F151:F153" ca="1" si="185">IF(E151="n/a","n/a",MAX(0,E151-1))</f>
        <v>0</v>
      </c>
      <c r="G151" s="1343">
        <f t="shared" ref="G151:G154" ca="1" si="186">IF(F151="n/a","n/a",MAX(0,F151-1))</f>
        <v>0</v>
      </c>
      <c r="H151" s="1343">
        <f t="shared" ref="H151:H155" ca="1" si="187">IF(G151="n/a","n/a",MAX(0,G151-1))</f>
        <v>0</v>
      </c>
      <c r="I151" s="1343">
        <f t="shared" ref="I151:I156" ca="1" si="188">IF(H151="n/a","n/a",MAX(0,H151-1))</f>
        <v>0</v>
      </c>
      <c r="J151" s="1343">
        <f t="shared" ref="J151:J157" ca="1" si="189">IF(I151="n/a","n/a",MAX(0,I151-1))</f>
        <v>0</v>
      </c>
      <c r="K151" s="1343">
        <f t="shared" ref="K151:K158" ca="1" si="190">IF(J151="n/a","n/a",MAX(0,J151-1))</f>
        <v>0</v>
      </c>
      <c r="L151" s="1343">
        <f t="shared" ref="L151:L159" ca="1" si="191">IF(K151="n/a","n/a",MAX(0,K151-1))</f>
        <v>0</v>
      </c>
      <c r="M151" s="1343">
        <f t="shared" ref="M151:M160" ca="1" si="192">IF(L151="n/a","n/a",MAX(0,L151-1))</f>
        <v>0</v>
      </c>
      <c r="N151" s="1343">
        <f t="shared" ref="N151:N161" ca="1" si="193">IF(M151="n/a","n/a",MAX(0,M151-1))</f>
        <v>0</v>
      </c>
      <c r="O151" s="1343">
        <f t="shared" ref="O151:O162" ca="1" si="194">IF(N151="n/a","n/a",MAX(0,N151-1))</f>
        <v>0</v>
      </c>
      <c r="P151" s="1343">
        <f t="shared" ref="P151:P163" ca="1" si="195">IF(O151="n/a","n/a",MAX(0,O151-1))</f>
        <v>0</v>
      </c>
      <c r="Q151" s="1343">
        <f t="shared" ref="Q151:Q164" ca="1" si="196">IF(P151="n/a","n/a",MAX(0,P151-1))</f>
        <v>0</v>
      </c>
      <c r="R151" s="1343">
        <f t="shared" ref="R151:R165" ca="1" si="197">IF(Q151="n/a","n/a",MAX(0,Q151-1))</f>
        <v>0</v>
      </c>
      <c r="S151" s="1343">
        <f t="shared" ref="S151:S166" ca="1" si="198">IF(R151="n/a","n/a",MAX(0,R151-1))</f>
        <v>0</v>
      </c>
      <c r="T151" s="1343">
        <f t="shared" ref="T151:T167" ca="1" si="199">IF(S151="n/a","n/a",MAX(0,S151-1))</f>
        <v>0</v>
      </c>
      <c r="U151" s="1343">
        <f t="shared" ref="U151:U168" ca="1" si="200">IF(T151="n/a","n/a",MAX(0,T151-1))</f>
        <v>0</v>
      </c>
      <c r="V151" s="1343">
        <f t="shared" ref="V151:V169" ca="1" si="201">IF(U151="n/a","n/a",MAX(0,U151-1))</f>
        <v>0</v>
      </c>
      <c r="W151" s="1343">
        <f t="shared" ref="W151:W169" ca="1" si="202">IF(V151="n/a","n/a",MAX(0,V151-1))</f>
        <v>0</v>
      </c>
    </row>
    <row r="152" spans="1:26" hidden="1" outlineLevel="1">
      <c r="B152" s="210" t="str">
        <f t="shared" ref="B152:B171" ca="1" si="203">"RL Capex "&amp;OFFSET($C$6,0,A128)</f>
        <v>RL Capex 2010-11</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2011-12</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2012-13</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2013-14</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2014-15</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2015-16</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2016-17</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2017-18</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2018-19</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2019-20</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2020-21</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2021-22</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2022-23</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2023-24</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2024-25</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2025-26</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2026-27</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2027-28</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2028-29</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2029-30</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0</v>
      </c>
      <c r="D173" s="1351">
        <f ca="1">(IF(OR($C123&lt;&gt;"n/a",D123&lt;&gt;"n/a"),IF(SUM(D126:D148)=0,0,IF((SUMPRODUCT(D126:D148,D150:D172)/SUM(D126:D148))&lt;0,1,(SUMPRODUCT(D126:D148,D150:D172)/SUM(D126:D148)))),"n/a"))</f>
        <v>0</v>
      </c>
      <c r="E173" s="1351">
        <f t="shared" ref="E173:W173" ca="1" si="204">(IF(OR($C123&lt;&gt;"n/a",E123&lt;&gt;"n/a"),IF(SUM(E126:E148)=0,0,IF((SUMPRODUCT(E126:E148,E150:E172)/SUM(E126:E148))&lt;0,1,(SUMPRODUCT(E126:E148,E150:E172)/SUM(E126:E148)))),"n/a"))</f>
        <v>0</v>
      </c>
      <c r="F173" s="1351">
        <f t="shared" ca="1" si="204"/>
        <v>0</v>
      </c>
      <c r="G173" s="1351">
        <f t="shared" ca="1" si="204"/>
        <v>0</v>
      </c>
      <c r="H173" s="1351">
        <f t="shared" ca="1" si="204"/>
        <v>0</v>
      </c>
      <c r="I173" s="1351">
        <f t="shared" ca="1" si="204"/>
        <v>0</v>
      </c>
      <c r="J173" s="1351">
        <f t="shared" ca="1" si="204"/>
        <v>0</v>
      </c>
      <c r="K173" s="1351">
        <f t="shared" ca="1" si="204"/>
        <v>0</v>
      </c>
      <c r="L173" s="1351">
        <f t="shared" ca="1" si="204"/>
        <v>0</v>
      </c>
      <c r="M173" s="1351">
        <f t="shared" ca="1" si="204"/>
        <v>0</v>
      </c>
      <c r="N173" s="1351">
        <f t="shared" ca="1" si="204"/>
        <v>0</v>
      </c>
      <c r="O173" s="1351">
        <f t="shared" ca="1" si="204"/>
        <v>0</v>
      </c>
      <c r="P173" s="1351">
        <f t="shared" ca="1" si="204"/>
        <v>0</v>
      </c>
      <c r="Q173" s="1351">
        <f t="shared" ca="1" si="204"/>
        <v>0</v>
      </c>
      <c r="R173" s="1351">
        <f t="shared" ca="1" si="204"/>
        <v>0</v>
      </c>
      <c r="S173" s="1351">
        <f t="shared" ca="1" si="204"/>
        <v>0</v>
      </c>
      <c r="T173" s="1351">
        <f t="shared" ca="1" si="204"/>
        <v>0</v>
      </c>
      <c r="U173" s="1351">
        <f t="shared" ca="1" si="204"/>
        <v>0</v>
      </c>
      <c r="V173" s="1351">
        <f t="shared" ca="1" si="204"/>
        <v>0</v>
      </c>
      <c r="W173" s="1351">
        <f t="shared" ca="1" si="204"/>
        <v>0</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0.44321788934403</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0</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0</v>
      </c>
      <c r="L176" s="1339">
        <f>IF(LEFT(L$6,4)&lt;LEFT('RFM input'!$G$60,4),"enter input",IF(LEFT(L$6,4)&gt;LEFT('RFM input'!$Q$60,4),0,
INDEX('RFM input'!$G$223:$Q$272,$A176,MATCH(L$6,'RFM input'!$G$222:$Q$222,0))
-INDEX('RFM input'!$G$277:$Q$326,$A176,MATCH(L$6,'RFM input'!$G$222:$Q$222,0))))</f>
        <v>0</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46.169966813206685</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0.44321788934403</v>
      </c>
      <c r="D181" s="1343">
        <f ca="1">IF(C205="n/a",C181,IFERROR(IF((OFFSET($C181,0,$A181))&lt;0,
MIN(0,C181-(OFFSET($C181,0,$A181)/(OFFSET($C176,-$A180,$A181)))),
MAX(0,C181-(OFFSET($C181,0,$A181)/(OFFSET($C176,-$A180,$A181))))),0))</f>
        <v>0.43361818806771785</v>
      </c>
      <c r="E181" s="1343">
        <f t="shared" ref="E181" ca="1" si="224">IF(D205="n/a",D181,IFERROR(IF((OFFSET($C181,0,$A181))&lt;0,
MIN(0,D181-(OFFSET($C181,0,$A181)/(OFFSET($C176,-$A180,$A181)))),
MAX(0,D181-(OFFSET($C181,0,$A181)/(OFFSET($C176,-$A180,$A181))))),0))</f>
        <v>0.42401848679140569</v>
      </c>
      <c r="F181" s="1343">
        <f t="shared" ref="F181:F182" ca="1" si="225">IF(E205="n/a",E181,IFERROR(IF((OFFSET($C181,0,$A181))&lt;0,
MIN(0,E181-(OFFSET($C181,0,$A181)/(OFFSET($C176,-$A180,$A181)))),
MAX(0,E181-(OFFSET($C181,0,$A181)/(OFFSET($C176,-$A180,$A181))))),0))</f>
        <v>0.41441878551509354</v>
      </c>
      <c r="G181" s="1343">
        <f t="shared" ref="G181:G183" ca="1" si="226">IF(F205="n/a",F181,IFERROR(IF((OFFSET($C181,0,$A181))&lt;0,
MIN(0,F181-(OFFSET($C181,0,$A181)/(OFFSET($C176,-$A180,$A181)))),
MAX(0,F181-(OFFSET($C181,0,$A181)/(OFFSET($C176,-$A180,$A181))))),0))</f>
        <v>0.40481908423878138</v>
      </c>
      <c r="H181" s="1343">
        <f t="shared" ref="H181:H184" ca="1" si="227">IF(G205="n/a",G181,IFERROR(IF((OFFSET($C181,0,$A181))&lt;0,
MIN(0,G181-(OFFSET($C181,0,$A181)/(OFFSET($C176,-$A180,$A181)))),
MAX(0,G181-(OFFSET($C181,0,$A181)/(OFFSET($C176,-$A180,$A181))))),0))</f>
        <v>0.39521938296246922</v>
      </c>
      <c r="I181" s="1343">
        <f t="shared" ref="I181:I185" ca="1" si="228">IF(H205="n/a",H181,IFERROR(IF((OFFSET($C181,0,$A181))&lt;0,
MIN(0,H181-(OFFSET($C181,0,$A181)/(OFFSET($C176,-$A180,$A181)))),
MAX(0,H181-(OFFSET($C181,0,$A181)/(OFFSET($C176,-$A180,$A181))))),0))</f>
        <v>0.38561968168615707</v>
      </c>
      <c r="J181" s="1343">
        <f t="shared" ref="J181:J186" ca="1" si="229">IF(I205="n/a",I181,IFERROR(IF((OFFSET($C181,0,$A181))&lt;0,
MIN(0,I181-(OFFSET($C181,0,$A181)/(OFFSET($C176,-$A180,$A181)))),
MAX(0,I181-(OFFSET($C181,0,$A181)/(OFFSET($C176,-$A180,$A181))))),0))</f>
        <v>0.37601998040984491</v>
      </c>
      <c r="K181" s="1343">
        <f t="shared" ref="K181:K187" ca="1" si="230">IF(J205="n/a",J181,IFERROR(IF((OFFSET($C181,0,$A181))&lt;0,
MIN(0,J181-(OFFSET($C181,0,$A181)/(OFFSET($C176,-$A180,$A181)))),
MAX(0,J181-(OFFSET($C181,0,$A181)/(OFFSET($C176,-$A180,$A181))))),0))</f>
        <v>0.36642027913353276</v>
      </c>
      <c r="L181" s="1343">
        <f t="shared" ref="L181:L188" ca="1" si="231">IF(K205="n/a",K181,IFERROR(IF((OFFSET($C181,0,$A181))&lt;0,
MIN(0,K181-(OFFSET($C181,0,$A181)/(OFFSET($C176,-$A180,$A181)))),
MAX(0,K181-(OFFSET($C181,0,$A181)/(OFFSET($C176,-$A180,$A181))))),0))</f>
        <v>0.3568205778572206</v>
      </c>
      <c r="M181" s="1343">
        <f t="shared" ref="M181:M189" ca="1" si="232">IF(L205="n/a",L181,IFERROR(IF((OFFSET($C181,0,$A181))&lt;0,
MIN(0,L181-(OFFSET($C181,0,$A181)/(OFFSET($C176,-$A180,$A181)))),
MAX(0,L181-(OFFSET($C181,0,$A181)/(OFFSET($C176,-$A180,$A181))))),0))</f>
        <v>0.34722087658090844</v>
      </c>
      <c r="N181" s="1343">
        <f t="shared" ref="N181:N190" ca="1" si="233">IF(M205="n/a",M181,IFERROR(IF((OFFSET($C181,0,$A181))&lt;0,
MIN(0,M181-(OFFSET($C181,0,$A181)/(OFFSET($C176,-$A180,$A181)))),
MAX(0,M181-(OFFSET($C181,0,$A181)/(OFFSET($C176,-$A180,$A181))))),0))</f>
        <v>0.33762117530459629</v>
      </c>
      <c r="O181" s="1343">
        <f t="shared" ref="O181:O191" ca="1" si="234">IF(N205="n/a",N181,IFERROR(IF((OFFSET($C181,0,$A181))&lt;0,
MIN(0,N181-(OFFSET($C181,0,$A181)/(OFFSET($C176,-$A180,$A181)))),
MAX(0,N181-(OFFSET($C181,0,$A181)/(OFFSET($C176,-$A180,$A181))))),0))</f>
        <v>0.32802147402828413</v>
      </c>
      <c r="P181" s="1343">
        <f t="shared" ref="P181:P192" ca="1" si="235">IF(O205="n/a",O181,IFERROR(IF((OFFSET($C181,0,$A181))&lt;0,
MIN(0,O181-(OFFSET($C181,0,$A181)/(OFFSET($C176,-$A180,$A181)))),
MAX(0,O181-(OFFSET($C181,0,$A181)/(OFFSET($C176,-$A180,$A181))))),0))</f>
        <v>0.31842177275197198</v>
      </c>
      <c r="Q181" s="1343">
        <f t="shared" ref="Q181:Q193" ca="1" si="236">IF(P205="n/a",P181,IFERROR(IF((OFFSET($C181,0,$A181))&lt;0,
MIN(0,P181-(OFFSET($C181,0,$A181)/(OFFSET($C176,-$A180,$A181)))),
MAX(0,P181-(OFFSET($C181,0,$A181)/(OFFSET($C176,-$A180,$A181))))),0))</f>
        <v>0.30882207147565982</v>
      </c>
      <c r="R181" s="1343">
        <f t="shared" ref="R181:R194" ca="1" si="237">IF(Q205="n/a",Q181,IFERROR(IF((OFFSET($C181,0,$A181))&lt;0,
MIN(0,Q181-(OFFSET($C181,0,$A181)/(OFFSET($C176,-$A180,$A181)))),
MAX(0,Q181-(OFFSET($C181,0,$A181)/(OFFSET($C176,-$A180,$A181))))),0))</f>
        <v>0.29922237019934766</v>
      </c>
      <c r="S181" s="1343">
        <f t="shared" ref="S181:S195" ca="1" si="238">IF(R205="n/a",R181,IFERROR(IF((OFFSET($C181,0,$A181))&lt;0,
MIN(0,R181-(OFFSET($C181,0,$A181)/(OFFSET($C176,-$A180,$A181)))),
MAX(0,R181-(OFFSET($C181,0,$A181)/(OFFSET($C176,-$A180,$A181))))),0))</f>
        <v>0.28962266892303551</v>
      </c>
      <c r="T181" s="1343">
        <f t="shared" ref="T181:T196" ca="1" si="239">IF(S205="n/a",S181,IFERROR(IF((OFFSET($C181,0,$A181))&lt;0,
MIN(0,S181-(OFFSET($C181,0,$A181)/(OFFSET($C176,-$A180,$A181)))),
MAX(0,S181-(OFFSET($C181,0,$A181)/(OFFSET($C176,-$A180,$A181))))),0))</f>
        <v>0.28002296764672335</v>
      </c>
      <c r="U181" s="1343">
        <f t="shared" ref="U181:U197" ca="1" si="240">IF(T205="n/a",T181,IFERROR(IF((OFFSET($C181,0,$A181))&lt;0,
MIN(0,T181-(OFFSET($C181,0,$A181)/(OFFSET($C176,-$A180,$A181)))),
MAX(0,T181-(OFFSET($C181,0,$A181)/(OFFSET($C176,-$A180,$A181))))),0))</f>
        <v>0.2704232663704112</v>
      </c>
      <c r="V181" s="1343">
        <f t="shared" ref="V181:V198" ca="1" si="241">IF(U205="n/a",U181,IFERROR(IF((OFFSET($C181,0,$A181))&lt;0,
MIN(0,U181-(OFFSET($C181,0,$A181)/(OFFSET($C176,-$A180,$A181)))),
MAX(0,U181-(OFFSET($C181,0,$A181)/(OFFSET($C176,-$A180,$A181))))),0))</f>
        <v>0.26082356509409904</v>
      </c>
      <c r="W181" s="1343">
        <f t="shared" ref="W181:W199" ca="1" si="242">IF(V205="n/a",V181,IFERROR(IF((OFFSET($C181,0,$A181))&lt;0,
MIN(0,V181-(OFFSET($C181,0,$A181)/(OFFSET($C176,-$A180,$A181)))),
MAX(0,V181-(OFFSET($C181,0,$A181)/(OFFSET($C176,-$A180,$A181))))),0))</f>
        <v>0.25122386381778689</v>
      </c>
    </row>
    <row r="182" spans="1:26" hidden="1" outlineLevel="1">
      <c r="A182" s="223">
        <v>1</v>
      </c>
      <c r="B182" s="210" t="str">
        <f t="shared" ref="B182:B200" ca="1" si="243">"Depreciated Net Capex "&amp;OFFSET($C$6,0,A182)</f>
        <v>Depreciated Net Capex 2010-11</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2011-12</v>
      </c>
      <c r="C183" s="1346"/>
      <c r="D183" s="1347"/>
      <c r="E183" s="1345">
        <f>(E176*((1+E$11)^0.5)/E$10)</f>
        <v>0</v>
      </c>
      <c r="F183" s="1343">
        <f ca="1">IF(E207="n/a",E183,IFERROR(IF((OFFSET($C183,0,$A183))&lt;0,
MIN(0,E183-(OFFSET($C183,0,$A183)/(OFFSET($C178,-$A182,$A183)))),
MAX(0,E183-(OFFSET($C183,0,$A183)/(OFFSET($C178,-$A182,$A183))))),0))</f>
        <v>0</v>
      </c>
      <c r="G183" s="1343">
        <f t="shared" ca="1" si="226"/>
        <v>0</v>
      </c>
      <c r="H183" s="1343">
        <f t="shared" ca="1" si="227"/>
        <v>0</v>
      </c>
      <c r="I183" s="1343">
        <f t="shared" ca="1" si="228"/>
        <v>0</v>
      </c>
      <c r="J183" s="1343">
        <f t="shared" ca="1" si="229"/>
        <v>0</v>
      </c>
      <c r="K183" s="1343">
        <f t="shared" ca="1" si="230"/>
        <v>0</v>
      </c>
      <c r="L183" s="1343">
        <f t="shared" ca="1" si="231"/>
        <v>0</v>
      </c>
      <c r="M183" s="1343">
        <f t="shared" ca="1" si="232"/>
        <v>0</v>
      </c>
      <c r="N183" s="1343">
        <f t="shared" ca="1" si="233"/>
        <v>0</v>
      </c>
      <c r="O183" s="1343">
        <f t="shared" ca="1" si="234"/>
        <v>0</v>
      </c>
      <c r="P183" s="1343">
        <f t="shared" ca="1" si="235"/>
        <v>0</v>
      </c>
      <c r="Q183" s="1343">
        <f t="shared" ca="1" si="236"/>
        <v>0</v>
      </c>
      <c r="R183" s="1343">
        <f t="shared" ca="1" si="237"/>
        <v>0</v>
      </c>
      <c r="S183" s="1343">
        <f t="shared" ca="1" si="238"/>
        <v>0</v>
      </c>
      <c r="T183" s="1343">
        <f t="shared" ca="1" si="239"/>
        <v>0</v>
      </c>
      <c r="U183" s="1343">
        <f t="shared" ca="1" si="240"/>
        <v>0</v>
      </c>
      <c r="V183" s="1343">
        <f t="shared" ca="1" si="241"/>
        <v>0</v>
      </c>
      <c r="W183" s="1343">
        <f t="shared" ca="1" si="242"/>
        <v>0</v>
      </c>
      <c r="X183" s="226"/>
    </row>
    <row r="184" spans="1:26" hidden="1" outlineLevel="1">
      <c r="A184" s="223">
        <v>3</v>
      </c>
      <c r="B184" s="210" t="str">
        <f t="shared" ca="1" si="243"/>
        <v>Depreciated Net Capex 2012-13</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2013-14</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2014-15</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2015-16</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2016-17</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2017-18</v>
      </c>
      <c r="C189" s="1346"/>
      <c r="D189" s="1346"/>
      <c r="E189" s="1346"/>
      <c r="F189" s="1346"/>
      <c r="G189" s="1346"/>
      <c r="H189" s="1346"/>
      <c r="I189" s="1346"/>
      <c r="J189" s="1347"/>
      <c r="K189" s="1348">
        <f>(K176*((1+K$11)^0.5)/K$10)</f>
        <v>0</v>
      </c>
      <c r="L189" s="1343">
        <f ca="1">IF(K213="n/a",K189,IFERROR(IF((OFFSET($C189,0,$A189))&lt;0,
MIN(0,K189-(OFFSET($C189,0,$A189)/(OFFSET($C184,-$A188,$A189)))),
MAX(0,K189-(OFFSET($C189,0,$A189)/(OFFSET($C184,-$A188,$A189))))),0))</f>
        <v>0</v>
      </c>
      <c r="M189" s="1343">
        <f t="shared" ca="1" si="232"/>
        <v>0</v>
      </c>
      <c r="N189" s="1343">
        <f t="shared" ca="1" si="233"/>
        <v>0</v>
      </c>
      <c r="O189" s="1343">
        <f t="shared" ca="1" si="234"/>
        <v>0</v>
      </c>
      <c r="P189" s="1343">
        <f t="shared" ca="1" si="235"/>
        <v>0</v>
      </c>
      <c r="Q189" s="1343">
        <f t="shared" ca="1" si="236"/>
        <v>0</v>
      </c>
      <c r="R189" s="1343">
        <f t="shared" ca="1" si="237"/>
        <v>0</v>
      </c>
      <c r="S189" s="1343">
        <f t="shared" ca="1" si="238"/>
        <v>0</v>
      </c>
      <c r="T189" s="1343">
        <f t="shared" ca="1" si="239"/>
        <v>0</v>
      </c>
      <c r="U189" s="1343">
        <f t="shared" ca="1" si="240"/>
        <v>0</v>
      </c>
      <c r="V189" s="1343">
        <f t="shared" ca="1" si="241"/>
        <v>0</v>
      </c>
      <c r="W189" s="1343">
        <f t="shared" ca="1" si="242"/>
        <v>0</v>
      </c>
      <c r="X189" s="226"/>
      <c r="Y189" s="226"/>
      <c r="Z189" s="226"/>
    </row>
    <row r="190" spans="1:26" hidden="1" outlineLevel="1">
      <c r="A190" s="223">
        <v>9</v>
      </c>
      <c r="B190" s="210" t="str">
        <f t="shared" ca="1" si="243"/>
        <v>Depreciated Net Capex 2018-19</v>
      </c>
      <c r="C190" s="1346"/>
      <c r="D190" s="1346"/>
      <c r="E190" s="1346"/>
      <c r="F190" s="1346"/>
      <c r="G190" s="1346"/>
      <c r="H190" s="1346"/>
      <c r="I190" s="1346"/>
      <c r="J190" s="1346"/>
      <c r="K190" s="1347"/>
      <c r="L190" s="1348">
        <f>(L176*((1+L$11)^0.5)/L$10)</f>
        <v>0</v>
      </c>
      <c r="M190" s="1343">
        <f ca="1">IF(L214="n/a",L190,IFERROR(IF((OFFSET($C190,0,$A190))&lt;0,
MIN(0,L190-(OFFSET($C190,0,$A190)/(OFFSET($C185,-$A189,$A190)))),
MAX(0,L190-(OFFSET($C190,0,$A190)/(OFFSET($C185,-$A189,$A190))))),0))</f>
        <v>0</v>
      </c>
      <c r="N190" s="1343">
        <f t="shared" ca="1" si="233"/>
        <v>0</v>
      </c>
      <c r="O190" s="1343">
        <f t="shared" ca="1" si="234"/>
        <v>0</v>
      </c>
      <c r="P190" s="1343">
        <f t="shared" ca="1" si="235"/>
        <v>0</v>
      </c>
      <c r="Q190" s="1343">
        <f t="shared" ca="1" si="236"/>
        <v>0</v>
      </c>
      <c r="R190" s="1343">
        <f t="shared" ca="1" si="237"/>
        <v>0</v>
      </c>
      <c r="S190" s="1343">
        <f t="shared" ca="1" si="238"/>
        <v>0</v>
      </c>
      <c r="T190" s="1343">
        <f t="shared" ca="1" si="239"/>
        <v>0</v>
      </c>
      <c r="U190" s="1343">
        <f t="shared" ca="1" si="240"/>
        <v>0</v>
      </c>
      <c r="V190" s="1343">
        <f t="shared" ca="1" si="241"/>
        <v>0</v>
      </c>
      <c r="W190" s="1343">
        <f t="shared" ca="1" si="242"/>
        <v>0</v>
      </c>
      <c r="X190" s="226"/>
      <c r="Y190" s="226"/>
      <c r="Z190" s="226"/>
    </row>
    <row r="191" spans="1:26" hidden="1" outlineLevel="1">
      <c r="A191" s="223">
        <v>10</v>
      </c>
      <c r="B191" s="210" t="str">
        <f t="shared" ca="1" si="243"/>
        <v>Depreciated Net Capex 2019-20</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2020-21</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2021-22</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2022-23</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2023-24</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2024-25</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2025-26</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2026-27</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2027-28</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2028-29</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2029-30</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46.169966813206685</v>
      </c>
      <c r="D205" s="1343">
        <f t="shared" ref="D205" ca="1" si="263">IF(C205="n/a","n/a",MAX(0,C205-1))</f>
        <v>45.169966813206685</v>
      </c>
      <c r="E205" s="1343">
        <f t="shared" ref="E205:E206" ca="1" si="264">IF(D205="n/a","n/a",MAX(0,D205-1))</f>
        <v>44.169966813206685</v>
      </c>
      <c r="F205" s="1343">
        <f t="shared" ref="F205:F207" ca="1" si="265">IF(E205="n/a","n/a",MAX(0,E205-1))</f>
        <v>43.169966813206685</v>
      </c>
      <c r="G205" s="1343">
        <f t="shared" ref="G205:G208" ca="1" si="266">IF(F205="n/a","n/a",MAX(0,F205-1))</f>
        <v>42.169966813206685</v>
      </c>
      <c r="H205" s="1343">
        <f t="shared" ref="H205:H209" ca="1" si="267">IF(G205="n/a","n/a",MAX(0,G205-1))</f>
        <v>41.169966813206685</v>
      </c>
      <c r="I205" s="1343">
        <f t="shared" ref="I205:I210" ca="1" si="268">IF(H205="n/a","n/a",MAX(0,H205-1))</f>
        <v>40.169966813206685</v>
      </c>
      <c r="J205" s="1343">
        <f t="shared" ref="J205:J211" ca="1" si="269">IF(I205="n/a","n/a",MAX(0,I205-1))</f>
        <v>39.169966813206685</v>
      </c>
      <c r="K205" s="1343">
        <f t="shared" ref="K205:K212" ca="1" si="270">IF(J205="n/a","n/a",MAX(0,J205-1))</f>
        <v>38.169966813206685</v>
      </c>
      <c r="L205" s="1343">
        <f t="shared" ref="L205:L213" ca="1" si="271">IF(K205="n/a","n/a",MAX(0,K205-1))</f>
        <v>37.169966813206685</v>
      </c>
      <c r="M205" s="1343">
        <f t="shared" ref="M205:M214" ca="1" si="272">IF(L205="n/a","n/a",MAX(0,L205-1))</f>
        <v>36.169966813206685</v>
      </c>
      <c r="N205" s="1343">
        <f t="shared" ref="N205:N215" ca="1" si="273">IF(M205="n/a","n/a",MAX(0,M205-1))</f>
        <v>35.169966813206685</v>
      </c>
      <c r="O205" s="1343">
        <f t="shared" ref="O205:O216" ca="1" si="274">IF(N205="n/a","n/a",MAX(0,N205-1))</f>
        <v>34.169966813206685</v>
      </c>
      <c r="P205" s="1343">
        <f t="shared" ref="P205:P217" ca="1" si="275">IF(O205="n/a","n/a",MAX(0,O205-1))</f>
        <v>33.169966813206685</v>
      </c>
      <c r="Q205" s="1343">
        <f t="shared" ref="Q205:Q218" ca="1" si="276">IF(P205="n/a","n/a",MAX(0,P205-1))</f>
        <v>32.169966813206685</v>
      </c>
      <c r="R205" s="1343">
        <f t="shared" ref="R205:R219" ca="1" si="277">IF(Q205="n/a","n/a",MAX(0,Q205-1))</f>
        <v>31.169966813206685</v>
      </c>
      <c r="S205" s="1343">
        <f t="shared" ref="S205:S220" ca="1" si="278">IF(R205="n/a","n/a",MAX(0,R205-1))</f>
        <v>30.169966813206685</v>
      </c>
      <c r="T205" s="1343">
        <f t="shared" ref="T205:T221" ca="1" si="279">IF(S205="n/a","n/a",MAX(0,S205-1))</f>
        <v>29.169966813206685</v>
      </c>
      <c r="U205" s="1343">
        <f t="shared" ref="U205:U222" ca="1" si="280">IF(T205="n/a","n/a",MAX(0,T205-1))</f>
        <v>28.169966813206685</v>
      </c>
      <c r="V205" s="1343">
        <f t="shared" ref="V205:V223" ca="1" si="281">IF(U205="n/a","n/a",MAX(0,U205-1))</f>
        <v>27.169966813206685</v>
      </c>
      <c r="W205" s="1343">
        <f t="shared" ref="W205:W223" ca="1" si="282">IF(V205="n/a","n/a",MAX(0,V205-1))</f>
        <v>26.169966813206685</v>
      </c>
    </row>
    <row r="206" spans="1:26" hidden="1" outlineLevel="1">
      <c r="B206" s="210" t="str">
        <f t="shared" ref="B206:B225" ca="1" si="283">"RL Capex "&amp;OFFSET($C$6,0,A182)</f>
        <v>RL Capex 2010-11</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2011-12</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2012-13</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2013-14</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2014-15</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2015-16</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2016-17</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2017-18</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2018-19</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2019-20</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2020-21</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2021-22</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2022-23</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2023-24</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2024-25</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2025-26</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2026-27</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2027-28</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2028-29</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2029-30</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46.169966813206685</v>
      </c>
      <c r="D227" s="1351">
        <f ca="1">(IF(OR($C177&lt;&gt;"n/a",D177&lt;&gt;"n/a"),IF(SUM(D180:D202)=0,0,IF((SUMPRODUCT(D180:D202,D204:D226)/SUM(D180:D202))&lt;0,1,(SUMPRODUCT(D180:D202,D204:D226)/SUM(D180:D202)))),"n/a"))</f>
        <v>45.169966813206685</v>
      </c>
      <c r="E227" s="1351">
        <f t="shared" ref="E227:W227" ca="1" si="284">(IF(OR($C177&lt;&gt;"n/a",E177&lt;&gt;"n/a"),IF(SUM(E180:E202)=0,0,IF((SUMPRODUCT(E180:E202,E204:E226)/SUM(E180:E202))&lt;0,1,(SUMPRODUCT(E180:E202,E204:E226)/SUM(E180:E202)))),"n/a"))</f>
        <v>44.169966813206678</v>
      </c>
      <c r="F227" s="1351">
        <f t="shared" ca="1" si="284"/>
        <v>43.169966813206685</v>
      </c>
      <c r="G227" s="1351">
        <f t="shared" ca="1" si="284"/>
        <v>42.169966813206685</v>
      </c>
      <c r="H227" s="1351">
        <f t="shared" ca="1" si="284"/>
        <v>41.169966813206685</v>
      </c>
      <c r="I227" s="1351">
        <f t="shared" ca="1" si="284"/>
        <v>40.169966813206685</v>
      </c>
      <c r="J227" s="1351">
        <f t="shared" ca="1" si="284"/>
        <v>39.169966813206685</v>
      </c>
      <c r="K227" s="1351">
        <f t="shared" ca="1" si="284"/>
        <v>38.169966813206685</v>
      </c>
      <c r="L227" s="1351">
        <f t="shared" ca="1" si="284"/>
        <v>37.169966813206685</v>
      </c>
      <c r="M227" s="1351">
        <f t="shared" ca="1" si="284"/>
        <v>36.169966813206685</v>
      </c>
      <c r="N227" s="1351">
        <f t="shared" ca="1" si="284"/>
        <v>35.169966813206685</v>
      </c>
      <c r="O227" s="1351">
        <f t="shared" ca="1" si="284"/>
        <v>34.169966813206685</v>
      </c>
      <c r="P227" s="1351">
        <f t="shared" ca="1" si="284"/>
        <v>33.169966813206685</v>
      </c>
      <c r="Q227" s="1351">
        <f t="shared" ca="1" si="284"/>
        <v>32.169966813206685</v>
      </c>
      <c r="R227" s="1351">
        <f t="shared" ca="1" si="284"/>
        <v>31.169966813206681</v>
      </c>
      <c r="S227" s="1351">
        <f t="shared" ca="1" si="284"/>
        <v>30.169966813206685</v>
      </c>
      <c r="T227" s="1351">
        <f t="shared" ca="1" si="284"/>
        <v>29.169966813206688</v>
      </c>
      <c r="U227" s="1351">
        <f t="shared" ca="1" si="284"/>
        <v>28.169966813206685</v>
      </c>
      <c r="V227" s="1351">
        <f t="shared" ca="1" si="284"/>
        <v>27.169966813206685</v>
      </c>
      <c r="W227" s="1351">
        <f t="shared" ca="1" si="284"/>
        <v>26.169966813206685</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0.27356029999999998</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2010-11</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2011-12</v>
      </c>
      <c r="C237" s="1346"/>
      <c r="D237" s="1347"/>
      <c r="E237" s="1345">
        <f>(E230*((1+E$11)^0.5)/E$10)</f>
        <v>0.26614130644206846</v>
      </c>
      <c r="F237" s="1343">
        <f ca="1">IF(E261="n/a",E237,IFERROR(IF((OFFSET($C237,0,$A237))&lt;0,
MIN(0,E237-(OFFSET($C237,0,$A237)/(OFFSET($C232,-$A236,$A237)))),
MAX(0,E237-(OFFSET($C237,0,$A237)/(OFFSET($C232,-$A236,$A237))))),0))</f>
        <v>0.26281454011154259</v>
      </c>
      <c r="G237" s="1343">
        <f t="shared" ca="1" si="306"/>
        <v>0.25948777378101673</v>
      </c>
      <c r="H237" s="1343">
        <f t="shared" ca="1" si="307"/>
        <v>0.25616100745049086</v>
      </c>
      <c r="I237" s="1343">
        <f t="shared" ca="1" si="308"/>
        <v>0.252834241119965</v>
      </c>
      <c r="J237" s="1343">
        <f t="shared" ca="1" si="309"/>
        <v>0.24950747478943913</v>
      </c>
      <c r="K237" s="1343">
        <f t="shared" ca="1" si="310"/>
        <v>0.24618070845891327</v>
      </c>
      <c r="L237" s="1343">
        <f t="shared" ca="1" si="311"/>
        <v>0.2428539421283874</v>
      </c>
      <c r="M237" s="1343">
        <f t="shared" ca="1" si="312"/>
        <v>0.23952717579786154</v>
      </c>
      <c r="N237" s="1343">
        <f t="shared" ca="1" si="313"/>
        <v>0.23620040946733567</v>
      </c>
      <c r="O237" s="1343">
        <f t="shared" ca="1" si="314"/>
        <v>0.2328736431368098</v>
      </c>
      <c r="P237" s="1343">
        <f t="shared" ca="1" si="315"/>
        <v>0.22954687680628394</v>
      </c>
      <c r="Q237" s="1343">
        <f t="shared" ca="1" si="316"/>
        <v>0.22622011047575807</v>
      </c>
      <c r="R237" s="1343">
        <f t="shared" ca="1" si="317"/>
        <v>0.22289334414523221</v>
      </c>
      <c r="S237" s="1343">
        <f t="shared" ca="1" si="318"/>
        <v>0.21956657781470634</v>
      </c>
      <c r="T237" s="1343">
        <f t="shared" ca="1" si="319"/>
        <v>0.21623981148418048</v>
      </c>
      <c r="U237" s="1343">
        <f t="shared" ca="1" si="320"/>
        <v>0.21291304515365461</v>
      </c>
      <c r="V237" s="1343">
        <f t="shared" ca="1" si="321"/>
        <v>0.20958627882312875</v>
      </c>
      <c r="W237" s="1343">
        <f t="shared" ca="1" si="322"/>
        <v>0.20625951249260288</v>
      </c>
      <c r="X237" s="226"/>
    </row>
    <row r="238" spans="1:26" hidden="1" outlineLevel="1">
      <c r="A238" s="223">
        <v>3</v>
      </c>
      <c r="B238" s="210" t="str">
        <f t="shared" ca="1" si="323"/>
        <v>Depreciated Net Capex 2012-13</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2013-14</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2014-15</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2015-16</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2016-17</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2017-18</v>
      </c>
      <c r="C243" s="1346"/>
      <c r="D243" s="1346"/>
      <c r="E243" s="1346"/>
      <c r="F243" s="1346"/>
      <c r="G243" s="1346"/>
      <c r="H243" s="1346"/>
      <c r="I243" s="1346"/>
      <c r="J243" s="1347"/>
      <c r="K243" s="1348">
        <f>(K230*((1+K$11)^0.5)/K$10)</f>
        <v>0</v>
      </c>
      <c r="L243" s="1343">
        <f ca="1">IF(K267="n/a",K243,IFERROR(IF((OFFSET($C243,0,$A243))&lt;0,
MIN(0,K243-(OFFSET($C243,0,$A243)/(OFFSET($C238,-$A242,$A243)))),
MAX(0,K243-(OFFSET($C243,0,$A243)/(OFFSET($C238,-$A242,$A243))))),0))</f>
        <v>0</v>
      </c>
      <c r="M243" s="1343">
        <f t="shared" ca="1" si="312"/>
        <v>0</v>
      </c>
      <c r="N243" s="1343">
        <f t="shared" ca="1" si="313"/>
        <v>0</v>
      </c>
      <c r="O243" s="1343">
        <f t="shared" ca="1" si="314"/>
        <v>0</v>
      </c>
      <c r="P243" s="1343">
        <f t="shared" ca="1" si="315"/>
        <v>0</v>
      </c>
      <c r="Q243" s="1343">
        <f t="shared" ca="1" si="316"/>
        <v>0</v>
      </c>
      <c r="R243" s="1343">
        <f t="shared" ca="1" si="317"/>
        <v>0</v>
      </c>
      <c r="S243" s="1343">
        <f t="shared" ca="1" si="318"/>
        <v>0</v>
      </c>
      <c r="T243" s="1343">
        <f t="shared" ca="1" si="319"/>
        <v>0</v>
      </c>
      <c r="U243" s="1343">
        <f t="shared" ca="1" si="320"/>
        <v>0</v>
      </c>
      <c r="V243" s="1343">
        <f t="shared" ca="1" si="321"/>
        <v>0</v>
      </c>
      <c r="W243" s="1343">
        <f t="shared" ca="1" si="322"/>
        <v>0</v>
      </c>
      <c r="X243" s="226"/>
      <c r="Y243" s="226"/>
      <c r="Z243" s="226"/>
    </row>
    <row r="244" spans="1:26" hidden="1" outlineLevel="1">
      <c r="A244" s="223">
        <v>9</v>
      </c>
      <c r="B244" s="210" t="str">
        <f t="shared" ca="1" si="323"/>
        <v>Depreciated Net Capex 2018-19</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2019-20</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2020-21</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2021-22</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2022-23</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2023-24</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2024-25</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2025-26</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2026-27</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2027-28</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2028-29</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2029-30</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2010-11</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2011-12</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2012-13</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2013-14</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2014-15</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2015-16</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2016-17</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2017-18</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2018-19</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2019-20</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2020-21</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2021-22</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2022-23</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2023-24</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2024-25</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2025-26</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2026-27</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2027-28</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2028-29</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2029-30</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80</v>
      </c>
      <c r="F281" s="1351">
        <f t="shared" ca="1" si="364"/>
        <v>79</v>
      </c>
      <c r="G281" s="1351">
        <f t="shared" ca="1" si="364"/>
        <v>78</v>
      </c>
      <c r="H281" s="1351">
        <f t="shared" ca="1" si="364"/>
        <v>77</v>
      </c>
      <c r="I281" s="1351">
        <f t="shared" ca="1" si="364"/>
        <v>76</v>
      </c>
      <c r="J281" s="1351">
        <f t="shared" ca="1" si="364"/>
        <v>75</v>
      </c>
      <c r="K281" s="1351">
        <f t="shared" ca="1" si="364"/>
        <v>74</v>
      </c>
      <c r="L281" s="1351">
        <f t="shared" ca="1" si="364"/>
        <v>73</v>
      </c>
      <c r="M281" s="1351">
        <f t="shared" ca="1" si="364"/>
        <v>72</v>
      </c>
      <c r="N281" s="1351">
        <f t="shared" ca="1" si="364"/>
        <v>71</v>
      </c>
      <c r="O281" s="1351">
        <f t="shared" ca="1" si="364"/>
        <v>70</v>
      </c>
      <c r="P281" s="1351">
        <f t="shared" ca="1" si="364"/>
        <v>69</v>
      </c>
      <c r="Q281" s="1351">
        <f t="shared" ca="1" si="364"/>
        <v>68</v>
      </c>
      <c r="R281" s="1351">
        <f t="shared" ca="1" si="364"/>
        <v>67</v>
      </c>
      <c r="S281" s="1351">
        <f t="shared" ca="1" si="364"/>
        <v>66</v>
      </c>
      <c r="T281" s="1351">
        <f t="shared" ca="1" si="364"/>
        <v>65</v>
      </c>
      <c r="U281" s="1351">
        <f t="shared" ca="1" si="364"/>
        <v>64</v>
      </c>
      <c r="V281" s="1351">
        <f t="shared" ca="1" si="364"/>
        <v>63.000000000000007</v>
      </c>
      <c r="W281" s="1351">
        <f t="shared" ca="1" si="364"/>
        <v>62</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7.3627056426249652E-3</v>
      </c>
      <c r="D284" s="1339">
        <f>IF(LEFT(D$6,4)&lt;LEFT('RFM input'!$G$60,4),"enter input",IF(LEFT(D$6,4)&gt;LEFT('RFM input'!$Q$60,4),0,
INDEX('RFM input'!$G$223:$Q$272,$A284,MATCH(D$6,'RFM input'!$G$222:$Q$222,0))
-INDEX('RFM input'!$G$277:$Q$326,$A284,MATCH(D$6,'RFM input'!$G$222:$Q$222,0))))</f>
        <v>0</v>
      </c>
      <c r="E284" s="1339">
        <f>IF(LEFT(E$6,4)&lt;LEFT('RFM input'!$G$60,4),"enter input",IF(LEFT(E$6,4)&gt;LEFT('RFM input'!$Q$60,4),0,
INDEX('RFM input'!$G$223:$Q$272,$A284,MATCH(E$6,'RFM input'!$G$222:$Q$222,0))
-INDEX('RFM input'!$G$277:$Q$326,$A284,MATCH(E$6,'RFM input'!$G$222:$Q$222,0))))</f>
        <v>0</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0</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v>
      </c>
      <c r="J284" s="1339">
        <f>IF(LEFT(J$6,4)&lt;LEFT('RFM input'!$G$60,4),"enter input",IF(LEFT(J$6,4)&gt;LEFT('RFM input'!$Q$60,4),0,
INDEX('RFM input'!$G$223:$Q$272,$A284,MATCH(J$6,'RFM input'!$G$222:$Q$222,0))
-INDEX('RFM input'!$G$277:$Q$326,$A284,MATCH(J$6,'RFM input'!$G$222:$Q$222,0))))</f>
        <v>0.11472373</v>
      </c>
      <c r="K284" s="1339">
        <f>IF(LEFT(K$6,4)&lt;LEFT('RFM input'!$G$60,4),"enter input",IF(LEFT(K$6,4)&gt;LEFT('RFM input'!$Q$60,4),0,
INDEX('RFM input'!$G$223:$Q$272,$A284,MATCH(K$6,'RFM input'!$G$222:$Q$222,0))
-INDEX('RFM input'!$G$277:$Q$326,$A284,MATCH(K$6,'RFM input'!$G$222:$Q$222,0))))</f>
        <v>5.659637E-2</v>
      </c>
      <c r="L284" s="1339">
        <f>IF(LEFT(L$6,4)&lt;LEFT('RFM input'!$G$60,4),"enter input",IF(LEFT(L$6,4)&gt;LEFT('RFM input'!$Q$60,4),0,
INDEX('RFM input'!$G$223:$Q$272,$A284,MATCH(L$6,'RFM input'!$G$222:$Q$222,0))
-INDEX('RFM input'!$G$277:$Q$326,$A284,MATCH(L$6,'RFM input'!$G$222:$Q$222,0))))</f>
        <v>9.4760360000000002E-2</v>
      </c>
      <c r="M284" s="1339">
        <f>IF(LEFT(M$6,4)&lt;LEFT('RFM input'!$G$60,4),"enter input",IF(LEFT(M$6,4)&gt;LEFT('RFM input'!$Q$60,4),0,
INDEX('RFM input'!$G$223:$Q$272,$A284,MATCH(M$6,'RFM input'!$G$222:$Q$222,0))
-INDEX('RFM input'!$G$277:$Q$326,$A284,MATCH(M$6,'RFM input'!$G$222:$Q$222,0))))</f>
        <v>0</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8</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7.3627056426249652E-3</v>
      </c>
      <c r="D289" s="1343">
        <f ca="1">IF(C313="n/a",C289,IFERROR(IF((OFFSET($C289,0,$A289))&lt;0,
MIN(0,C289-(OFFSET($C289,0,$A289)/(OFFSET($C284,-$A288,$A289)))),
MAX(0,C289-(OFFSET($C289,0,$A289)/(OFFSET($C284,-$A288,$A289))))),0))</f>
        <v>6.4423674372968446E-3</v>
      </c>
      <c r="E289" s="1343">
        <f t="shared" ref="E289" ca="1" si="384">IF(D313="n/a",D289,IFERROR(IF((OFFSET($C289,0,$A289))&lt;0,
MIN(0,D289-(OFFSET($C289,0,$A289)/(OFFSET($C284,-$A288,$A289)))),
MAX(0,D289-(OFFSET($C289,0,$A289)/(OFFSET($C284,-$A288,$A289))))),0))</f>
        <v>5.5220292319687241E-3</v>
      </c>
      <c r="F289" s="1343">
        <f t="shared" ref="F289:F290" ca="1" si="385">IF(E313="n/a",E289,IFERROR(IF((OFFSET($C289,0,$A289))&lt;0,
MIN(0,E289-(OFFSET($C289,0,$A289)/(OFFSET($C284,-$A288,$A289)))),
MAX(0,E289-(OFFSET($C289,0,$A289)/(OFFSET($C284,-$A288,$A289))))),0))</f>
        <v>4.6016910266406036E-3</v>
      </c>
      <c r="G289" s="1343">
        <f t="shared" ref="G289:G291" ca="1" si="386">IF(F313="n/a",F289,IFERROR(IF((OFFSET($C289,0,$A289))&lt;0,
MIN(0,F289-(OFFSET($C289,0,$A289)/(OFFSET($C284,-$A288,$A289)))),
MAX(0,F289-(OFFSET($C289,0,$A289)/(OFFSET($C284,-$A288,$A289))))),0))</f>
        <v>3.681352821312483E-3</v>
      </c>
      <c r="H289" s="1343">
        <f t="shared" ref="H289:H292" ca="1" si="387">IF(G313="n/a",G289,IFERROR(IF((OFFSET($C289,0,$A289))&lt;0,
MIN(0,G289-(OFFSET($C289,0,$A289)/(OFFSET($C284,-$A288,$A289)))),
MAX(0,G289-(OFFSET($C289,0,$A289)/(OFFSET($C284,-$A288,$A289))))),0))</f>
        <v>2.7610146159843625E-3</v>
      </c>
      <c r="I289" s="1343">
        <f t="shared" ref="I289:I293" ca="1" si="388">IF(H313="n/a",H289,IFERROR(IF((OFFSET($C289,0,$A289))&lt;0,
MIN(0,H289-(OFFSET($C289,0,$A289)/(OFFSET($C284,-$A288,$A289)))),
MAX(0,H289-(OFFSET($C289,0,$A289)/(OFFSET($C284,-$A288,$A289))))),0))</f>
        <v>1.8406764106562419E-3</v>
      </c>
      <c r="J289" s="1343">
        <f t="shared" ref="J289:J294" ca="1" si="389">IF(I313="n/a",I289,IFERROR(IF((OFFSET($C289,0,$A289))&lt;0,
MIN(0,I289-(OFFSET($C289,0,$A289)/(OFFSET($C284,-$A288,$A289)))),
MAX(0,I289-(OFFSET($C289,0,$A289)/(OFFSET($C284,-$A288,$A289))))),0))</f>
        <v>9.203382053281213E-4</v>
      </c>
      <c r="K289" s="1343">
        <f t="shared" ref="K289:K295" ca="1" si="390">IF(J313="n/a",J289,IFERROR(IF((OFFSET($C289,0,$A289))&lt;0,
MIN(0,J289-(OFFSET($C289,0,$A289)/(OFFSET($C284,-$A288,$A289)))),
MAX(0,J289-(OFFSET($C289,0,$A289)/(OFFSET($C284,-$A288,$A289))))),0))</f>
        <v>6.5052130349130266E-19</v>
      </c>
      <c r="L289" s="1343">
        <f t="shared" ref="L289:L296" ca="1" si="391">IF(K313="n/a",K289,IFERROR(IF((OFFSET($C289,0,$A289))&lt;0,
MIN(0,K289-(OFFSET($C289,0,$A289)/(OFFSET($C284,-$A288,$A289)))),
MAX(0,K289-(OFFSET($C289,0,$A289)/(OFFSET($C284,-$A288,$A289))))),0))</f>
        <v>0</v>
      </c>
      <c r="M289" s="1343">
        <f t="shared" ref="M289:M297" ca="1" si="392">IF(L313="n/a",L289,IFERROR(IF((OFFSET($C289,0,$A289))&lt;0,
MIN(0,L289-(OFFSET($C289,0,$A289)/(OFFSET($C284,-$A288,$A289)))),
MAX(0,L289-(OFFSET($C289,0,$A289)/(OFFSET($C284,-$A288,$A289))))),0))</f>
        <v>0</v>
      </c>
      <c r="N289" s="1343">
        <f t="shared" ref="N289:N298" ca="1" si="393">IF(M313="n/a",M289,IFERROR(IF((OFFSET($C289,0,$A289))&lt;0,
MIN(0,M289-(OFFSET($C289,0,$A289)/(OFFSET($C284,-$A288,$A289)))),
MAX(0,M289-(OFFSET($C289,0,$A289)/(OFFSET($C284,-$A288,$A289))))),0))</f>
        <v>0</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2010-11</v>
      </c>
      <c r="C290" s="1344"/>
      <c r="D290" s="1345">
        <f>(D284*((1+D$11)^0.5)/D$10)</f>
        <v>0</v>
      </c>
      <c r="E290" s="1343">
        <f ca="1">IF(D314="n/a",D290,IFERROR(IF((OFFSET($C290,0,$A290))&lt;0,
MIN(0,D290-(OFFSET($C290,0,$A290)/(OFFSET($C285,-$A289,$A290)))),
MAX(0,D290-(OFFSET($C290,0,$A290)/(OFFSET($C285,-$A289,$A290))))),0))</f>
        <v>0</v>
      </c>
      <c r="F290" s="1343">
        <f t="shared" ca="1" si="385"/>
        <v>0</v>
      </c>
      <c r="G290" s="1343">
        <f t="shared" ca="1" si="386"/>
        <v>0</v>
      </c>
      <c r="H290" s="1343">
        <f t="shared" ca="1" si="387"/>
        <v>0</v>
      </c>
      <c r="I290" s="1343">
        <f t="shared" ca="1" si="388"/>
        <v>0</v>
      </c>
      <c r="J290" s="1343">
        <f t="shared" ca="1" si="389"/>
        <v>0</v>
      </c>
      <c r="K290" s="1343">
        <f t="shared" ca="1" si="390"/>
        <v>0</v>
      </c>
      <c r="L290" s="1343">
        <f t="shared" ca="1" si="391"/>
        <v>0</v>
      </c>
      <c r="M290" s="1343">
        <f t="shared" ca="1" si="392"/>
        <v>0</v>
      </c>
      <c r="N290" s="1343">
        <f t="shared" ca="1" si="393"/>
        <v>0</v>
      </c>
      <c r="O290" s="1343">
        <f t="shared" ca="1" si="394"/>
        <v>0</v>
      </c>
      <c r="P290" s="1343">
        <f t="shared" ca="1" si="395"/>
        <v>0</v>
      </c>
      <c r="Q290" s="1343">
        <f t="shared" ca="1" si="396"/>
        <v>0</v>
      </c>
      <c r="R290" s="1343">
        <f t="shared" ca="1" si="397"/>
        <v>0</v>
      </c>
      <c r="S290" s="1343">
        <f t="shared" ca="1" si="398"/>
        <v>0</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2011-12</v>
      </c>
      <c r="C291" s="1346"/>
      <c r="D291" s="1347"/>
      <c r="E291" s="1345">
        <f>(E284*((1+E$11)^0.5)/E$10)</f>
        <v>0</v>
      </c>
      <c r="F291" s="1343">
        <f ca="1">IF(E315="n/a",E291,IFERROR(IF((OFFSET($C291,0,$A291))&lt;0,
MIN(0,E291-(OFFSET($C291,0,$A291)/(OFFSET($C286,-$A290,$A291)))),
MAX(0,E291-(OFFSET($C291,0,$A291)/(OFFSET($C286,-$A290,$A291))))),0))</f>
        <v>0</v>
      </c>
      <c r="G291" s="1343">
        <f t="shared" ca="1" si="386"/>
        <v>0</v>
      </c>
      <c r="H291" s="1343">
        <f t="shared" ca="1" si="387"/>
        <v>0</v>
      </c>
      <c r="I291" s="1343">
        <f t="shared" ca="1" si="388"/>
        <v>0</v>
      </c>
      <c r="J291" s="1343">
        <f t="shared" ca="1" si="389"/>
        <v>0</v>
      </c>
      <c r="K291" s="1343">
        <f t="shared" ca="1" si="390"/>
        <v>0</v>
      </c>
      <c r="L291" s="1343">
        <f t="shared" ca="1" si="391"/>
        <v>0</v>
      </c>
      <c r="M291" s="1343">
        <f t="shared" ca="1" si="392"/>
        <v>0</v>
      </c>
      <c r="N291" s="1343">
        <f t="shared" ca="1" si="393"/>
        <v>0</v>
      </c>
      <c r="O291" s="1343">
        <f t="shared" ca="1" si="394"/>
        <v>0</v>
      </c>
      <c r="P291" s="1343">
        <f t="shared" ca="1" si="395"/>
        <v>0</v>
      </c>
      <c r="Q291" s="1343">
        <f t="shared" ca="1" si="396"/>
        <v>0</v>
      </c>
      <c r="R291" s="1343">
        <f t="shared" ca="1" si="397"/>
        <v>0</v>
      </c>
      <c r="S291" s="1343">
        <f t="shared" ca="1" si="398"/>
        <v>0</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2012-13</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2013-14</v>
      </c>
      <c r="C293" s="1346"/>
      <c r="D293" s="1346"/>
      <c r="E293" s="1346"/>
      <c r="F293" s="1347"/>
      <c r="G293" s="1348">
        <f>($G284*((1+G$11)^0.5)/G$10)</f>
        <v>0</v>
      </c>
      <c r="H293" s="1343">
        <f ca="1">IF(G317="n/a",G293,IFERROR(IF((OFFSET($C293,0,$A293))&lt;0,
MIN(0,G293-(OFFSET($C293,0,$A293)/(OFFSET($C288,-$A292,$A293)))),
MAX(0,G293-(OFFSET($C293,0,$A293)/(OFFSET($C288,-$A292,$A293))))),0))</f>
        <v>0</v>
      </c>
      <c r="I293" s="1343">
        <f t="shared" ca="1" si="388"/>
        <v>0</v>
      </c>
      <c r="J293" s="1343">
        <f t="shared" ca="1" si="389"/>
        <v>0</v>
      </c>
      <c r="K293" s="1343">
        <f t="shared" ca="1" si="390"/>
        <v>0</v>
      </c>
      <c r="L293" s="1343">
        <f t="shared" ca="1" si="391"/>
        <v>0</v>
      </c>
      <c r="M293" s="1343">
        <f t="shared" ca="1" si="392"/>
        <v>0</v>
      </c>
      <c r="N293" s="1343">
        <f t="shared" ca="1" si="393"/>
        <v>0</v>
      </c>
      <c r="O293" s="1343">
        <f t="shared" ca="1" si="394"/>
        <v>0</v>
      </c>
      <c r="P293" s="1343">
        <f t="shared" ca="1" si="395"/>
        <v>0</v>
      </c>
      <c r="Q293" s="1343">
        <f t="shared" ca="1" si="396"/>
        <v>0</v>
      </c>
      <c r="R293" s="1343">
        <f t="shared" ca="1" si="397"/>
        <v>0</v>
      </c>
      <c r="S293" s="1343">
        <f t="shared" ca="1" si="398"/>
        <v>0</v>
      </c>
      <c r="T293" s="1343">
        <f t="shared" ca="1" si="399"/>
        <v>0</v>
      </c>
      <c r="U293" s="1343">
        <f t="shared" ca="1" si="400"/>
        <v>0</v>
      </c>
      <c r="V293" s="1343">
        <f t="shared" ca="1" si="401"/>
        <v>0</v>
      </c>
      <c r="W293" s="1343">
        <f t="shared" ca="1" si="402"/>
        <v>0</v>
      </c>
      <c r="X293" s="226"/>
      <c r="Y293" s="226"/>
      <c r="Z293" s="226"/>
    </row>
    <row r="294" spans="1:26" hidden="1" outlineLevel="1">
      <c r="A294" s="223">
        <v>5</v>
      </c>
      <c r="B294" s="210" t="str">
        <f t="shared" ca="1" si="403"/>
        <v>Depreciated Net Capex 2014-15</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2015-16</v>
      </c>
      <c r="C295" s="1346"/>
      <c r="D295" s="1346"/>
      <c r="E295" s="1346"/>
      <c r="F295" s="1346"/>
      <c r="G295" s="1346"/>
      <c r="H295" s="1347"/>
      <c r="I295" s="1348">
        <f>(I284*((1+I$11)^0.5)/I$10)</f>
        <v>0</v>
      </c>
      <c r="J295" s="1343">
        <f ca="1">IF(I319="n/a",I295,IFERROR(IF((OFFSET($C295,0,$A295))&lt;0,
MIN(0,I295-(OFFSET($C295,0,$A295)/(OFFSET($C290,-$A294,$A295)))),
MAX(0,I295-(OFFSET($C295,0,$A295)/(OFFSET($C290,-$A294,$A295))))),0))</f>
        <v>0</v>
      </c>
      <c r="K295" s="1343">
        <f t="shared" ca="1" si="390"/>
        <v>0</v>
      </c>
      <c r="L295" s="1343">
        <f t="shared" ca="1" si="391"/>
        <v>0</v>
      </c>
      <c r="M295" s="1343">
        <f t="shared" ca="1" si="392"/>
        <v>0</v>
      </c>
      <c r="N295" s="1343">
        <f t="shared" ca="1" si="393"/>
        <v>0</v>
      </c>
      <c r="O295" s="1343">
        <f t="shared" ca="1" si="394"/>
        <v>0</v>
      </c>
      <c r="P295" s="1343">
        <f t="shared" ca="1" si="395"/>
        <v>0</v>
      </c>
      <c r="Q295" s="1343">
        <f t="shared" ca="1" si="396"/>
        <v>0</v>
      </c>
      <c r="R295" s="1343">
        <f t="shared" ca="1" si="397"/>
        <v>0</v>
      </c>
      <c r="S295" s="1343">
        <f t="shared" ca="1" si="398"/>
        <v>0</v>
      </c>
      <c r="T295" s="1343">
        <f t="shared" ca="1" si="399"/>
        <v>0</v>
      </c>
      <c r="U295" s="1343">
        <f t="shared" ca="1" si="400"/>
        <v>0</v>
      </c>
      <c r="V295" s="1343">
        <f t="shared" ca="1" si="401"/>
        <v>0</v>
      </c>
      <c r="W295" s="1343">
        <f t="shared" ca="1" si="402"/>
        <v>0</v>
      </c>
      <c r="X295" s="226"/>
      <c r="Y295" s="226"/>
      <c r="Z295" s="226"/>
    </row>
    <row r="296" spans="1:26" hidden="1" outlineLevel="1">
      <c r="A296" s="223">
        <v>7</v>
      </c>
      <c r="B296" s="210" t="str">
        <f t="shared" ca="1" si="403"/>
        <v>Depreciated Net Capex 2016-17</v>
      </c>
      <c r="C296" s="1346"/>
      <c r="D296" s="1346"/>
      <c r="E296" s="1346"/>
      <c r="F296" s="1346"/>
      <c r="G296" s="1346"/>
      <c r="H296" s="1346"/>
      <c r="I296" s="1347"/>
      <c r="J296" s="1348">
        <f>(J284*((1+J$11)^0.5)/J$10)</f>
        <v>0.10072146023653941</v>
      </c>
      <c r="K296" s="1343">
        <f ca="1">IF(J320="n/a",J296,IFERROR(IF((OFFSET($C296,0,$A296))&lt;0,
MIN(0,J296-(OFFSET($C296,0,$A296)/(OFFSET($C291,-$A295,$A296)))),
MAX(0,J296-(OFFSET($C296,0,$A296)/(OFFSET($C291,-$A295,$A296))))),0))</f>
        <v>9.4006696220770111E-2</v>
      </c>
      <c r="L296" s="1343">
        <f t="shared" ca="1" si="391"/>
        <v>8.7291932205000811E-2</v>
      </c>
      <c r="M296" s="1343">
        <f t="shared" ca="1" si="392"/>
        <v>8.057716818923151E-2</v>
      </c>
      <c r="N296" s="1343">
        <f t="shared" ca="1" si="393"/>
        <v>7.3862404173462209E-2</v>
      </c>
      <c r="O296" s="1343">
        <f t="shared" ca="1" si="394"/>
        <v>6.7147640157692909E-2</v>
      </c>
      <c r="P296" s="1343">
        <f t="shared" ca="1" si="395"/>
        <v>6.0432876141923615E-2</v>
      </c>
      <c r="Q296" s="1343">
        <f t="shared" ca="1" si="396"/>
        <v>5.3718112126154322E-2</v>
      </c>
      <c r="R296" s="1343">
        <f t="shared" ca="1" si="397"/>
        <v>4.7003348110385028E-2</v>
      </c>
      <c r="S296" s="1343">
        <f t="shared" ca="1" si="398"/>
        <v>4.0288584094615734E-2</v>
      </c>
      <c r="T296" s="1343">
        <f t="shared" ca="1" si="399"/>
        <v>3.3573820078846441E-2</v>
      </c>
      <c r="U296" s="1343">
        <f t="shared" ca="1" si="400"/>
        <v>2.6859056063077147E-2</v>
      </c>
      <c r="V296" s="1343">
        <f t="shared" ca="1" si="401"/>
        <v>2.0144292047307853E-2</v>
      </c>
      <c r="W296" s="1343">
        <f t="shared" ca="1" si="402"/>
        <v>1.342952803153856E-2</v>
      </c>
      <c r="X296" s="226"/>
      <c r="Y296" s="226"/>
      <c r="Z296" s="226"/>
    </row>
    <row r="297" spans="1:26" hidden="1" outlineLevel="1">
      <c r="A297" s="223">
        <v>8</v>
      </c>
      <c r="B297" s="210" t="str">
        <f t="shared" ca="1" si="403"/>
        <v>Depreciated Net Capex 2017-18</v>
      </c>
      <c r="C297" s="1346"/>
      <c r="D297" s="1346"/>
      <c r="E297" s="1346"/>
      <c r="F297" s="1346"/>
      <c r="G297" s="1346"/>
      <c r="H297" s="1346"/>
      <c r="I297" s="1346"/>
      <c r="J297" s="1347"/>
      <c r="K297" s="1348">
        <f>(K284*((1+K$11)^0.5)/K$10)</f>
        <v>4.8736641990907235E-2</v>
      </c>
      <c r="L297" s="1343">
        <f ca="1">IF(K321="n/a",K297,IFERROR(IF((OFFSET($C297,0,$A297))&lt;0,
MIN(0,K297-(OFFSET($C297,0,$A297)/(OFFSET($C292,-$A296,$A297)))),
MAX(0,K297-(OFFSET($C297,0,$A297)/(OFFSET($C292,-$A296,$A297))))),0))</f>
        <v>4.5487532524846754E-2</v>
      </c>
      <c r="M297" s="1343">
        <f t="shared" ca="1" si="392"/>
        <v>4.2238423058786272E-2</v>
      </c>
      <c r="N297" s="1343">
        <f t="shared" ca="1" si="393"/>
        <v>3.898931359272579E-2</v>
      </c>
      <c r="O297" s="1343">
        <f t="shared" ca="1" si="394"/>
        <v>3.5740204126665308E-2</v>
      </c>
      <c r="P297" s="1343">
        <f t="shared" ca="1" si="395"/>
        <v>3.2491094660604826E-2</v>
      </c>
      <c r="Q297" s="1343">
        <f t="shared" ca="1" si="396"/>
        <v>2.9241985194544344E-2</v>
      </c>
      <c r="R297" s="1343">
        <f t="shared" ca="1" si="397"/>
        <v>2.5992875728483862E-2</v>
      </c>
      <c r="S297" s="1343">
        <f t="shared" ca="1" si="398"/>
        <v>2.274376626242338E-2</v>
      </c>
      <c r="T297" s="1343">
        <f t="shared" ca="1" si="399"/>
        <v>1.9494656796362898E-2</v>
      </c>
      <c r="U297" s="1343">
        <f t="shared" ca="1" si="400"/>
        <v>1.6245547330302416E-2</v>
      </c>
      <c r="V297" s="1343">
        <f t="shared" ca="1" si="401"/>
        <v>1.2996437864241935E-2</v>
      </c>
      <c r="W297" s="1343">
        <f t="shared" ca="1" si="402"/>
        <v>9.7473283981814526E-3</v>
      </c>
      <c r="X297" s="226"/>
      <c r="Y297" s="226"/>
      <c r="Z297" s="226"/>
    </row>
    <row r="298" spans="1:26" hidden="1" outlineLevel="1">
      <c r="A298" s="223">
        <v>9</v>
      </c>
      <c r="B298" s="210" t="str">
        <f t="shared" ca="1" si="403"/>
        <v>Depreciated Net Capex 2018-19</v>
      </c>
      <c r="C298" s="1346"/>
      <c r="D298" s="1346"/>
      <c r="E298" s="1346"/>
      <c r="F298" s="1346"/>
      <c r="G298" s="1346"/>
      <c r="H298" s="1346"/>
      <c r="I298" s="1346"/>
      <c r="J298" s="1346"/>
      <c r="K298" s="1347"/>
      <c r="L298" s="1348">
        <f>(L284*((1+L$11)^0.5)/L$10)</f>
        <v>7.9801335329547821E-2</v>
      </c>
      <c r="M298" s="1343">
        <f ca="1">IF(L322="n/a",L298,IFERROR(IF((OFFSET($C298,0,$A298))&lt;0,
MIN(0,L298-(OFFSET($C298,0,$A298)/(OFFSET($C293,-$A297,$A298)))),
MAX(0,L298-(OFFSET($C298,0,$A298)/(OFFSET($C293,-$A297,$A298))))),0))</f>
        <v>7.4481246307577964E-2</v>
      </c>
      <c r="N298" s="1343">
        <f t="shared" ca="1" si="393"/>
        <v>6.9161157285608107E-2</v>
      </c>
      <c r="O298" s="1343">
        <f t="shared" ca="1" si="394"/>
        <v>6.3841068263638251E-2</v>
      </c>
      <c r="P298" s="1343">
        <f t="shared" ca="1" si="395"/>
        <v>5.8520979241668394E-2</v>
      </c>
      <c r="Q298" s="1343">
        <f t="shared" ca="1" si="396"/>
        <v>5.3200890219698538E-2</v>
      </c>
      <c r="R298" s="1343">
        <f t="shared" ca="1" si="397"/>
        <v>4.7880801197728681E-2</v>
      </c>
      <c r="S298" s="1343">
        <f t="shared" ca="1" si="398"/>
        <v>4.2560712175758825E-2</v>
      </c>
      <c r="T298" s="1343">
        <f t="shared" ca="1" si="399"/>
        <v>3.7240623153788968E-2</v>
      </c>
      <c r="U298" s="1343">
        <f t="shared" ca="1" si="400"/>
        <v>3.1920534131819112E-2</v>
      </c>
      <c r="V298" s="1343">
        <f t="shared" ca="1" si="401"/>
        <v>2.6600445109849255E-2</v>
      </c>
      <c r="W298" s="1343">
        <f t="shared" ca="1" si="402"/>
        <v>2.1280356087879398E-2</v>
      </c>
      <c r="X298" s="226"/>
      <c r="Y298" s="226"/>
      <c r="Z298" s="226"/>
    </row>
    <row r="299" spans="1:26" hidden="1" outlineLevel="1">
      <c r="A299" s="223">
        <v>10</v>
      </c>
      <c r="B299" s="210" t="str">
        <f t="shared" ca="1" si="403"/>
        <v>Depreciated Net Capex 2019-20</v>
      </c>
      <c r="C299" s="1346"/>
      <c r="D299" s="1346"/>
      <c r="E299" s="1346"/>
      <c r="F299" s="1346"/>
      <c r="G299" s="1346"/>
      <c r="H299" s="1346"/>
      <c r="I299" s="1346"/>
      <c r="J299" s="1346"/>
      <c r="K299" s="1346"/>
      <c r="L299" s="1347"/>
      <c r="M299" s="1348">
        <f>(M284*((1+M$11)^0.5)/M$10)</f>
        <v>0</v>
      </c>
      <c r="N299" s="1343">
        <f ca="1">IF(M323="n/a",M299,IFERROR(IF((OFFSET($C299,0,$A299))&lt;0,
MIN(0,M299-(OFFSET($C299,0,$A299)/(OFFSET($C294,-$A298,$A299)))),
MAX(0,M299-(OFFSET($C299,0,$A299)/(OFFSET($C294,-$A298,$A299))))),0))</f>
        <v>0</v>
      </c>
      <c r="O299" s="1343">
        <f t="shared" ca="1" si="394"/>
        <v>0</v>
      </c>
      <c r="P299" s="1343">
        <f t="shared" ca="1" si="395"/>
        <v>0</v>
      </c>
      <c r="Q299" s="1343">
        <f t="shared" ca="1" si="396"/>
        <v>0</v>
      </c>
      <c r="R299" s="1343">
        <f t="shared" ca="1" si="397"/>
        <v>0</v>
      </c>
      <c r="S299" s="1343">
        <f t="shared" ca="1" si="398"/>
        <v>0</v>
      </c>
      <c r="T299" s="1343">
        <f t="shared" ca="1" si="399"/>
        <v>0</v>
      </c>
      <c r="U299" s="1343">
        <f t="shared" ca="1" si="400"/>
        <v>0</v>
      </c>
      <c r="V299" s="1343">
        <f t="shared" ca="1" si="401"/>
        <v>0</v>
      </c>
      <c r="W299" s="1343">
        <f t="shared" ca="1" si="402"/>
        <v>0</v>
      </c>
      <c r="X299" s="226"/>
      <c r="Y299" s="226"/>
      <c r="Z299" s="226"/>
    </row>
    <row r="300" spans="1:26" hidden="1" outlineLevel="1">
      <c r="A300" s="223">
        <v>11</v>
      </c>
      <c r="B300" s="210" t="str">
        <f t="shared" ca="1" si="403"/>
        <v>Depreciated Net Capex 2020-21</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2021-22</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2022-23</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2023-24</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2024-25</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2025-26</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2026-27</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2027-28</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2028-29</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2029-30</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8</v>
      </c>
      <c r="D313" s="1343">
        <f t="shared" ref="D313" ca="1" si="423">IF(C313="n/a","n/a",MAX(0,C313-1))</f>
        <v>7</v>
      </c>
      <c r="E313" s="1343">
        <f t="shared" ref="E313:E314" ca="1" si="424">IF(D313="n/a","n/a",MAX(0,D313-1))</f>
        <v>6</v>
      </c>
      <c r="F313" s="1343">
        <f t="shared" ref="F313:F315" ca="1" si="425">IF(E313="n/a","n/a",MAX(0,E313-1))</f>
        <v>5</v>
      </c>
      <c r="G313" s="1343">
        <f t="shared" ref="G313:G316" ca="1" si="426">IF(F313="n/a","n/a",MAX(0,F313-1))</f>
        <v>4</v>
      </c>
      <c r="H313" s="1343">
        <f t="shared" ref="H313:H317" ca="1" si="427">IF(G313="n/a","n/a",MAX(0,G313-1))</f>
        <v>3</v>
      </c>
      <c r="I313" s="1343">
        <f t="shared" ref="I313:I318" ca="1" si="428">IF(H313="n/a","n/a",MAX(0,H313-1))</f>
        <v>2</v>
      </c>
      <c r="J313" s="1343">
        <f t="shared" ref="J313:J319" ca="1" si="429">IF(I313="n/a","n/a",MAX(0,I313-1))</f>
        <v>1</v>
      </c>
      <c r="K313" s="1343">
        <f t="shared" ref="K313:K320" ca="1" si="430">IF(J313="n/a","n/a",MAX(0,J313-1))</f>
        <v>0</v>
      </c>
      <c r="L313" s="1343">
        <f t="shared" ref="L313:L321" ca="1" si="431">IF(K313="n/a","n/a",MAX(0,K313-1))</f>
        <v>0</v>
      </c>
      <c r="M313" s="1343">
        <f t="shared" ref="M313:M322" ca="1" si="432">IF(L313="n/a","n/a",MAX(0,L313-1))</f>
        <v>0</v>
      </c>
      <c r="N313" s="1343">
        <f t="shared" ref="N313:N323" ca="1" si="433">IF(M313="n/a","n/a",MAX(0,M313-1))</f>
        <v>0</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2010-11</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2011-12</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2012-13</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2013-14</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2014-15</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2015-16</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2016-17</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2017-18</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2018-19</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2019-20</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2020-21</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2021-22</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2022-23</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2023-24</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2024-25</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2025-26</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2026-27</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2027-28</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2028-29</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2029-30</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8</v>
      </c>
      <c r="D335" s="1351">
        <f ca="1">(IF(OR($C285&lt;&gt;"n/a",D285&lt;&gt;"n/a"),IF(SUM(D288:D310)=0,0,IF((SUMPRODUCT(D288:D310,D312:D334)/SUM(D288:D310))&lt;0,1,(SUMPRODUCT(D288:D310,D312:D334)/SUM(D288:D310)))),"n/a"))</f>
        <v>7</v>
      </c>
      <c r="E335" s="1351">
        <f t="shared" ref="E335:W335" ca="1" si="444">(IF(OR($C285&lt;&gt;"n/a",E285&lt;&gt;"n/a"),IF(SUM(E288:E310)=0,0,IF((SUMPRODUCT(E288:E310,E312:E334)/SUM(E288:E310))&lt;0,1,(SUMPRODUCT(E288:E310,E312:E334)/SUM(E288:E310)))),"n/a"))</f>
        <v>6</v>
      </c>
      <c r="F335" s="1351">
        <f t="shared" ca="1" si="444"/>
        <v>5</v>
      </c>
      <c r="G335" s="1351">
        <f t="shared" ca="1" si="444"/>
        <v>4</v>
      </c>
      <c r="H335" s="1351">
        <f t="shared" ca="1" si="444"/>
        <v>2.9999999999999996</v>
      </c>
      <c r="I335" s="1351">
        <f t="shared" ca="1" si="444"/>
        <v>2</v>
      </c>
      <c r="J335" s="1351">
        <f t="shared" ca="1" si="444"/>
        <v>14.873233895187688</v>
      </c>
      <c r="K335" s="1351">
        <f t="shared" ca="1" si="444"/>
        <v>14.341428486971733</v>
      </c>
      <c r="L335" s="1351">
        <f t="shared" ca="1" si="444"/>
        <v>13.964763530509996</v>
      </c>
      <c r="M335" s="1351">
        <f t="shared" ca="1" si="444"/>
        <v>12.969102789699123</v>
      </c>
      <c r="N335" s="1351">
        <f t="shared" ca="1" si="444"/>
        <v>11.974170800354008</v>
      </c>
      <c r="O335" s="1351">
        <f t="shared" ca="1" si="444"/>
        <v>10.980167975406768</v>
      </c>
      <c r="P335" s="1351">
        <f t="shared" ca="1" si="444"/>
        <v>9.987375631213208</v>
      </c>
      <c r="Q335" s="1351">
        <f t="shared" ca="1" si="444"/>
        <v>8.9962013942774721</v>
      </c>
      <c r="R335" s="1351">
        <f t="shared" ca="1" si="444"/>
        <v>8.0072590559461396</v>
      </c>
      <c r="S335" s="1351">
        <f t="shared" ca="1" si="444"/>
        <v>7.0215177780305158</v>
      </c>
      <c r="T335" s="1351">
        <f t="shared" ca="1" si="444"/>
        <v>6.0406028082858221</v>
      </c>
      <c r="U335" s="1351">
        <f t="shared" ca="1" si="444"/>
        <v>5.0674637626227863</v>
      </c>
      <c r="V335" s="1351">
        <f t="shared" ca="1" si="444"/>
        <v>4.10806873249863</v>
      </c>
      <c r="W335" s="1351">
        <f t="shared" ca="1" si="444"/>
        <v>3.1765928993688686</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0</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0</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0</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0</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0</v>
      </c>
      <c r="D343" s="1343">
        <f ca="1">IF(C367="n/a",C343,IFERROR(IF((OFFSET($C343,0,$A343))&lt;0,
MIN(0,C343-(OFFSET($C343,0,$A343)/(OFFSET($C338,-$A342,$A343)))),
MAX(0,C343-(OFFSET($C343,0,$A343)/(OFFSET($C338,-$A342,$A343))))),0))</f>
        <v>0</v>
      </c>
      <c r="E343" s="1343">
        <f t="shared" ref="E343" ca="1" si="464">IF(D367="n/a",D343,IFERROR(IF((OFFSET($C343,0,$A343))&lt;0,
MIN(0,D343-(OFFSET($C343,0,$A343)/(OFFSET($C338,-$A342,$A343)))),
MAX(0,D343-(OFFSET($C343,0,$A343)/(OFFSET($C338,-$A342,$A343))))),0))</f>
        <v>0</v>
      </c>
      <c r="F343" s="1343">
        <f t="shared" ref="F343:F344" ca="1" si="465">IF(E367="n/a",E343,IFERROR(IF((OFFSET($C343,0,$A343))&lt;0,
MIN(0,E343-(OFFSET($C343,0,$A343)/(OFFSET($C338,-$A342,$A343)))),
MAX(0,E343-(OFFSET($C343,0,$A343)/(OFFSET($C338,-$A342,$A343))))),0))</f>
        <v>0</v>
      </c>
      <c r="G343" s="1343">
        <f t="shared" ref="G343:G345" ca="1" si="466">IF(F367="n/a",F343,IFERROR(IF((OFFSET($C343,0,$A343))&lt;0,
MIN(0,F343-(OFFSET($C343,0,$A343)/(OFFSET($C338,-$A342,$A343)))),
MAX(0,F343-(OFFSET($C343,0,$A343)/(OFFSET($C338,-$A342,$A343))))),0))</f>
        <v>0</v>
      </c>
      <c r="H343" s="1343">
        <f t="shared" ref="H343:H346" ca="1" si="467">IF(G367="n/a",G343,IFERROR(IF((OFFSET($C343,0,$A343))&lt;0,
MIN(0,G343-(OFFSET($C343,0,$A343)/(OFFSET($C338,-$A342,$A343)))),
MAX(0,G343-(OFFSET($C343,0,$A343)/(OFFSET($C338,-$A342,$A343))))),0))</f>
        <v>0</v>
      </c>
      <c r="I343" s="1343">
        <f t="shared" ref="I343:I347" ca="1" si="468">IF(H367="n/a",H343,IFERROR(IF((OFFSET($C343,0,$A343))&lt;0,
MIN(0,H343-(OFFSET($C343,0,$A343)/(OFFSET($C338,-$A342,$A343)))),
MAX(0,H343-(OFFSET($C343,0,$A343)/(OFFSET($C338,-$A342,$A343))))),0))</f>
        <v>0</v>
      </c>
      <c r="J343" s="1343">
        <f t="shared" ref="J343:J348" ca="1" si="469">IF(I367="n/a",I343,IFERROR(IF((OFFSET($C343,0,$A343))&lt;0,
MIN(0,I343-(OFFSET($C343,0,$A343)/(OFFSET($C338,-$A342,$A343)))),
MAX(0,I343-(OFFSET($C343,0,$A343)/(OFFSET($C338,-$A342,$A343))))),0))</f>
        <v>0</v>
      </c>
      <c r="K343" s="1343">
        <f t="shared" ref="K343:K349" ca="1" si="470">IF(J367="n/a",J343,IFERROR(IF((OFFSET($C343,0,$A343))&lt;0,
MIN(0,J343-(OFFSET($C343,0,$A343)/(OFFSET($C338,-$A342,$A343)))),
MAX(0,J343-(OFFSET($C343,0,$A343)/(OFFSET($C338,-$A342,$A343))))),0))</f>
        <v>0</v>
      </c>
      <c r="L343" s="1343">
        <f t="shared" ref="L343:L350" ca="1" si="471">IF(K367="n/a",K343,IFERROR(IF((OFFSET($C343,0,$A343))&lt;0,
MIN(0,K343-(OFFSET($C343,0,$A343)/(OFFSET($C338,-$A342,$A343)))),
MAX(0,K343-(OFFSET($C343,0,$A343)/(OFFSET($C338,-$A342,$A343))))),0))</f>
        <v>0</v>
      </c>
      <c r="M343" s="1343">
        <f t="shared" ref="M343:M351" ca="1" si="472">IF(L367="n/a",L343,IFERROR(IF((OFFSET($C343,0,$A343))&lt;0,
MIN(0,L343-(OFFSET($C343,0,$A343)/(OFFSET($C338,-$A342,$A343)))),
MAX(0,L343-(OFFSET($C343,0,$A343)/(OFFSET($C338,-$A342,$A343))))),0))</f>
        <v>0</v>
      </c>
      <c r="N343" s="1343">
        <f t="shared" ref="N343:N352" ca="1" si="473">IF(M367="n/a",M343,IFERROR(IF((OFFSET($C343,0,$A343))&lt;0,
MIN(0,M343-(OFFSET($C343,0,$A343)/(OFFSET($C338,-$A342,$A343)))),
MAX(0,M343-(OFFSET($C343,0,$A343)/(OFFSET($C338,-$A342,$A343))))),0))</f>
        <v>0</v>
      </c>
      <c r="O343" s="1343">
        <f t="shared" ref="O343:O353" ca="1" si="474">IF(N367="n/a",N343,IFERROR(IF((OFFSET($C343,0,$A343))&lt;0,
MIN(0,N343-(OFFSET($C343,0,$A343)/(OFFSET($C338,-$A342,$A343)))),
MAX(0,N343-(OFFSET($C343,0,$A343)/(OFFSET($C338,-$A342,$A343))))),0))</f>
        <v>0</v>
      </c>
      <c r="P343" s="1343">
        <f t="shared" ref="P343:P354" ca="1" si="475">IF(O367="n/a",O343,IFERROR(IF((OFFSET($C343,0,$A343))&lt;0,
MIN(0,O343-(OFFSET($C343,0,$A343)/(OFFSET($C338,-$A342,$A343)))),
MAX(0,O343-(OFFSET($C343,0,$A343)/(OFFSET($C338,-$A342,$A343))))),0))</f>
        <v>0</v>
      </c>
      <c r="Q343" s="1343">
        <f t="shared" ref="Q343:Q355" ca="1" si="476">IF(P367="n/a",P343,IFERROR(IF((OFFSET($C343,0,$A343))&lt;0,
MIN(0,P343-(OFFSET($C343,0,$A343)/(OFFSET($C338,-$A342,$A343)))),
MAX(0,P343-(OFFSET($C343,0,$A343)/(OFFSET($C338,-$A342,$A343))))),0))</f>
        <v>0</v>
      </c>
      <c r="R343" s="1343">
        <f t="shared" ref="R343:R356" ca="1" si="477">IF(Q367="n/a",Q343,IFERROR(IF((OFFSET($C343,0,$A343))&lt;0,
MIN(0,Q343-(OFFSET($C343,0,$A343)/(OFFSET($C338,-$A342,$A343)))),
MAX(0,Q343-(OFFSET($C343,0,$A343)/(OFFSET($C338,-$A342,$A343))))),0))</f>
        <v>0</v>
      </c>
      <c r="S343" s="1343">
        <f t="shared" ref="S343:S357" ca="1" si="478">IF(R367="n/a",R343,IFERROR(IF((OFFSET($C343,0,$A343))&lt;0,
MIN(0,R343-(OFFSET($C343,0,$A343)/(OFFSET($C338,-$A342,$A343)))),
MAX(0,R343-(OFFSET($C343,0,$A343)/(OFFSET($C338,-$A342,$A343))))),0))</f>
        <v>0</v>
      </c>
      <c r="T343" s="1343">
        <f t="shared" ref="T343:T358" ca="1" si="479">IF(S367="n/a",S343,IFERROR(IF((OFFSET($C343,0,$A343))&lt;0,
MIN(0,S343-(OFFSET($C343,0,$A343)/(OFFSET($C338,-$A342,$A343)))),
MAX(0,S343-(OFFSET($C343,0,$A343)/(OFFSET($C338,-$A342,$A343))))),0))</f>
        <v>0</v>
      </c>
      <c r="U343" s="1343">
        <f t="shared" ref="U343:U359" ca="1" si="480">IF(T367="n/a",T343,IFERROR(IF((OFFSET($C343,0,$A343))&lt;0,
MIN(0,T343-(OFFSET($C343,0,$A343)/(OFFSET($C338,-$A342,$A343)))),
MAX(0,T343-(OFFSET($C343,0,$A343)/(OFFSET($C338,-$A342,$A343))))),0))</f>
        <v>0</v>
      </c>
      <c r="V343" s="1343">
        <f t="shared" ref="V343:V360" ca="1" si="481">IF(U367="n/a",U343,IFERROR(IF((OFFSET($C343,0,$A343))&lt;0,
MIN(0,U343-(OFFSET($C343,0,$A343)/(OFFSET($C338,-$A342,$A343)))),
MAX(0,U343-(OFFSET($C343,0,$A343)/(OFFSET($C338,-$A342,$A343))))),0))</f>
        <v>0</v>
      </c>
      <c r="W343" s="1343">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2010-11</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2011-12</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2012-13</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2013-14</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2014-15</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2015-16</v>
      </c>
      <c r="C349" s="1346"/>
      <c r="D349" s="1346"/>
      <c r="E349" s="1346"/>
      <c r="F349" s="1346"/>
      <c r="G349" s="1346"/>
      <c r="H349" s="1347"/>
      <c r="I349" s="1348">
        <f>(I338*((1+I$11)^0.5)/I$10)</f>
        <v>0</v>
      </c>
      <c r="J349" s="1343">
        <f ca="1">IF(I373="n/a",I349,IFERROR(IF((OFFSET($C349,0,$A349))&lt;0,
MIN(0,I349-(OFFSET($C349,0,$A349)/(OFFSET($C344,-$A348,$A349)))),
MAX(0,I349-(OFFSET($C349,0,$A349)/(OFFSET($C344,-$A348,$A349))))),0))</f>
        <v>0</v>
      </c>
      <c r="K349" s="1343">
        <f t="shared" ca="1" si="470"/>
        <v>0</v>
      </c>
      <c r="L349" s="1343">
        <f t="shared" ca="1" si="471"/>
        <v>0</v>
      </c>
      <c r="M349" s="1343">
        <f t="shared" ca="1" si="472"/>
        <v>0</v>
      </c>
      <c r="N349" s="1343">
        <f t="shared" ca="1" si="473"/>
        <v>0</v>
      </c>
      <c r="O349" s="1343">
        <f t="shared" ca="1" si="474"/>
        <v>0</v>
      </c>
      <c r="P349" s="1343">
        <f t="shared" ca="1" si="475"/>
        <v>0</v>
      </c>
      <c r="Q349" s="1343">
        <f t="shared" ca="1" si="476"/>
        <v>0</v>
      </c>
      <c r="R349" s="1343">
        <f t="shared" ca="1" si="477"/>
        <v>0</v>
      </c>
      <c r="S349" s="1343">
        <f t="shared" ca="1" si="478"/>
        <v>0</v>
      </c>
      <c r="T349" s="1343">
        <f t="shared" ca="1" si="479"/>
        <v>0</v>
      </c>
      <c r="U349" s="1343">
        <f t="shared" ca="1" si="480"/>
        <v>0</v>
      </c>
      <c r="V349" s="1343">
        <f t="shared" ca="1" si="481"/>
        <v>0</v>
      </c>
      <c r="W349" s="1343">
        <f t="shared" ca="1" si="482"/>
        <v>0</v>
      </c>
      <c r="X349" s="226"/>
      <c r="Y349" s="226"/>
      <c r="Z349" s="226"/>
    </row>
    <row r="350" spans="1:26" hidden="1" outlineLevel="1">
      <c r="A350" s="223">
        <v>7</v>
      </c>
      <c r="B350" s="210" t="str">
        <f t="shared" ca="1" si="483"/>
        <v>Depreciated Net Capex 2016-17</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2017-18</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2018-19</v>
      </c>
      <c r="C352" s="1346"/>
      <c r="D352" s="1346"/>
      <c r="E352" s="1346"/>
      <c r="F352" s="1346"/>
      <c r="G352" s="1346"/>
      <c r="H352" s="1346"/>
      <c r="I352" s="1346"/>
      <c r="J352" s="1346"/>
      <c r="K352" s="1347"/>
      <c r="L352" s="1348">
        <f>(L338*((1+L$11)^0.5)/L$10)</f>
        <v>0</v>
      </c>
      <c r="M352" s="1343">
        <f ca="1">IF(L376="n/a",L352,IFERROR(IF((OFFSET($C352,0,$A352))&lt;0,
MIN(0,L352-(OFFSET($C352,0,$A352)/(OFFSET($C347,-$A351,$A352)))),
MAX(0,L352-(OFFSET($C352,0,$A352)/(OFFSET($C347,-$A351,$A352))))),0))</f>
        <v>0</v>
      </c>
      <c r="N352" s="1343">
        <f t="shared" ca="1" si="473"/>
        <v>0</v>
      </c>
      <c r="O352" s="1343">
        <f t="shared" ca="1" si="474"/>
        <v>0</v>
      </c>
      <c r="P352" s="1343">
        <f t="shared" ca="1" si="475"/>
        <v>0</v>
      </c>
      <c r="Q352" s="1343">
        <f t="shared" ca="1" si="476"/>
        <v>0</v>
      </c>
      <c r="R352" s="1343">
        <f t="shared" ca="1" si="477"/>
        <v>0</v>
      </c>
      <c r="S352" s="1343">
        <f t="shared" ca="1" si="478"/>
        <v>0</v>
      </c>
      <c r="T352" s="1343">
        <f t="shared" ca="1" si="479"/>
        <v>0</v>
      </c>
      <c r="U352" s="1343">
        <f t="shared" ca="1" si="480"/>
        <v>0</v>
      </c>
      <c r="V352" s="1343">
        <f t="shared" ca="1" si="481"/>
        <v>0</v>
      </c>
      <c r="W352" s="1343">
        <f t="shared" ca="1" si="482"/>
        <v>0</v>
      </c>
      <c r="X352" s="226"/>
      <c r="Y352" s="226"/>
      <c r="Z352" s="226"/>
    </row>
    <row r="353" spans="1:26" hidden="1" outlineLevel="1">
      <c r="A353" s="223">
        <v>10</v>
      </c>
      <c r="B353" s="210" t="str">
        <f t="shared" ca="1" si="483"/>
        <v>Depreciated Net Capex 2019-20</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2020-21</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2021-22</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2022-23</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2023-24</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2024-25</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2025-26</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2026-27</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2027-28</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2028-29</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2029-30</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0</v>
      </c>
      <c r="D367" s="1343">
        <f t="shared" ref="D367" ca="1" si="503">IF(C367="n/a","n/a",MAX(0,C367-1))</f>
        <v>0</v>
      </c>
      <c r="E367" s="1343">
        <f t="shared" ref="E367:E368" ca="1" si="504">IF(D367="n/a","n/a",MAX(0,D367-1))</f>
        <v>0</v>
      </c>
      <c r="F367" s="1343">
        <f t="shared" ref="F367:F369" ca="1" si="505">IF(E367="n/a","n/a",MAX(0,E367-1))</f>
        <v>0</v>
      </c>
      <c r="G367" s="1343">
        <f t="shared" ref="G367:G370" ca="1" si="506">IF(F367="n/a","n/a",MAX(0,F367-1))</f>
        <v>0</v>
      </c>
      <c r="H367" s="1343">
        <f t="shared" ref="H367:H371" ca="1" si="507">IF(G367="n/a","n/a",MAX(0,G367-1))</f>
        <v>0</v>
      </c>
      <c r="I367" s="1343">
        <f t="shared" ref="I367:I372" ca="1" si="508">IF(H367="n/a","n/a",MAX(0,H367-1))</f>
        <v>0</v>
      </c>
      <c r="J367" s="1343">
        <f t="shared" ref="J367:J373" ca="1" si="509">IF(I367="n/a","n/a",MAX(0,I367-1))</f>
        <v>0</v>
      </c>
      <c r="K367" s="1343">
        <f t="shared" ref="K367:K374" ca="1" si="510">IF(J367="n/a","n/a",MAX(0,J367-1))</f>
        <v>0</v>
      </c>
      <c r="L367" s="1343">
        <f t="shared" ref="L367:L375" ca="1" si="511">IF(K367="n/a","n/a",MAX(0,K367-1))</f>
        <v>0</v>
      </c>
      <c r="M367" s="1343">
        <f t="shared" ref="M367:M376" ca="1" si="512">IF(L367="n/a","n/a",MAX(0,L367-1))</f>
        <v>0</v>
      </c>
      <c r="N367" s="1343">
        <f t="shared" ref="N367:N377" ca="1" si="513">IF(M367="n/a","n/a",MAX(0,M367-1))</f>
        <v>0</v>
      </c>
      <c r="O367" s="1343">
        <f t="shared" ref="O367:O378" ca="1" si="514">IF(N367="n/a","n/a",MAX(0,N367-1))</f>
        <v>0</v>
      </c>
      <c r="P367" s="1343">
        <f t="shared" ref="P367:P379" ca="1" si="515">IF(O367="n/a","n/a",MAX(0,O367-1))</f>
        <v>0</v>
      </c>
      <c r="Q367" s="1343">
        <f t="shared" ref="Q367:Q380" ca="1" si="516">IF(P367="n/a","n/a",MAX(0,P367-1))</f>
        <v>0</v>
      </c>
      <c r="R367" s="1343">
        <f t="shared" ref="R367:R381" ca="1" si="517">IF(Q367="n/a","n/a",MAX(0,Q367-1))</f>
        <v>0</v>
      </c>
      <c r="S367" s="1343">
        <f t="shared" ref="S367:S382" ca="1" si="518">IF(R367="n/a","n/a",MAX(0,R367-1))</f>
        <v>0</v>
      </c>
      <c r="T367" s="1343">
        <f t="shared" ref="T367:T383" ca="1" si="519">IF(S367="n/a","n/a",MAX(0,S367-1))</f>
        <v>0</v>
      </c>
      <c r="U367" s="1343">
        <f t="shared" ref="U367:U384" ca="1" si="520">IF(T367="n/a","n/a",MAX(0,T367-1))</f>
        <v>0</v>
      </c>
      <c r="V367" s="1343">
        <f t="shared" ref="V367:V385" ca="1" si="521">IF(U367="n/a","n/a",MAX(0,U367-1))</f>
        <v>0</v>
      </c>
      <c r="W367" s="1343">
        <f t="shared" ref="W367:W385" ca="1" si="522">IF(V367="n/a","n/a",MAX(0,V367-1))</f>
        <v>0</v>
      </c>
    </row>
    <row r="368" spans="1:26" hidden="1" outlineLevel="1">
      <c r="B368" s="210" t="str">
        <f t="shared" ref="B368:B387" ca="1" si="523">"RL Capex "&amp;OFFSET($C$6,0,A344)</f>
        <v>RL Capex 2010-11</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2011-12</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2012-13</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2013-14</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2014-15</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2015-16</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2016-17</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2017-18</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2018-19</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2019-20</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2020-21</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2021-22</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2022-23</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2023-24</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2024-25</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2025-26</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2026-27</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2027-28</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2028-29</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2029-30</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0</v>
      </c>
      <c r="D389" s="1351">
        <f ca="1">(IF(OR($C339&lt;&gt;"n/a",D339&lt;&gt;"n/a"),IF(SUM(D342:D364)=0,0,IF((SUMPRODUCT(D342:D364,D366:D388)/SUM(D342:D364))&lt;0,1,(SUMPRODUCT(D342:D364,D366:D388)/SUM(D342:D364)))),"n/a"))</f>
        <v>0</v>
      </c>
      <c r="E389" s="1351">
        <f t="shared" ref="E389:W389" ca="1" si="524">(IF(OR($C339&lt;&gt;"n/a",E339&lt;&gt;"n/a"),IF(SUM(E342:E364)=0,0,IF((SUMPRODUCT(E342:E364,E366:E388)/SUM(E342:E364))&lt;0,1,(SUMPRODUCT(E342:E364,E366:E388)/SUM(E342:E364)))),"n/a"))</f>
        <v>0</v>
      </c>
      <c r="F389" s="1351">
        <f t="shared" ca="1" si="524"/>
        <v>0</v>
      </c>
      <c r="G389" s="1351">
        <f t="shared" ca="1" si="524"/>
        <v>0</v>
      </c>
      <c r="H389" s="1351">
        <f t="shared" ca="1" si="524"/>
        <v>0</v>
      </c>
      <c r="I389" s="1351">
        <f t="shared" ca="1" si="524"/>
        <v>0</v>
      </c>
      <c r="J389" s="1351">
        <f t="shared" ca="1" si="524"/>
        <v>0</v>
      </c>
      <c r="K389" s="1351">
        <f t="shared" ca="1" si="524"/>
        <v>0</v>
      </c>
      <c r="L389" s="1351">
        <f t="shared" ca="1" si="524"/>
        <v>0</v>
      </c>
      <c r="M389" s="1351">
        <f t="shared" ca="1" si="524"/>
        <v>0</v>
      </c>
      <c r="N389" s="1351">
        <f t="shared" ca="1" si="524"/>
        <v>0</v>
      </c>
      <c r="O389" s="1351">
        <f t="shared" ca="1" si="524"/>
        <v>0</v>
      </c>
      <c r="P389" s="1351">
        <f t="shared" ca="1" si="524"/>
        <v>0</v>
      </c>
      <c r="Q389" s="1351">
        <f t="shared" ca="1" si="524"/>
        <v>0</v>
      </c>
      <c r="R389" s="1351">
        <f t="shared" ca="1" si="524"/>
        <v>0</v>
      </c>
      <c r="S389" s="1351">
        <f t="shared" ca="1" si="524"/>
        <v>0</v>
      </c>
      <c r="T389" s="1351">
        <f t="shared" ca="1" si="524"/>
        <v>0</v>
      </c>
      <c r="U389" s="1351">
        <f t="shared" ca="1" si="524"/>
        <v>0</v>
      </c>
      <c r="V389" s="1351">
        <f t="shared" ca="1" si="524"/>
        <v>0</v>
      </c>
      <c r="W389" s="1351">
        <f t="shared" ca="1" si="524"/>
        <v>0</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0</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0</v>
      </c>
      <c r="D397" s="1343">
        <f ca="1">IF(C421="n/a",C397,IFERROR(IF((OFFSET($C397,0,$A397))&lt;0,
MIN(0,C397-(OFFSET($C397,0,$A397)/(OFFSET($C392,-$A396,$A397)))),
MAX(0,C397-(OFFSET($C397,0,$A397)/(OFFSET($C392,-$A396,$A397))))),0))</f>
        <v>0</v>
      </c>
      <c r="E397" s="1343">
        <f t="shared" ref="E397" ca="1" si="544">IF(D421="n/a",D397,IFERROR(IF((OFFSET($C397,0,$A397))&lt;0,
MIN(0,D397-(OFFSET($C397,0,$A397)/(OFFSET($C392,-$A396,$A397)))),
MAX(0,D397-(OFFSET($C397,0,$A397)/(OFFSET($C392,-$A396,$A397))))),0))</f>
        <v>0</v>
      </c>
      <c r="F397" s="1343">
        <f t="shared" ref="F397:F398" ca="1" si="545">IF(E421="n/a",E397,IFERROR(IF((OFFSET($C397,0,$A397))&lt;0,
MIN(0,E397-(OFFSET($C397,0,$A397)/(OFFSET($C392,-$A396,$A397)))),
MAX(0,E397-(OFFSET($C397,0,$A397)/(OFFSET($C392,-$A396,$A397))))),0))</f>
        <v>0</v>
      </c>
      <c r="G397" s="1343">
        <f t="shared" ref="G397:G399" ca="1" si="546">IF(F421="n/a",F397,IFERROR(IF((OFFSET($C397,0,$A397))&lt;0,
MIN(0,F397-(OFFSET($C397,0,$A397)/(OFFSET($C392,-$A396,$A397)))),
MAX(0,F397-(OFFSET($C397,0,$A397)/(OFFSET($C392,-$A396,$A397))))),0))</f>
        <v>0</v>
      </c>
      <c r="H397" s="1343">
        <f t="shared" ref="H397:H400" ca="1" si="547">IF(G421="n/a",G397,IFERROR(IF((OFFSET($C397,0,$A397))&lt;0,
MIN(0,G397-(OFFSET($C397,0,$A397)/(OFFSET($C392,-$A396,$A397)))),
MAX(0,G397-(OFFSET($C397,0,$A397)/(OFFSET($C392,-$A396,$A397))))),0))</f>
        <v>0</v>
      </c>
      <c r="I397" s="1343">
        <f t="shared" ref="I397:I401" ca="1" si="548">IF(H421="n/a",H397,IFERROR(IF((OFFSET($C397,0,$A397))&lt;0,
MIN(0,H397-(OFFSET($C397,0,$A397)/(OFFSET($C392,-$A396,$A397)))),
MAX(0,H397-(OFFSET($C397,0,$A397)/(OFFSET($C392,-$A396,$A397))))),0))</f>
        <v>0</v>
      </c>
      <c r="J397" s="1343">
        <f t="shared" ref="J397:J402" ca="1" si="549">IF(I421="n/a",I397,IFERROR(IF((OFFSET($C397,0,$A397))&lt;0,
MIN(0,I397-(OFFSET($C397,0,$A397)/(OFFSET($C392,-$A396,$A397)))),
MAX(0,I397-(OFFSET($C397,0,$A397)/(OFFSET($C392,-$A396,$A397))))),0))</f>
        <v>0</v>
      </c>
      <c r="K397" s="1343">
        <f t="shared" ref="K397:K403" ca="1" si="550">IF(J421="n/a",J397,IFERROR(IF((OFFSET($C397,0,$A397))&lt;0,
MIN(0,J397-(OFFSET($C397,0,$A397)/(OFFSET($C392,-$A396,$A397)))),
MAX(0,J397-(OFFSET($C397,0,$A397)/(OFFSET($C392,-$A396,$A397))))),0))</f>
        <v>0</v>
      </c>
      <c r="L397" s="1343">
        <f t="shared" ref="L397:L404" ca="1" si="551">IF(K421="n/a",K397,IFERROR(IF((OFFSET($C397,0,$A397))&lt;0,
MIN(0,K397-(OFFSET($C397,0,$A397)/(OFFSET($C392,-$A396,$A397)))),
MAX(0,K397-(OFFSET($C397,0,$A397)/(OFFSET($C392,-$A396,$A397))))),0))</f>
        <v>0</v>
      </c>
      <c r="M397" s="1343">
        <f t="shared" ref="M397:M405" ca="1" si="552">IF(L421="n/a",L397,IFERROR(IF((OFFSET($C397,0,$A397))&lt;0,
MIN(0,L397-(OFFSET($C397,0,$A397)/(OFFSET($C392,-$A396,$A397)))),
MAX(0,L397-(OFFSET($C397,0,$A397)/(OFFSET($C392,-$A396,$A397))))),0))</f>
        <v>0</v>
      </c>
      <c r="N397" s="1343">
        <f t="shared" ref="N397:N406" ca="1" si="553">IF(M421="n/a",M397,IFERROR(IF((OFFSET($C397,0,$A397))&lt;0,
MIN(0,M397-(OFFSET($C397,0,$A397)/(OFFSET($C392,-$A396,$A397)))),
MAX(0,M397-(OFFSET($C397,0,$A397)/(OFFSET($C392,-$A396,$A397))))),0))</f>
        <v>0</v>
      </c>
      <c r="O397" s="1343">
        <f t="shared" ref="O397:O407" ca="1" si="554">IF(N421="n/a",N397,IFERROR(IF((OFFSET($C397,0,$A397))&lt;0,
MIN(0,N397-(OFFSET($C397,0,$A397)/(OFFSET($C392,-$A396,$A397)))),
MAX(0,N397-(OFFSET($C397,0,$A397)/(OFFSET($C392,-$A396,$A397))))),0))</f>
        <v>0</v>
      </c>
      <c r="P397" s="1343">
        <f t="shared" ref="P397:P408" ca="1" si="555">IF(O421="n/a",O397,IFERROR(IF((OFFSET($C397,0,$A397))&lt;0,
MIN(0,O397-(OFFSET($C397,0,$A397)/(OFFSET($C392,-$A396,$A397)))),
MAX(0,O397-(OFFSET($C397,0,$A397)/(OFFSET($C392,-$A396,$A397))))),0))</f>
        <v>0</v>
      </c>
      <c r="Q397" s="1343">
        <f t="shared" ref="Q397:Q409" ca="1" si="556">IF(P421="n/a",P397,IFERROR(IF((OFFSET($C397,0,$A397))&lt;0,
MIN(0,P397-(OFFSET($C397,0,$A397)/(OFFSET($C392,-$A396,$A397)))),
MAX(0,P397-(OFFSET($C397,0,$A397)/(OFFSET($C392,-$A396,$A397))))),0))</f>
        <v>0</v>
      </c>
      <c r="R397" s="1343">
        <f t="shared" ref="R397:R410" ca="1" si="557">IF(Q421="n/a",Q397,IFERROR(IF((OFFSET($C397,0,$A397))&lt;0,
MIN(0,Q397-(OFFSET($C397,0,$A397)/(OFFSET($C392,-$A396,$A397)))),
MAX(0,Q397-(OFFSET($C397,0,$A397)/(OFFSET($C392,-$A396,$A397))))),0))</f>
        <v>0</v>
      </c>
      <c r="S397" s="1343">
        <f t="shared" ref="S397:S411" ca="1" si="558">IF(R421="n/a",R397,IFERROR(IF((OFFSET($C397,0,$A397))&lt;0,
MIN(0,R397-(OFFSET($C397,0,$A397)/(OFFSET($C392,-$A396,$A397)))),
MAX(0,R397-(OFFSET($C397,0,$A397)/(OFFSET($C392,-$A396,$A397))))),0))</f>
        <v>0</v>
      </c>
      <c r="T397" s="1343">
        <f t="shared" ref="T397:T412" ca="1" si="559">IF(S421="n/a",S397,IFERROR(IF((OFFSET($C397,0,$A397))&lt;0,
MIN(0,S397-(OFFSET($C397,0,$A397)/(OFFSET($C392,-$A396,$A397)))),
MAX(0,S397-(OFFSET($C397,0,$A397)/(OFFSET($C392,-$A396,$A397))))),0))</f>
        <v>0</v>
      </c>
      <c r="U397" s="1343">
        <f t="shared" ref="U397:U413" ca="1" si="560">IF(T421="n/a",T397,IFERROR(IF((OFFSET($C397,0,$A397))&lt;0,
MIN(0,T397-(OFFSET($C397,0,$A397)/(OFFSET($C392,-$A396,$A397)))),
MAX(0,T397-(OFFSET($C397,0,$A397)/(OFFSET($C392,-$A396,$A397))))),0))</f>
        <v>0</v>
      </c>
      <c r="V397" s="1343">
        <f t="shared" ref="V397:V414" ca="1" si="561">IF(U421="n/a",U397,IFERROR(IF((OFFSET($C397,0,$A397))&lt;0,
MIN(0,U397-(OFFSET($C397,0,$A397)/(OFFSET($C392,-$A396,$A397)))),
MAX(0,U397-(OFFSET($C397,0,$A397)/(OFFSET($C392,-$A396,$A397))))),0))</f>
        <v>0</v>
      </c>
      <c r="W397" s="1343">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2010-11</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2011-12</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2012-13</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2013-14</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2014-15</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2015-16</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2016-17</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2017-18</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2018-19</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2019-20</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2020-21</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2021-22</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2022-23</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2023-24</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2024-25</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2025-26</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2026-27</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2027-28</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2028-29</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2029-30</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2010-11</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2011-12</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2012-13</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2013-14</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2014-15</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2015-16</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2016-17</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2017-18</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2018-19</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2019-20</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2020-21</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2021-22</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2022-23</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2023-24</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2024-25</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2025-26</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2026-27</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2027-28</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2028-29</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2029-30</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0</v>
      </c>
      <c r="D446" s="1339">
        <f>IF(LEFT(D$6,4)&lt;LEFT('RFM input'!$G$60,4),"enter input",IF(LEFT(D$6,4)&gt;LEFT('RFM input'!$Q$60,4),0,
INDEX('RFM input'!$G$223:$Q$272,$A446,MATCH(D$6,'RFM input'!$G$222:$Q$222,0))
-INDEX('RFM input'!$G$277:$Q$326,$A446,MATCH(D$6,'RFM input'!$G$222:$Q$222,0))))</f>
        <v>0</v>
      </c>
      <c r="E446" s="1339">
        <f>IF(LEFT(E$6,4)&lt;LEFT('RFM input'!$G$60,4),"enter input",IF(LEFT(E$6,4)&gt;LEFT('RFM input'!$Q$60,4),0,
INDEX('RFM input'!$G$223:$Q$272,$A446,MATCH(E$6,'RFM input'!$G$222:$Q$222,0))
-INDEX('RFM input'!$G$277:$Q$326,$A446,MATCH(E$6,'RFM input'!$G$222:$Q$222,0))))</f>
        <v>0</v>
      </c>
      <c r="F446" s="1339">
        <f>IF(LEFT(F$6,4)&lt;LEFT('RFM input'!$G$60,4),"enter input",IF(LEFT(F$6,4)&gt;LEFT('RFM input'!$Q$60,4),0,
INDEX('RFM input'!$G$223:$Q$272,$A446,MATCH(F$6,'RFM input'!$G$222:$Q$222,0))
-INDEX('RFM input'!$G$277:$Q$326,$A446,MATCH(F$6,'RFM input'!$G$222:$Q$222,0))))</f>
        <v>0</v>
      </c>
      <c r="G446" s="1339">
        <f>IF(LEFT(G$6,4)&lt;LEFT('RFM input'!$G$60,4),"enter input",IF(LEFT(G$6,4)&gt;LEFT('RFM input'!$Q$60,4),0,
INDEX('RFM input'!$G$223:$Q$272,$A446,MATCH(G$6,'RFM input'!$G$222:$Q$222,0))
-INDEX('RFM input'!$G$277:$Q$326,$A446,MATCH(G$6,'RFM input'!$G$222:$Q$222,0))))</f>
        <v>0</v>
      </c>
      <c r="H446" s="1339">
        <f>IF(LEFT(H$6,4)&lt;LEFT('RFM input'!$G$60,4),"enter input",IF(LEFT(H$6,4)&gt;LEFT('RFM input'!$Q$60,4),0,
INDEX('RFM input'!$G$223:$Q$272,$A446,MATCH(H$6,'RFM input'!$G$222:$Q$222,0))
-INDEX('RFM input'!$G$277:$Q$326,$A446,MATCH(H$6,'RFM input'!$G$222:$Q$222,0))))</f>
        <v>0</v>
      </c>
      <c r="I446" s="1339">
        <f>IF(LEFT(I$6,4)&lt;LEFT('RFM input'!$G$60,4),"enter input",IF(LEFT(I$6,4)&gt;LEFT('RFM input'!$Q$60,4),0,
INDEX('RFM input'!$G$223:$Q$272,$A446,MATCH(I$6,'RFM input'!$G$222:$Q$222,0))
-INDEX('RFM input'!$G$277:$Q$326,$A446,MATCH(I$6,'RFM input'!$G$222:$Q$222,0))))</f>
        <v>0</v>
      </c>
      <c r="J446" s="1339">
        <f>IF(LEFT(J$6,4)&lt;LEFT('RFM input'!$G$60,4),"enter input",IF(LEFT(J$6,4)&gt;LEFT('RFM input'!$Q$60,4),0,
INDEX('RFM input'!$G$223:$Q$272,$A446,MATCH(J$6,'RFM input'!$G$222:$Q$222,0))
-INDEX('RFM input'!$G$277:$Q$326,$A446,MATCH(J$6,'RFM input'!$G$222:$Q$222,0))))</f>
        <v>0</v>
      </c>
      <c r="K446" s="1339">
        <f>IF(LEFT(K$6,4)&lt;LEFT('RFM input'!$G$60,4),"enter input",IF(LEFT(K$6,4)&gt;LEFT('RFM input'!$Q$60,4),0,
INDEX('RFM input'!$G$223:$Q$272,$A446,MATCH(K$6,'RFM input'!$G$222:$Q$222,0))
-INDEX('RFM input'!$G$277:$Q$326,$A446,MATCH(K$6,'RFM input'!$G$222:$Q$222,0))))</f>
        <v>0</v>
      </c>
      <c r="L446" s="1339">
        <f>IF(LEFT(L$6,4)&lt;LEFT('RFM input'!$G$60,4),"enter input",IF(LEFT(L$6,4)&gt;LEFT('RFM input'!$Q$60,4),0,
INDEX('RFM input'!$G$223:$Q$272,$A446,MATCH(L$6,'RFM input'!$G$222:$Q$222,0))
-INDEX('RFM input'!$G$277:$Q$326,$A446,MATCH(L$6,'RFM input'!$G$222:$Q$222,0))))</f>
        <v>0</v>
      </c>
      <c r="M446" s="1339">
        <f>IF(LEFT(M$6,4)&lt;LEFT('RFM input'!$G$60,4),"enter input",IF(LEFT(M$6,4)&gt;LEFT('RFM input'!$Q$60,4),0,
INDEX('RFM input'!$G$223:$Q$272,$A446,MATCH(M$6,'RFM input'!$G$222:$Q$222,0))
-INDEX('RFM input'!$G$277:$Q$326,$A446,MATCH(M$6,'RFM input'!$G$222:$Q$222,0))))</f>
        <v>0</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0</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0</v>
      </c>
      <c r="D451" s="1343">
        <f ca="1">IF(C475="n/a",C451,IFERROR(IF((OFFSET($C451,0,$A451))&lt;0,
MIN(0,C451-(OFFSET($C451,0,$A451)/(OFFSET($C446,-$A450,$A451)))),
MAX(0,C451-(OFFSET($C451,0,$A451)/(OFFSET($C446,-$A450,$A451))))),0))</f>
        <v>0</v>
      </c>
      <c r="E451" s="1343">
        <f t="shared" ref="E451" ca="1" si="624">IF(D475="n/a",D451,IFERROR(IF((OFFSET($C451,0,$A451))&lt;0,
MIN(0,D451-(OFFSET($C451,0,$A451)/(OFFSET($C446,-$A450,$A451)))),
MAX(0,D451-(OFFSET($C451,0,$A451)/(OFFSET($C446,-$A450,$A451))))),0))</f>
        <v>0</v>
      </c>
      <c r="F451" s="1343">
        <f t="shared" ref="F451:F452" ca="1" si="625">IF(E475="n/a",E451,IFERROR(IF((OFFSET($C451,0,$A451))&lt;0,
MIN(0,E451-(OFFSET($C451,0,$A451)/(OFFSET($C446,-$A450,$A451)))),
MAX(0,E451-(OFFSET($C451,0,$A451)/(OFFSET($C446,-$A450,$A451))))),0))</f>
        <v>0</v>
      </c>
      <c r="G451" s="1343">
        <f t="shared" ref="G451:G453" ca="1" si="626">IF(F475="n/a",F451,IFERROR(IF((OFFSET($C451,0,$A451))&lt;0,
MIN(0,F451-(OFFSET($C451,0,$A451)/(OFFSET($C446,-$A450,$A451)))),
MAX(0,F451-(OFFSET($C451,0,$A451)/(OFFSET($C446,-$A450,$A451))))),0))</f>
        <v>0</v>
      </c>
      <c r="H451" s="1343">
        <f t="shared" ref="H451:H454" ca="1" si="627">IF(G475="n/a",G451,IFERROR(IF((OFFSET($C451,0,$A451))&lt;0,
MIN(0,G451-(OFFSET($C451,0,$A451)/(OFFSET($C446,-$A450,$A451)))),
MAX(0,G451-(OFFSET($C451,0,$A451)/(OFFSET($C446,-$A450,$A451))))),0))</f>
        <v>0</v>
      </c>
      <c r="I451" s="1343">
        <f t="shared" ref="I451:I455" ca="1" si="628">IF(H475="n/a",H451,IFERROR(IF((OFFSET($C451,0,$A451))&lt;0,
MIN(0,H451-(OFFSET($C451,0,$A451)/(OFFSET($C446,-$A450,$A451)))),
MAX(0,H451-(OFFSET($C451,0,$A451)/(OFFSET($C446,-$A450,$A451))))),0))</f>
        <v>0</v>
      </c>
      <c r="J451" s="1343">
        <f t="shared" ref="J451:J456" ca="1" si="629">IF(I475="n/a",I451,IFERROR(IF((OFFSET($C451,0,$A451))&lt;0,
MIN(0,I451-(OFFSET($C451,0,$A451)/(OFFSET($C446,-$A450,$A451)))),
MAX(0,I451-(OFFSET($C451,0,$A451)/(OFFSET($C446,-$A450,$A451))))),0))</f>
        <v>0</v>
      </c>
      <c r="K451" s="1343">
        <f t="shared" ref="K451:K457" ca="1" si="630">IF(J475="n/a",J451,IFERROR(IF((OFFSET($C451,0,$A451))&lt;0,
MIN(0,J451-(OFFSET($C451,0,$A451)/(OFFSET($C446,-$A450,$A451)))),
MAX(0,J451-(OFFSET($C451,0,$A451)/(OFFSET($C446,-$A450,$A451))))),0))</f>
        <v>0</v>
      </c>
      <c r="L451" s="1343">
        <f t="shared" ref="L451:L458" ca="1" si="631">IF(K475="n/a",K451,IFERROR(IF((OFFSET($C451,0,$A451))&lt;0,
MIN(0,K451-(OFFSET($C451,0,$A451)/(OFFSET($C446,-$A450,$A451)))),
MAX(0,K451-(OFFSET($C451,0,$A451)/(OFFSET($C446,-$A450,$A451))))),0))</f>
        <v>0</v>
      </c>
      <c r="M451" s="1343">
        <f t="shared" ref="M451:M459" ca="1" si="632">IF(L475="n/a",L451,IFERROR(IF((OFFSET($C451,0,$A451))&lt;0,
MIN(0,L451-(OFFSET($C451,0,$A451)/(OFFSET($C446,-$A450,$A451)))),
MAX(0,L451-(OFFSET($C451,0,$A451)/(OFFSET($C446,-$A450,$A451))))),0))</f>
        <v>0</v>
      </c>
      <c r="N451" s="1343">
        <f t="shared" ref="N451:N460" ca="1" si="633">IF(M475="n/a",M451,IFERROR(IF((OFFSET($C451,0,$A451))&lt;0,
MIN(0,M451-(OFFSET($C451,0,$A451)/(OFFSET($C446,-$A450,$A451)))),
MAX(0,M451-(OFFSET($C451,0,$A451)/(OFFSET($C446,-$A450,$A451))))),0))</f>
        <v>0</v>
      </c>
      <c r="O451" s="1343">
        <f t="shared" ref="O451:O461" ca="1" si="634">IF(N475="n/a",N451,IFERROR(IF((OFFSET($C451,0,$A451))&lt;0,
MIN(0,N451-(OFFSET($C451,0,$A451)/(OFFSET($C446,-$A450,$A451)))),
MAX(0,N451-(OFFSET($C451,0,$A451)/(OFFSET($C446,-$A450,$A451))))),0))</f>
        <v>0</v>
      </c>
      <c r="P451" s="1343">
        <f t="shared" ref="P451:P462" ca="1" si="635">IF(O475="n/a",O451,IFERROR(IF((OFFSET($C451,0,$A451))&lt;0,
MIN(0,O451-(OFFSET($C451,0,$A451)/(OFFSET($C446,-$A450,$A451)))),
MAX(0,O451-(OFFSET($C451,0,$A451)/(OFFSET($C446,-$A450,$A451))))),0))</f>
        <v>0</v>
      </c>
      <c r="Q451" s="1343">
        <f t="shared" ref="Q451:Q463" ca="1" si="636">IF(P475="n/a",P451,IFERROR(IF((OFFSET($C451,0,$A451))&lt;0,
MIN(0,P451-(OFFSET($C451,0,$A451)/(OFFSET($C446,-$A450,$A451)))),
MAX(0,P451-(OFFSET($C451,0,$A451)/(OFFSET($C446,-$A450,$A451))))),0))</f>
        <v>0</v>
      </c>
      <c r="R451" s="1343">
        <f t="shared" ref="R451:R464" ca="1" si="637">IF(Q475="n/a",Q451,IFERROR(IF((OFFSET($C451,0,$A451))&lt;0,
MIN(0,Q451-(OFFSET($C451,0,$A451)/(OFFSET($C446,-$A450,$A451)))),
MAX(0,Q451-(OFFSET($C451,0,$A451)/(OFFSET($C446,-$A450,$A451))))),0))</f>
        <v>0</v>
      </c>
      <c r="S451" s="1343">
        <f t="shared" ref="S451:S465" ca="1" si="638">IF(R475="n/a",R451,IFERROR(IF((OFFSET($C451,0,$A451))&lt;0,
MIN(0,R451-(OFFSET($C451,0,$A451)/(OFFSET($C446,-$A450,$A451)))),
MAX(0,R451-(OFFSET($C451,0,$A451)/(OFFSET($C446,-$A450,$A451))))),0))</f>
        <v>0</v>
      </c>
      <c r="T451" s="1343">
        <f t="shared" ref="T451:T466" ca="1" si="639">IF(S475="n/a",S451,IFERROR(IF((OFFSET($C451,0,$A451))&lt;0,
MIN(0,S451-(OFFSET($C451,0,$A451)/(OFFSET($C446,-$A450,$A451)))),
MAX(0,S451-(OFFSET($C451,0,$A451)/(OFFSET($C446,-$A450,$A451))))),0))</f>
        <v>0</v>
      </c>
      <c r="U451" s="1343">
        <f t="shared" ref="U451:U467" ca="1" si="640">IF(T475="n/a",T451,IFERROR(IF((OFFSET($C451,0,$A451))&lt;0,
MIN(0,T451-(OFFSET($C451,0,$A451)/(OFFSET($C446,-$A450,$A451)))),
MAX(0,T451-(OFFSET($C451,0,$A451)/(OFFSET($C446,-$A450,$A451))))),0))</f>
        <v>0</v>
      </c>
      <c r="V451" s="1343">
        <f t="shared" ref="V451:V468" ca="1" si="641">IF(U475="n/a",U451,IFERROR(IF((OFFSET($C451,0,$A451))&lt;0,
MIN(0,U451-(OFFSET($C451,0,$A451)/(OFFSET($C446,-$A450,$A451)))),
MAX(0,U451-(OFFSET($C451,0,$A451)/(OFFSET($C446,-$A450,$A451))))),0))</f>
        <v>0</v>
      </c>
      <c r="W451" s="1343">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2010-11</v>
      </c>
      <c r="C452" s="1344"/>
      <c r="D452" s="1345">
        <f>(D446*((1+D$11)^0.5)/D$10)</f>
        <v>0</v>
      </c>
      <c r="E452" s="1343">
        <f ca="1">IF(D476="n/a",D452,IFERROR(IF((OFFSET($C452,0,$A452))&lt;0,
MIN(0,D452-(OFFSET($C452,0,$A452)/(OFFSET($C447,-$A451,$A452)))),
MAX(0,D452-(OFFSET($C452,0,$A452)/(OFFSET($C447,-$A451,$A452))))),0))</f>
        <v>0</v>
      </c>
      <c r="F452" s="1343">
        <f t="shared" ca="1" si="625"/>
        <v>0</v>
      </c>
      <c r="G452" s="1343">
        <f t="shared" ca="1" si="626"/>
        <v>0</v>
      </c>
      <c r="H452" s="1343">
        <f t="shared" ca="1" si="627"/>
        <v>0</v>
      </c>
      <c r="I452" s="1343">
        <f t="shared" ca="1" si="628"/>
        <v>0</v>
      </c>
      <c r="J452" s="1343">
        <f t="shared" ca="1" si="629"/>
        <v>0</v>
      </c>
      <c r="K452" s="1343">
        <f t="shared" ca="1" si="630"/>
        <v>0</v>
      </c>
      <c r="L452" s="1343">
        <f t="shared" ca="1" si="631"/>
        <v>0</v>
      </c>
      <c r="M452" s="1343">
        <f t="shared" ca="1" si="632"/>
        <v>0</v>
      </c>
      <c r="N452" s="1343">
        <f t="shared" ca="1" si="633"/>
        <v>0</v>
      </c>
      <c r="O452" s="1343">
        <f t="shared" ca="1" si="634"/>
        <v>0</v>
      </c>
      <c r="P452" s="1343">
        <f t="shared" ca="1" si="635"/>
        <v>0</v>
      </c>
      <c r="Q452" s="1343">
        <f t="shared" ca="1" si="636"/>
        <v>0</v>
      </c>
      <c r="R452" s="1343">
        <f t="shared" ca="1" si="637"/>
        <v>0</v>
      </c>
      <c r="S452" s="1343">
        <f t="shared" ca="1" si="638"/>
        <v>0</v>
      </c>
      <c r="T452" s="1343">
        <f t="shared" ca="1" si="639"/>
        <v>0</v>
      </c>
      <c r="U452" s="1343">
        <f t="shared" ca="1" si="640"/>
        <v>0</v>
      </c>
      <c r="V452" s="1343">
        <f t="shared" ca="1" si="641"/>
        <v>0</v>
      </c>
      <c r="W452" s="1343">
        <f t="shared" ca="1" si="642"/>
        <v>0</v>
      </c>
    </row>
    <row r="453" spans="1:26" hidden="1" outlineLevel="1">
      <c r="A453" s="223">
        <v>2</v>
      </c>
      <c r="B453" s="210" t="str">
        <f t="shared" ca="1" si="643"/>
        <v>Depreciated Net Capex 2011-12</v>
      </c>
      <c r="C453" s="1346"/>
      <c r="D453" s="1347"/>
      <c r="E453" s="1345">
        <f>(E446*((1+E$11)^0.5)/E$10)</f>
        <v>0</v>
      </c>
      <c r="F453" s="1343">
        <f ca="1">IF(E477="n/a",E453,IFERROR(IF((OFFSET($C453,0,$A453))&lt;0,
MIN(0,E453-(OFFSET($C453,0,$A453)/(OFFSET($C448,-$A452,$A453)))),
MAX(0,E453-(OFFSET($C453,0,$A453)/(OFFSET($C448,-$A452,$A453))))),0))</f>
        <v>0</v>
      </c>
      <c r="G453" s="1343">
        <f t="shared" ca="1" si="626"/>
        <v>0</v>
      </c>
      <c r="H453" s="1343">
        <f t="shared" ca="1" si="627"/>
        <v>0</v>
      </c>
      <c r="I453" s="1343">
        <f t="shared" ca="1" si="628"/>
        <v>0</v>
      </c>
      <c r="J453" s="1343">
        <f t="shared" ca="1" si="629"/>
        <v>0</v>
      </c>
      <c r="K453" s="1343">
        <f t="shared" ca="1" si="630"/>
        <v>0</v>
      </c>
      <c r="L453" s="1343">
        <f t="shared" ca="1" si="631"/>
        <v>0</v>
      </c>
      <c r="M453" s="1343">
        <f t="shared" ca="1" si="632"/>
        <v>0</v>
      </c>
      <c r="N453" s="1343">
        <f t="shared" ca="1" si="633"/>
        <v>0</v>
      </c>
      <c r="O453" s="1343">
        <f t="shared" ca="1" si="634"/>
        <v>0</v>
      </c>
      <c r="P453" s="1343">
        <f t="shared" ca="1" si="635"/>
        <v>0</v>
      </c>
      <c r="Q453" s="1343">
        <f t="shared" ca="1" si="636"/>
        <v>0</v>
      </c>
      <c r="R453" s="1343">
        <f t="shared" ca="1" si="637"/>
        <v>0</v>
      </c>
      <c r="S453" s="1343">
        <f t="shared" ca="1" si="638"/>
        <v>0</v>
      </c>
      <c r="T453" s="1343">
        <f t="shared" ca="1" si="639"/>
        <v>0</v>
      </c>
      <c r="U453" s="1343">
        <f t="shared" ca="1" si="640"/>
        <v>0</v>
      </c>
      <c r="V453" s="1343">
        <f t="shared" ca="1" si="641"/>
        <v>0</v>
      </c>
      <c r="W453" s="1343">
        <f t="shared" ca="1" si="642"/>
        <v>0</v>
      </c>
      <c r="X453" s="226"/>
    </row>
    <row r="454" spans="1:26" hidden="1" outlineLevel="1">
      <c r="A454" s="223">
        <v>3</v>
      </c>
      <c r="B454" s="210" t="str">
        <f t="shared" ca="1" si="643"/>
        <v>Depreciated Net Capex 2012-13</v>
      </c>
      <c r="C454" s="1346"/>
      <c r="D454" s="1346"/>
      <c r="E454" s="1347"/>
      <c r="F454" s="1348">
        <f>($F446*((1+F$11)^0.5)/F$10)</f>
        <v>0</v>
      </c>
      <c r="G454" s="1343">
        <f ca="1">IF(F478="n/a",F454,IFERROR(IF((OFFSET($C454,0,$A454))&lt;0,
MIN(0,F454-(OFFSET($C454,0,$A454)/(OFFSET($C449,-$A453,$A454)))),
MAX(0,F454-(OFFSET($C454,0,$A454)/(OFFSET($C449,-$A453,$A454))))),0))</f>
        <v>0</v>
      </c>
      <c r="H454" s="1343">
        <f t="shared" ca="1" si="627"/>
        <v>0</v>
      </c>
      <c r="I454" s="1343">
        <f t="shared" ca="1" si="628"/>
        <v>0</v>
      </c>
      <c r="J454" s="1343">
        <f t="shared" ca="1" si="629"/>
        <v>0</v>
      </c>
      <c r="K454" s="1343">
        <f t="shared" ca="1" si="630"/>
        <v>0</v>
      </c>
      <c r="L454" s="1343">
        <f t="shared" ca="1" si="631"/>
        <v>0</v>
      </c>
      <c r="M454" s="1343">
        <f t="shared" ca="1" si="632"/>
        <v>0</v>
      </c>
      <c r="N454" s="1343">
        <f t="shared" ca="1" si="633"/>
        <v>0</v>
      </c>
      <c r="O454" s="1343">
        <f t="shared" ca="1" si="634"/>
        <v>0</v>
      </c>
      <c r="P454" s="1343">
        <f t="shared" ca="1" si="635"/>
        <v>0</v>
      </c>
      <c r="Q454" s="1343">
        <f t="shared" ca="1" si="636"/>
        <v>0</v>
      </c>
      <c r="R454" s="1343">
        <f t="shared" ca="1" si="637"/>
        <v>0</v>
      </c>
      <c r="S454" s="1343">
        <f t="shared" ca="1" si="638"/>
        <v>0</v>
      </c>
      <c r="T454" s="1343">
        <f t="shared" ca="1" si="639"/>
        <v>0</v>
      </c>
      <c r="U454" s="1343">
        <f t="shared" ca="1" si="640"/>
        <v>0</v>
      </c>
      <c r="V454" s="1343">
        <f t="shared" ca="1" si="641"/>
        <v>0</v>
      </c>
      <c r="W454" s="1343">
        <f t="shared" ca="1" si="642"/>
        <v>0</v>
      </c>
      <c r="X454" s="226"/>
      <c r="Y454" s="226"/>
    </row>
    <row r="455" spans="1:26" hidden="1" outlineLevel="1">
      <c r="A455" s="223">
        <v>4</v>
      </c>
      <c r="B455" s="210" t="str">
        <f t="shared" ca="1" si="643"/>
        <v>Depreciated Net Capex 2013-14</v>
      </c>
      <c r="C455" s="1346"/>
      <c r="D455" s="1346"/>
      <c r="E455" s="1346"/>
      <c r="F455" s="1347"/>
      <c r="G455" s="1348">
        <f>($G446*((1+G$11)^0.5)/G$10)</f>
        <v>0</v>
      </c>
      <c r="H455" s="1343">
        <f ca="1">IF(G479="n/a",G455,IFERROR(IF((OFFSET($C455,0,$A455))&lt;0,
MIN(0,G455-(OFFSET($C455,0,$A455)/(OFFSET($C450,-$A454,$A455)))),
MAX(0,G455-(OFFSET($C455,0,$A455)/(OFFSET($C450,-$A454,$A455))))),0))</f>
        <v>0</v>
      </c>
      <c r="I455" s="1343">
        <f t="shared" ca="1" si="628"/>
        <v>0</v>
      </c>
      <c r="J455" s="1343">
        <f t="shared" ca="1" si="629"/>
        <v>0</v>
      </c>
      <c r="K455" s="1343">
        <f t="shared" ca="1" si="630"/>
        <v>0</v>
      </c>
      <c r="L455" s="1343">
        <f t="shared" ca="1" si="631"/>
        <v>0</v>
      </c>
      <c r="M455" s="1343">
        <f t="shared" ca="1" si="632"/>
        <v>0</v>
      </c>
      <c r="N455" s="1343">
        <f t="shared" ca="1" si="633"/>
        <v>0</v>
      </c>
      <c r="O455" s="1343">
        <f t="shared" ca="1" si="634"/>
        <v>0</v>
      </c>
      <c r="P455" s="1343">
        <f t="shared" ca="1" si="635"/>
        <v>0</v>
      </c>
      <c r="Q455" s="1343">
        <f t="shared" ca="1" si="636"/>
        <v>0</v>
      </c>
      <c r="R455" s="1343">
        <f t="shared" ca="1" si="637"/>
        <v>0</v>
      </c>
      <c r="S455" s="1343">
        <f t="shared" ca="1" si="638"/>
        <v>0</v>
      </c>
      <c r="T455" s="1343">
        <f t="shared" ca="1" si="639"/>
        <v>0</v>
      </c>
      <c r="U455" s="1343">
        <f t="shared" ca="1" si="640"/>
        <v>0</v>
      </c>
      <c r="V455" s="1343">
        <f t="shared" ca="1" si="641"/>
        <v>0</v>
      </c>
      <c r="W455" s="1343">
        <f t="shared" ca="1" si="642"/>
        <v>0</v>
      </c>
      <c r="X455" s="226"/>
      <c r="Y455" s="226"/>
      <c r="Z455" s="226"/>
    </row>
    <row r="456" spans="1:26" hidden="1" outlineLevel="1">
      <c r="A456" s="223">
        <v>5</v>
      </c>
      <c r="B456" s="210" t="str">
        <f t="shared" ca="1" si="643"/>
        <v>Depreciated Net Capex 2014-15</v>
      </c>
      <c r="C456" s="1346"/>
      <c r="D456" s="1346"/>
      <c r="E456" s="1346"/>
      <c r="F456" s="1346"/>
      <c r="G456" s="1347"/>
      <c r="H456" s="1348">
        <f>(H446*((1+H$11)^0.5)/H$10)</f>
        <v>0</v>
      </c>
      <c r="I456" s="1343">
        <f ca="1">IF(H480="n/a",H456,IFERROR(IF((OFFSET($C456,0,$A456))&lt;0,
MIN(0,H456-(OFFSET($C456,0,$A456)/(OFFSET($C451,-$A455,$A456)))),
MAX(0,H456-(OFFSET($C456,0,$A456)/(OFFSET($C451,-$A455,$A456))))),0))</f>
        <v>0</v>
      </c>
      <c r="J456" s="1343">
        <f t="shared" ca="1" si="629"/>
        <v>0</v>
      </c>
      <c r="K456" s="1343">
        <f t="shared" ca="1" si="630"/>
        <v>0</v>
      </c>
      <c r="L456" s="1343">
        <f t="shared" ca="1" si="631"/>
        <v>0</v>
      </c>
      <c r="M456" s="1343">
        <f t="shared" ca="1" si="632"/>
        <v>0</v>
      </c>
      <c r="N456" s="1343">
        <f t="shared" ca="1" si="633"/>
        <v>0</v>
      </c>
      <c r="O456" s="1343">
        <f t="shared" ca="1" si="634"/>
        <v>0</v>
      </c>
      <c r="P456" s="1343">
        <f t="shared" ca="1" si="635"/>
        <v>0</v>
      </c>
      <c r="Q456" s="1343">
        <f t="shared" ca="1" si="636"/>
        <v>0</v>
      </c>
      <c r="R456" s="1343">
        <f t="shared" ca="1" si="637"/>
        <v>0</v>
      </c>
      <c r="S456" s="1343">
        <f t="shared" ca="1" si="638"/>
        <v>0</v>
      </c>
      <c r="T456" s="1343">
        <f t="shared" ca="1" si="639"/>
        <v>0</v>
      </c>
      <c r="U456" s="1343">
        <f t="shared" ca="1" si="640"/>
        <v>0</v>
      </c>
      <c r="V456" s="1343">
        <f t="shared" ca="1" si="641"/>
        <v>0</v>
      </c>
      <c r="W456" s="1343">
        <f t="shared" ca="1" si="642"/>
        <v>0</v>
      </c>
      <c r="X456" s="226"/>
      <c r="Y456" s="226"/>
      <c r="Z456" s="226"/>
    </row>
    <row r="457" spans="1:26" hidden="1" outlineLevel="1">
      <c r="A457" s="223">
        <v>6</v>
      </c>
      <c r="B457" s="210" t="str">
        <f t="shared" ca="1" si="643"/>
        <v>Depreciated Net Capex 2015-16</v>
      </c>
      <c r="C457" s="1346"/>
      <c r="D457" s="1346"/>
      <c r="E457" s="1346"/>
      <c r="F457" s="1346"/>
      <c r="G457" s="1346"/>
      <c r="H457" s="1347"/>
      <c r="I457" s="1348">
        <f>(I446*((1+I$11)^0.5)/I$10)</f>
        <v>0</v>
      </c>
      <c r="J457" s="1343">
        <f ca="1">IF(I481="n/a",I457,IFERROR(IF((OFFSET($C457,0,$A457))&lt;0,
MIN(0,I457-(OFFSET($C457,0,$A457)/(OFFSET($C452,-$A456,$A457)))),
MAX(0,I457-(OFFSET($C457,0,$A457)/(OFFSET($C452,-$A456,$A457))))),0))</f>
        <v>0</v>
      </c>
      <c r="K457" s="1343">
        <f t="shared" ca="1" si="630"/>
        <v>0</v>
      </c>
      <c r="L457" s="1343">
        <f t="shared" ca="1" si="631"/>
        <v>0</v>
      </c>
      <c r="M457" s="1343">
        <f t="shared" ca="1" si="632"/>
        <v>0</v>
      </c>
      <c r="N457" s="1343">
        <f t="shared" ca="1" si="633"/>
        <v>0</v>
      </c>
      <c r="O457" s="1343">
        <f t="shared" ca="1" si="634"/>
        <v>0</v>
      </c>
      <c r="P457" s="1343">
        <f t="shared" ca="1" si="635"/>
        <v>0</v>
      </c>
      <c r="Q457" s="1343">
        <f t="shared" ca="1" si="636"/>
        <v>0</v>
      </c>
      <c r="R457" s="1343">
        <f t="shared" ca="1" si="637"/>
        <v>0</v>
      </c>
      <c r="S457" s="1343">
        <f t="shared" ca="1" si="638"/>
        <v>0</v>
      </c>
      <c r="T457" s="1343">
        <f t="shared" ca="1" si="639"/>
        <v>0</v>
      </c>
      <c r="U457" s="1343">
        <f t="shared" ca="1" si="640"/>
        <v>0</v>
      </c>
      <c r="V457" s="1343">
        <f t="shared" ca="1" si="641"/>
        <v>0</v>
      </c>
      <c r="W457" s="1343">
        <f t="shared" ca="1" si="642"/>
        <v>0</v>
      </c>
      <c r="X457" s="226"/>
      <c r="Y457" s="226"/>
      <c r="Z457" s="226"/>
    </row>
    <row r="458" spans="1:26" hidden="1" outlineLevel="1">
      <c r="A458" s="223">
        <v>7</v>
      </c>
      <c r="B458" s="210" t="str">
        <f t="shared" ca="1" si="643"/>
        <v>Depreciated Net Capex 2016-17</v>
      </c>
      <c r="C458" s="1346"/>
      <c r="D458" s="1346"/>
      <c r="E458" s="1346"/>
      <c r="F458" s="1346"/>
      <c r="G458" s="1346"/>
      <c r="H458" s="1346"/>
      <c r="I458" s="1347"/>
      <c r="J458" s="1348">
        <f>(J446*((1+J$11)^0.5)/J$10)</f>
        <v>0</v>
      </c>
      <c r="K458" s="1343">
        <f ca="1">IF(J482="n/a",J458,IFERROR(IF((OFFSET($C458,0,$A458))&lt;0,
MIN(0,J458-(OFFSET($C458,0,$A458)/(OFFSET($C453,-$A457,$A458)))),
MAX(0,J458-(OFFSET($C458,0,$A458)/(OFFSET($C453,-$A457,$A458))))),0))</f>
        <v>0</v>
      </c>
      <c r="L458" s="1343">
        <f t="shared" ca="1" si="631"/>
        <v>0</v>
      </c>
      <c r="M458" s="1343">
        <f t="shared" ca="1" si="632"/>
        <v>0</v>
      </c>
      <c r="N458" s="1343">
        <f t="shared" ca="1" si="633"/>
        <v>0</v>
      </c>
      <c r="O458" s="1343">
        <f t="shared" ca="1" si="634"/>
        <v>0</v>
      </c>
      <c r="P458" s="1343">
        <f t="shared" ca="1" si="635"/>
        <v>0</v>
      </c>
      <c r="Q458" s="1343">
        <f t="shared" ca="1" si="636"/>
        <v>0</v>
      </c>
      <c r="R458" s="1343">
        <f t="shared" ca="1" si="637"/>
        <v>0</v>
      </c>
      <c r="S458" s="1343">
        <f t="shared" ca="1" si="638"/>
        <v>0</v>
      </c>
      <c r="T458" s="1343">
        <f t="shared" ca="1" si="639"/>
        <v>0</v>
      </c>
      <c r="U458" s="1343">
        <f t="shared" ca="1" si="640"/>
        <v>0</v>
      </c>
      <c r="V458" s="1343">
        <f t="shared" ca="1" si="641"/>
        <v>0</v>
      </c>
      <c r="W458" s="1343">
        <f t="shared" ca="1" si="642"/>
        <v>0</v>
      </c>
      <c r="X458" s="226"/>
      <c r="Y458" s="226"/>
      <c r="Z458" s="226"/>
    </row>
    <row r="459" spans="1:26" hidden="1" outlineLevel="1">
      <c r="A459" s="223">
        <v>8</v>
      </c>
      <c r="B459" s="210" t="str">
        <f t="shared" ca="1" si="643"/>
        <v>Depreciated Net Capex 2017-18</v>
      </c>
      <c r="C459" s="1346"/>
      <c r="D459" s="1346"/>
      <c r="E459" s="1346"/>
      <c r="F459" s="1346"/>
      <c r="G459" s="1346"/>
      <c r="H459" s="1346"/>
      <c r="I459" s="1346"/>
      <c r="J459" s="1347"/>
      <c r="K459" s="1348">
        <f>(K446*((1+K$11)^0.5)/K$10)</f>
        <v>0</v>
      </c>
      <c r="L459" s="1343">
        <f ca="1">IF(K483="n/a",K459,IFERROR(IF((OFFSET($C459,0,$A459))&lt;0,
MIN(0,K459-(OFFSET($C459,0,$A459)/(OFFSET($C454,-$A458,$A459)))),
MAX(0,K459-(OFFSET($C459,0,$A459)/(OFFSET($C454,-$A458,$A459))))),0))</f>
        <v>0</v>
      </c>
      <c r="M459" s="1343">
        <f t="shared" ca="1" si="632"/>
        <v>0</v>
      </c>
      <c r="N459" s="1343">
        <f t="shared" ca="1" si="633"/>
        <v>0</v>
      </c>
      <c r="O459" s="1343">
        <f t="shared" ca="1" si="634"/>
        <v>0</v>
      </c>
      <c r="P459" s="1343">
        <f t="shared" ca="1" si="635"/>
        <v>0</v>
      </c>
      <c r="Q459" s="1343">
        <f t="shared" ca="1" si="636"/>
        <v>0</v>
      </c>
      <c r="R459" s="1343">
        <f t="shared" ca="1" si="637"/>
        <v>0</v>
      </c>
      <c r="S459" s="1343">
        <f t="shared" ca="1" si="638"/>
        <v>0</v>
      </c>
      <c r="T459" s="1343">
        <f t="shared" ca="1" si="639"/>
        <v>0</v>
      </c>
      <c r="U459" s="1343">
        <f t="shared" ca="1" si="640"/>
        <v>0</v>
      </c>
      <c r="V459" s="1343">
        <f t="shared" ca="1" si="641"/>
        <v>0</v>
      </c>
      <c r="W459" s="1343">
        <f t="shared" ca="1" si="642"/>
        <v>0</v>
      </c>
      <c r="X459" s="226"/>
      <c r="Y459" s="226"/>
      <c r="Z459" s="226"/>
    </row>
    <row r="460" spans="1:26" hidden="1" outlineLevel="1">
      <c r="A460" s="223">
        <v>9</v>
      </c>
      <c r="B460" s="210" t="str">
        <f t="shared" ca="1" si="643"/>
        <v>Depreciated Net Capex 2018-19</v>
      </c>
      <c r="C460" s="1346"/>
      <c r="D460" s="1346"/>
      <c r="E460" s="1346"/>
      <c r="F460" s="1346"/>
      <c r="G460" s="1346"/>
      <c r="H460" s="1346"/>
      <c r="I460" s="1346"/>
      <c r="J460" s="1346"/>
      <c r="K460" s="1347"/>
      <c r="L460" s="1348">
        <f>(L446*((1+L$11)^0.5)/L$10)</f>
        <v>0</v>
      </c>
      <c r="M460" s="1343">
        <f ca="1">IF(L484="n/a",L460,IFERROR(IF((OFFSET($C460,0,$A460))&lt;0,
MIN(0,L460-(OFFSET($C460,0,$A460)/(OFFSET($C455,-$A459,$A460)))),
MAX(0,L460-(OFFSET($C460,0,$A460)/(OFFSET($C455,-$A459,$A460))))),0))</f>
        <v>0</v>
      </c>
      <c r="N460" s="1343">
        <f t="shared" ca="1" si="633"/>
        <v>0</v>
      </c>
      <c r="O460" s="1343">
        <f t="shared" ca="1" si="634"/>
        <v>0</v>
      </c>
      <c r="P460" s="1343">
        <f t="shared" ca="1" si="635"/>
        <v>0</v>
      </c>
      <c r="Q460" s="1343">
        <f t="shared" ca="1" si="636"/>
        <v>0</v>
      </c>
      <c r="R460" s="1343">
        <f t="shared" ca="1" si="637"/>
        <v>0</v>
      </c>
      <c r="S460" s="1343">
        <f t="shared" ca="1" si="638"/>
        <v>0</v>
      </c>
      <c r="T460" s="1343">
        <f t="shared" ca="1" si="639"/>
        <v>0</v>
      </c>
      <c r="U460" s="1343">
        <f t="shared" ca="1" si="640"/>
        <v>0</v>
      </c>
      <c r="V460" s="1343">
        <f t="shared" ca="1" si="641"/>
        <v>0</v>
      </c>
      <c r="W460" s="1343">
        <f t="shared" ca="1" si="642"/>
        <v>0</v>
      </c>
      <c r="X460" s="226"/>
      <c r="Y460" s="226"/>
      <c r="Z460" s="226"/>
    </row>
    <row r="461" spans="1:26" hidden="1" outlineLevel="1">
      <c r="A461" s="223">
        <v>10</v>
      </c>
      <c r="B461" s="210" t="str">
        <f t="shared" ca="1" si="643"/>
        <v>Depreciated Net Capex 2019-20</v>
      </c>
      <c r="C461" s="1346"/>
      <c r="D461" s="1346"/>
      <c r="E461" s="1346"/>
      <c r="F461" s="1346"/>
      <c r="G461" s="1346"/>
      <c r="H461" s="1346"/>
      <c r="I461" s="1346"/>
      <c r="J461" s="1346"/>
      <c r="K461" s="1346"/>
      <c r="L461" s="1347"/>
      <c r="M461" s="1348">
        <f>(M446*((1+M$11)^0.5)/M$10)</f>
        <v>0</v>
      </c>
      <c r="N461" s="1343">
        <f ca="1">IF(M485="n/a",M461,IFERROR(IF((OFFSET($C461,0,$A461))&lt;0,
MIN(0,M461-(OFFSET($C461,0,$A461)/(OFFSET($C456,-$A460,$A461)))),
MAX(0,M461-(OFFSET($C461,0,$A461)/(OFFSET($C456,-$A460,$A461))))),0))</f>
        <v>0</v>
      </c>
      <c r="O461" s="1343">
        <f t="shared" ca="1" si="634"/>
        <v>0</v>
      </c>
      <c r="P461" s="1343">
        <f t="shared" ca="1" si="635"/>
        <v>0</v>
      </c>
      <c r="Q461" s="1343">
        <f t="shared" ca="1" si="636"/>
        <v>0</v>
      </c>
      <c r="R461" s="1343">
        <f t="shared" ca="1" si="637"/>
        <v>0</v>
      </c>
      <c r="S461" s="1343">
        <f t="shared" ca="1" si="638"/>
        <v>0</v>
      </c>
      <c r="T461" s="1343">
        <f t="shared" ca="1" si="639"/>
        <v>0</v>
      </c>
      <c r="U461" s="1343">
        <f t="shared" ca="1" si="640"/>
        <v>0</v>
      </c>
      <c r="V461" s="1343">
        <f t="shared" ca="1" si="641"/>
        <v>0</v>
      </c>
      <c r="W461" s="1343">
        <f t="shared" ca="1" si="642"/>
        <v>0</v>
      </c>
      <c r="X461" s="226"/>
      <c r="Y461" s="226"/>
      <c r="Z461" s="226"/>
    </row>
    <row r="462" spans="1:26" hidden="1" outlineLevel="1">
      <c r="A462" s="223">
        <v>11</v>
      </c>
      <c r="B462" s="210" t="str">
        <f t="shared" ca="1" si="643"/>
        <v>Depreciated Net Capex 2020-21</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2021-22</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2022-23</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2023-24</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2024-25</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2025-26</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2026-27</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2027-28</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2028-29</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2029-30</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0</v>
      </c>
      <c r="D475" s="1343">
        <f t="shared" ref="D475" ca="1" si="663">IF(C475="n/a","n/a",MAX(0,C475-1))</f>
        <v>0</v>
      </c>
      <c r="E475" s="1343">
        <f t="shared" ref="E475:E476" ca="1" si="664">IF(D475="n/a","n/a",MAX(0,D475-1))</f>
        <v>0</v>
      </c>
      <c r="F475" s="1343">
        <f t="shared" ref="F475:F477" ca="1" si="665">IF(E475="n/a","n/a",MAX(0,E475-1))</f>
        <v>0</v>
      </c>
      <c r="G475" s="1343">
        <f t="shared" ref="G475:G478" ca="1" si="666">IF(F475="n/a","n/a",MAX(0,F475-1))</f>
        <v>0</v>
      </c>
      <c r="H475" s="1343">
        <f t="shared" ref="H475:H479" ca="1" si="667">IF(G475="n/a","n/a",MAX(0,G475-1))</f>
        <v>0</v>
      </c>
      <c r="I475" s="1343">
        <f t="shared" ref="I475:I480" ca="1" si="668">IF(H475="n/a","n/a",MAX(0,H475-1))</f>
        <v>0</v>
      </c>
      <c r="J475" s="1343">
        <f t="shared" ref="J475:J481" ca="1" si="669">IF(I475="n/a","n/a",MAX(0,I475-1))</f>
        <v>0</v>
      </c>
      <c r="K475" s="1343">
        <f t="shared" ref="K475:K482" ca="1" si="670">IF(J475="n/a","n/a",MAX(0,J475-1))</f>
        <v>0</v>
      </c>
      <c r="L475" s="1343">
        <f t="shared" ref="L475:L483" ca="1" si="671">IF(K475="n/a","n/a",MAX(0,K475-1))</f>
        <v>0</v>
      </c>
      <c r="M475" s="1343">
        <f t="shared" ref="M475:M484" ca="1" si="672">IF(L475="n/a","n/a",MAX(0,L475-1))</f>
        <v>0</v>
      </c>
      <c r="N475" s="1343">
        <f t="shared" ref="N475:N485" ca="1" si="673">IF(M475="n/a","n/a",MAX(0,M475-1))</f>
        <v>0</v>
      </c>
      <c r="O475" s="1343">
        <f t="shared" ref="O475:O486" ca="1" si="674">IF(N475="n/a","n/a",MAX(0,N475-1))</f>
        <v>0</v>
      </c>
      <c r="P475" s="1343">
        <f t="shared" ref="P475:P487" ca="1" si="675">IF(O475="n/a","n/a",MAX(0,O475-1))</f>
        <v>0</v>
      </c>
      <c r="Q475" s="1343">
        <f t="shared" ref="Q475:Q488" ca="1" si="676">IF(P475="n/a","n/a",MAX(0,P475-1))</f>
        <v>0</v>
      </c>
      <c r="R475" s="1343">
        <f t="shared" ref="R475:R489" ca="1" si="677">IF(Q475="n/a","n/a",MAX(0,Q475-1))</f>
        <v>0</v>
      </c>
      <c r="S475" s="1343">
        <f t="shared" ref="S475:S490" ca="1" si="678">IF(R475="n/a","n/a",MAX(0,R475-1))</f>
        <v>0</v>
      </c>
      <c r="T475" s="1343">
        <f t="shared" ref="T475:T491" ca="1" si="679">IF(S475="n/a","n/a",MAX(0,S475-1))</f>
        <v>0</v>
      </c>
      <c r="U475" s="1343">
        <f t="shared" ref="U475:U492" ca="1" si="680">IF(T475="n/a","n/a",MAX(0,T475-1))</f>
        <v>0</v>
      </c>
      <c r="V475" s="1343">
        <f t="shared" ref="V475:V493" ca="1" si="681">IF(U475="n/a","n/a",MAX(0,U475-1))</f>
        <v>0</v>
      </c>
      <c r="W475" s="1343">
        <f t="shared" ref="W475:W493" ca="1" si="682">IF(V475="n/a","n/a",MAX(0,V475-1))</f>
        <v>0</v>
      </c>
    </row>
    <row r="476" spans="1:26" hidden="1" outlineLevel="1">
      <c r="B476" s="210" t="str">
        <f t="shared" ref="B476:B495" ca="1" si="683">"RL Capex "&amp;OFFSET($C$6,0,A452)</f>
        <v>RL Capex 2010-11</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2011-12</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2012-13</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2013-14</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2014-15</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2015-16</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2016-17</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2017-18</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2018-19</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2019-20</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2020-21</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2021-22</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2022-23</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2023-24</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2024-25</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2025-26</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2026-27</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2027-28</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2028-29</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2029-30</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0</v>
      </c>
      <c r="D497" s="1351">
        <f ca="1">(IF(OR($C447&lt;&gt;"n/a",D447&lt;&gt;"n/a"),IF(SUM(D450:D472)=0,0,IF((SUMPRODUCT(D450:D472,D474:D496)/SUM(D450:D472))&lt;0,1,(SUMPRODUCT(D450:D472,D474:D496)/SUM(D450:D472)))),"n/a"))</f>
        <v>0</v>
      </c>
      <c r="E497" s="1351">
        <f t="shared" ref="E497:W497" ca="1" si="684">(IF(OR($C447&lt;&gt;"n/a",E447&lt;&gt;"n/a"),IF(SUM(E450:E472)=0,0,IF((SUMPRODUCT(E450:E472,E474:E496)/SUM(E450:E472))&lt;0,1,(SUMPRODUCT(E450:E472,E474:E496)/SUM(E450:E472)))),"n/a"))</f>
        <v>0</v>
      </c>
      <c r="F497" s="1351">
        <f t="shared" ca="1" si="684"/>
        <v>0</v>
      </c>
      <c r="G497" s="1351">
        <f t="shared" ca="1" si="684"/>
        <v>0</v>
      </c>
      <c r="H497" s="1351">
        <f t="shared" ca="1" si="684"/>
        <v>0</v>
      </c>
      <c r="I497" s="1351">
        <f t="shared" ca="1" si="684"/>
        <v>0</v>
      </c>
      <c r="J497" s="1351">
        <f t="shared" ca="1" si="684"/>
        <v>0</v>
      </c>
      <c r="K497" s="1351">
        <f t="shared" ca="1" si="684"/>
        <v>0</v>
      </c>
      <c r="L497" s="1351">
        <f t="shared" ca="1" si="684"/>
        <v>0</v>
      </c>
      <c r="M497" s="1351">
        <f t="shared" ca="1" si="684"/>
        <v>0</v>
      </c>
      <c r="N497" s="1351">
        <f t="shared" ca="1" si="684"/>
        <v>0</v>
      </c>
      <c r="O497" s="1351">
        <f t="shared" ca="1" si="684"/>
        <v>0</v>
      </c>
      <c r="P497" s="1351">
        <f t="shared" ca="1" si="684"/>
        <v>0</v>
      </c>
      <c r="Q497" s="1351">
        <f t="shared" ca="1" si="684"/>
        <v>0</v>
      </c>
      <c r="R497" s="1351">
        <f t="shared" ca="1" si="684"/>
        <v>0</v>
      </c>
      <c r="S497" s="1351">
        <f t="shared" ca="1" si="684"/>
        <v>0</v>
      </c>
      <c r="T497" s="1351">
        <f t="shared" ca="1" si="684"/>
        <v>0</v>
      </c>
      <c r="U497" s="1351">
        <f t="shared" ca="1" si="684"/>
        <v>0</v>
      </c>
      <c r="V497" s="1351">
        <f t="shared" ca="1" si="684"/>
        <v>0</v>
      </c>
      <c r="W497" s="1351">
        <f t="shared" ca="1" si="684"/>
        <v>0</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0</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0</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0</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0</v>
      </c>
      <c r="J500" s="1339">
        <f>IF(LEFT(J$6,4)&lt;LEFT('RFM input'!$G$60,4),"enter input",IF(LEFT(J$6,4)&gt;LEFT('RFM input'!$Q$60,4),0,
INDEX('RFM input'!$G$223:$Q$272,$A500,MATCH(J$6,'RFM input'!$G$222:$Q$222,0))
-INDEX('RFM input'!$G$277:$Q$326,$A500,MATCH(J$6,'RFM input'!$G$222:$Q$222,0))))</f>
        <v>0</v>
      </c>
      <c r="K500" s="1339">
        <f>IF(LEFT(K$6,4)&lt;LEFT('RFM input'!$G$60,4),"enter input",IF(LEFT(K$6,4)&gt;LEFT('RFM input'!$Q$60,4),0,
INDEX('RFM input'!$G$223:$Q$272,$A500,MATCH(K$6,'RFM input'!$G$222:$Q$222,0))
-INDEX('RFM input'!$G$277:$Q$326,$A500,MATCH(K$6,'RFM input'!$G$222:$Q$222,0))))</f>
        <v>0</v>
      </c>
      <c r="L500" s="1339">
        <f>IF(LEFT(L$6,4)&lt;LEFT('RFM input'!$G$60,4),"enter input",IF(LEFT(L$6,4)&gt;LEFT('RFM input'!$Q$60,4),0,
INDEX('RFM input'!$G$223:$Q$272,$A500,MATCH(L$6,'RFM input'!$G$222:$Q$222,0))
-INDEX('RFM input'!$G$277:$Q$326,$A500,MATCH(L$6,'RFM input'!$G$222:$Q$222,0))))</f>
        <v>0</v>
      </c>
      <c r="M500" s="1339">
        <f>IF(LEFT(M$6,4)&lt;LEFT('RFM input'!$G$60,4),"enter input",IF(LEFT(M$6,4)&gt;LEFT('RFM input'!$Q$60,4),0,
INDEX('RFM input'!$G$223:$Q$272,$A500,MATCH(M$6,'RFM input'!$G$222:$Q$222,0))
-INDEX('RFM input'!$G$277:$Q$326,$A500,MATCH(M$6,'RFM input'!$G$222:$Q$222,0))))</f>
        <v>1.9144029999999999E-2</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0</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0</v>
      </c>
      <c r="D505" s="1343">
        <f ca="1">IF(C529="n/a",C505,IFERROR(IF((OFFSET($C505,0,$A505))&lt;0,
MIN(0,C505-(OFFSET($C505,0,$A505)/(OFFSET($C500,-$A504,$A505)))),
MAX(0,C505-(OFFSET($C505,0,$A505)/(OFFSET($C500,-$A504,$A505))))),0))</f>
        <v>0</v>
      </c>
      <c r="E505" s="1343">
        <f t="shared" ref="E505" ca="1" si="704">IF(D529="n/a",D505,IFERROR(IF((OFFSET($C505,0,$A505))&lt;0,
MIN(0,D505-(OFFSET($C505,0,$A505)/(OFFSET($C500,-$A504,$A505)))),
MAX(0,D505-(OFFSET($C505,0,$A505)/(OFFSET($C500,-$A504,$A505))))),0))</f>
        <v>0</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2010-11</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2011-12</v>
      </c>
      <c r="C507" s="1346"/>
      <c r="D507" s="1347"/>
      <c r="E507" s="1345">
        <f>(E500*((1+E$11)^0.5)/E$10)</f>
        <v>0</v>
      </c>
      <c r="F507" s="1343">
        <f ca="1">IF(E531="n/a",E507,IFERROR(IF((OFFSET($C507,0,$A507))&lt;0,
MIN(0,E507-(OFFSET($C507,0,$A507)/(OFFSET($C502,-$A506,$A507)))),
MAX(0,E507-(OFFSET($C507,0,$A507)/(OFFSET($C502,-$A506,$A507))))),0))</f>
        <v>0</v>
      </c>
      <c r="G507" s="1343">
        <f t="shared" ca="1" si="706"/>
        <v>0</v>
      </c>
      <c r="H507" s="1343">
        <f t="shared" ca="1" si="707"/>
        <v>0</v>
      </c>
      <c r="I507" s="1343">
        <f t="shared" ca="1" si="708"/>
        <v>0</v>
      </c>
      <c r="J507" s="1343">
        <f t="shared" ca="1" si="709"/>
        <v>0</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2012-13</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2013-14</v>
      </c>
      <c r="C509" s="1346"/>
      <c r="D509" s="1346"/>
      <c r="E509" s="1346"/>
      <c r="F509" s="1347"/>
      <c r="G509" s="1348">
        <f>($G500*((1+G$11)^0.5)/G$10)</f>
        <v>0</v>
      </c>
      <c r="H509" s="1343">
        <f ca="1">IF(G533="n/a",G509,IFERROR(IF((OFFSET($C509,0,$A509))&lt;0,
MIN(0,G509-(OFFSET($C509,0,$A509)/(OFFSET($C504,-$A508,$A509)))),
MAX(0,G509-(OFFSET($C509,0,$A509)/(OFFSET($C504,-$A508,$A509))))),0))</f>
        <v>0</v>
      </c>
      <c r="I509" s="1343">
        <f t="shared" ca="1" si="708"/>
        <v>0</v>
      </c>
      <c r="J509" s="1343">
        <f t="shared" ca="1" si="709"/>
        <v>0</v>
      </c>
      <c r="K509" s="1343">
        <f t="shared" ca="1" si="710"/>
        <v>0</v>
      </c>
      <c r="L509" s="1343">
        <f t="shared" ca="1" si="711"/>
        <v>0</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2014-15</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2015-16</v>
      </c>
      <c r="C511" s="1346"/>
      <c r="D511" s="1346"/>
      <c r="E511" s="1346"/>
      <c r="F511" s="1346"/>
      <c r="G511" s="1346"/>
      <c r="H511" s="1347"/>
      <c r="I511" s="1348">
        <f>(I500*((1+I$11)^0.5)/I$10)</f>
        <v>0</v>
      </c>
      <c r="J511" s="1343">
        <f ca="1">IF(I535="n/a",I511,IFERROR(IF((OFFSET($C511,0,$A511))&lt;0,
MIN(0,I511-(OFFSET($C511,0,$A511)/(OFFSET($C506,-$A510,$A511)))),
MAX(0,I511-(OFFSET($C511,0,$A511)/(OFFSET($C506,-$A510,$A511))))),0))</f>
        <v>0</v>
      </c>
      <c r="K511" s="1343">
        <f t="shared" ca="1" si="710"/>
        <v>0</v>
      </c>
      <c r="L511" s="1343">
        <f t="shared" ca="1" si="711"/>
        <v>0</v>
      </c>
      <c r="M511" s="1343">
        <f t="shared" ca="1" si="712"/>
        <v>0</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2016-17</v>
      </c>
      <c r="C512" s="1346"/>
      <c r="D512" s="1346"/>
      <c r="E512" s="1346"/>
      <c r="F512" s="1346"/>
      <c r="G512" s="1346"/>
      <c r="H512" s="1346"/>
      <c r="I512" s="1347"/>
      <c r="J512" s="1348">
        <f>(J500*((1+J$11)^0.5)/J$10)</f>
        <v>0</v>
      </c>
      <c r="K512" s="1343">
        <f ca="1">IF(J536="n/a",J512,IFERROR(IF((OFFSET($C512,0,$A512))&lt;0,
MIN(0,J512-(OFFSET($C512,0,$A512)/(OFFSET($C507,-$A511,$A512)))),
MAX(0,J512-(OFFSET($C512,0,$A512)/(OFFSET($C507,-$A511,$A512))))),0))</f>
        <v>0</v>
      </c>
      <c r="L512" s="1343">
        <f t="shared" ca="1" si="711"/>
        <v>0</v>
      </c>
      <c r="M512" s="1343">
        <f t="shared" ca="1" si="712"/>
        <v>0</v>
      </c>
      <c r="N512" s="1343">
        <f t="shared" ca="1" si="713"/>
        <v>0</v>
      </c>
      <c r="O512" s="1343">
        <f t="shared" ca="1" si="714"/>
        <v>0</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2017-18</v>
      </c>
      <c r="C513" s="1346"/>
      <c r="D513" s="1346"/>
      <c r="E513" s="1346"/>
      <c r="F513" s="1346"/>
      <c r="G513" s="1346"/>
      <c r="H513" s="1346"/>
      <c r="I513" s="1346"/>
      <c r="J513" s="1347"/>
      <c r="K513" s="1348">
        <f>(K500*((1+K$11)^0.5)/K$10)</f>
        <v>0</v>
      </c>
      <c r="L513" s="1343">
        <f ca="1">IF(K537="n/a",K513,IFERROR(IF((OFFSET($C513,0,$A513))&lt;0,
MIN(0,K513-(OFFSET($C513,0,$A513)/(OFFSET($C508,-$A512,$A513)))),
MAX(0,K513-(OFFSET($C513,0,$A513)/(OFFSET($C508,-$A512,$A513))))),0))</f>
        <v>0</v>
      </c>
      <c r="M513" s="1343">
        <f t="shared" ca="1" si="712"/>
        <v>0</v>
      </c>
      <c r="N513" s="1343">
        <f t="shared" ca="1" si="713"/>
        <v>0</v>
      </c>
      <c r="O513" s="1343">
        <f t="shared" ca="1" si="714"/>
        <v>0</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2018-19</v>
      </c>
      <c r="C514" s="1346"/>
      <c r="D514" s="1346"/>
      <c r="E514" s="1346"/>
      <c r="F514" s="1346"/>
      <c r="G514" s="1346"/>
      <c r="H514" s="1346"/>
      <c r="I514" s="1346"/>
      <c r="J514" s="1346"/>
      <c r="K514" s="1347"/>
      <c r="L514" s="1348">
        <f>(L500*((1+L$11)^0.5)/L$10)</f>
        <v>0</v>
      </c>
      <c r="M514" s="1343">
        <f ca="1">IF(L538="n/a",L514,IFERROR(IF((OFFSET($C514,0,$A514))&lt;0,
MIN(0,L514-(OFFSET($C514,0,$A514)/(OFFSET($C509,-$A513,$A514)))),
MAX(0,L514-(OFFSET($C514,0,$A514)/(OFFSET($C509,-$A513,$A514))))),0))</f>
        <v>0</v>
      </c>
      <c r="N514" s="1343">
        <f t="shared" ca="1" si="713"/>
        <v>0</v>
      </c>
      <c r="O514" s="1343">
        <f t="shared" ca="1" si="714"/>
        <v>0</v>
      </c>
      <c r="P514" s="1343">
        <f t="shared" ca="1" si="715"/>
        <v>0</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2019-20</v>
      </c>
      <c r="C515" s="1346"/>
      <c r="D515" s="1346"/>
      <c r="E515" s="1346"/>
      <c r="F515" s="1346"/>
      <c r="G515" s="1346"/>
      <c r="H515" s="1346"/>
      <c r="I515" s="1346"/>
      <c r="J515" s="1346"/>
      <c r="K515" s="1346"/>
      <c r="L515" s="1347"/>
      <c r="M515" s="1348">
        <f>(M500*((1+M$11)^0.5)/M$10)</f>
        <v>1.5645256465548665E-2</v>
      </c>
      <c r="N515" s="1343">
        <f ca="1">IF(M539="n/a",M515,IFERROR(IF((OFFSET($C515,0,$A515))&lt;0,
MIN(0,M515-(OFFSET($C515,0,$A515)/(OFFSET($C510,-$A514,$A515)))),
MAX(0,M515-(OFFSET($C515,0,$A515)/(OFFSET($C510,-$A514,$A515))))),0))</f>
        <v>1.2516205172438932E-2</v>
      </c>
      <c r="O515" s="1343">
        <f t="shared" ca="1" si="714"/>
        <v>9.3871538793291985E-3</v>
      </c>
      <c r="P515" s="1343">
        <f t="shared" ca="1" si="715"/>
        <v>6.2581025862194651E-3</v>
      </c>
      <c r="Q515" s="1343">
        <f t="shared" ca="1" si="716"/>
        <v>3.1290512931097321E-3</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2020-21</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2021-22</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2022-23</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2023-24</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2024-25</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2025-26</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2026-27</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2027-28</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2028-29</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2029-30</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0</v>
      </c>
      <c r="D529" s="1343">
        <f t="shared" ref="D529" ca="1" si="743">IF(C529="n/a","n/a",MAX(0,C529-1))</f>
        <v>0</v>
      </c>
      <c r="E529" s="1343">
        <f t="shared" ref="E529:E530" ca="1" si="744">IF(D529="n/a","n/a",MAX(0,D529-1))</f>
        <v>0</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2010-11</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2011-12</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2012-13</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2013-14</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2014-15</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2015-16</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2016-17</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2017-18</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2018-19</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2019-20</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2020-21</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2021-22</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2022-23</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2023-24</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2024-25</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2025-26</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2026-27</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2027-28</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2028-29</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2029-30</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0</v>
      </c>
      <c r="D551" s="1351">
        <f ca="1">(IF(OR($C501&lt;&gt;"n/a",D501&lt;&gt;"n/a"),IF(SUM(D504:D526)=0,0,IF((SUMPRODUCT(D504:D526,D528:D550)/SUM(D504:D526))&lt;0,1,(SUMPRODUCT(D504:D526,D528:D550)/SUM(D504:D526)))),"n/a"))</f>
        <v>0</v>
      </c>
      <c r="E551" s="1351">
        <f t="shared" ref="E551:W551" ca="1" si="764">(IF(OR($C501&lt;&gt;"n/a",E501&lt;&gt;"n/a"),IF(SUM(E504:E526)=0,0,IF((SUMPRODUCT(E504:E526,E528:E550)/SUM(E504:E526))&lt;0,1,(SUMPRODUCT(E504:E526,E528:E550)/SUM(E504:E526)))),"n/a"))</f>
        <v>0</v>
      </c>
      <c r="F551" s="1351">
        <f t="shared" ca="1" si="764"/>
        <v>0</v>
      </c>
      <c r="G551" s="1351">
        <f t="shared" ca="1" si="764"/>
        <v>0</v>
      </c>
      <c r="H551" s="1351">
        <f t="shared" ca="1" si="764"/>
        <v>0</v>
      </c>
      <c r="I551" s="1351">
        <f t="shared" ca="1" si="764"/>
        <v>0</v>
      </c>
      <c r="J551" s="1351">
        <f t="shared" ca="1" si="764"/>
        <v>0</v>
      </c>
      <c r="K551" s="1351">
        <f t="shared" ca="1" si="764"/>
        <v>0</v>
      </c>
      <c r="L551" s="1351">
        <f t="shared" ca="1" si="764"/>
        <v>0</v>
      </c>
      <c r="M551" s="1351">
        <f t="shared" ca="1" si="764"/>
        <v>5</v>
      </c>
      <c r="N551" s="1351">
        <f t="shared" ca="1" si="764"/>
        <v>4</v>
      </c>
      <c r="O551" s="1351">
        <f t="shared" ca="1" si="764"/>
        <v>3</v>
      </c>
      <c r="P551" s="1351">
        <f t="shared" ca="1" si="764"/>
        <v>2</v>
      </c>
      <c r="Q551" s="1351">
        <f t="shared" ca="1" si="764"/>
        <v>1</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0</v>
      </c>
      <c r="E554" s="1339">
        <f>IF(LEFT(E$6,4)&lt;LEFT('RFM input'!$G$60,4),"enter input",IF(LEFT(E$6,4)&gt;LEFT('RFM input'!$Q$60,4),0,
INDEX('RFM input'!$G$223:$Q$272,$A554,MATCH(E$6,'RFM input'!$G$222:$Q$222,0))
-INDEX('RFM input'!$G$277:$Q$326,$A554,MATCH(E$6,'RFM input'!$G$222:$Q$222,0))))</f>
        <v>0</v>
      </c>
      <c r="F554" s="1339">
        <f>IF(LEFT(F$6,4)&lt;LEFT('RFM input'!$G$60,4),"enter input",IF(LEFT(F$6,4)&gt;LEFT('RFM input'!$Q$60,4),0,
INDEX('RFM input'!$G$223:$Q$272,$A554,MATCH(F$6,'RFM input'!$G$222:$Q$222,0))
-INDEX('RFM input'!$G$277:$Q$326,$A554,MATCH(F$6,'RFM input'!$G$222:$Q$222,0))))</f>
        <v>0</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0</v>
      </c>
      <c r="E555" s="1339">
        <f>IF(LEFT(E$6,4)&lt;=LEFT('RFM input'!$G$60,4),"enter input",IF(LEFT(E$6,4)&gt;LEFT('RFM input'!$Q$60,4),0,
IF(MATCH(E$6,'RFM input'!$H$60:$Q$60,0),INDEX('RFM input'!$L$7:$L$56,$A554,1))))</f>
        <v>0</v>
      </c>
      <c r="F555" s="1339">
        <f>IF(LEFT(F$6,4)&lt;=LEFT('RFM input'!$G$60,4),"enter input",IF(LEFT(F$6,4)&gt;LEFT('RFM input'!$Q$60,4),0,
IF(MATCH(F$6,'RFM input'!$H$60:$Q$60,0),INDEX('RFM input'!$L$7:$L$56,$A554,1))))</f>
        <v>0</v>
      </c>
      <c r="G555" s="1339">
        <f>IF(LEFT(G$6,4)&lt;=LEFT('RFM input'!$G$60,4),"enter input",IF(LEFT(G$6,4)&gt;LEFT('RFM input'!$Q$60,4),0,
IF(MATCH(G$6,'RFM input'!$H$60:$Q$60,0),INDEX('RFM input'!$L$7:$L$56,$A554,1))))</f>
        <v>0</v>
      </c>
      <c r="H555" s="1339">
        <f>IF(LEFT(H$6,4)&lt;=LEFT('RFM input'!$G$60,4),"enter input",IF(LEFT(H$6,4)&gt;LEFT('RFM input'!$Q$60,4),0,
IF(MATCH(H$6,'RFM input'!$H$60:$Q$60,0),INDEX('RFM input'!$L$7:$L$56,$A554,1))))</f>
        <v>0</v>
      </c>
      <c r="I555" s="1339">
        <f>IF(LEFT(I$6,4)&lt;=LEFT('RFM input'!$G$60,4),"enter input",IF(LEFT(I$6,4)&gt;LEFT('RFM input'!$Q$60,4),0,
IF(MATCH(I$6,'RFM input'!$H$60:$Q$60,0),INDEX('RFM input'!$L$7:$L$56,$A554,1))))</f>
        <v>0</v>
      </c>
      <c r="J555" s="1339">
        <f>IF(LEFT(J$6,4)&lt;=LEFT('RFM input'!$G$60,4),"enter input",IF(LEFT(J$6,4)&gt;LEFT('RFM input'!$Q$60,4),0,
IF(MATCH(J$6,'RFM input'!$H$60:$Q$60,0),INDEX('RFM input'!$L$7:$L$56,$A554,1))))</f>
        <v>0</v>
      </c>
      <c r="K555" s="1339">
        <f>IF(LEFT(K$6,4)&lt;=LEFT('RFM input'!$G$60,4),"enter input",IF(LEFT(K$6,4)&gt;LEFT('RFM input'!$Q$60,4),0,
IF(MATCH(K$6,'RFM input'!$H$60:$Q$60,0),INDEX('RFM input'!$L$7:$L$56,$A554,1))))</f>
        <v>0</v>
      </c>
      <c r="L555" s="1339">
        <f>IF(LEFT(L$6,4)&lt;=LEFT('RFM input'!$G$60,4),"enter input",IF(LEFT(L$6,4)&gt;LEFT('RFM input'!$Q$60,4),0,
IF(MATCH(L$6,'RFM input'!$H$60:$Q$60,0),INDEX('RFM input'!$L$7:$L$56,$A554,1))))</f>
        <v>0</v>
      </c>
      <c r="M555" s="1339">
        <f>IF(LEFT(M$6,4)&lt;=LEFT('RFM input'!$G$60,4),"enter input",IF(LEFT(M$6,4)&gt;LEFT('RFM input'!$Q$60,4),0,
IF(MATCH(M$6,'RFM input'!$H$60:$Q$60,0),INDEX('RFM input'!$L$7:$L$56,$A554,1))))</f>
        <v>0</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2010-11</v>
      </c>
      <c r="C560" s="1344"/>
      <c r="D560" s="1345">
        <f>(D554*((1+D$11)^0.5)/D$10)</f>
        <v>0</v>
      </c>
      <c r="E560" s="1343">
        <f ca="1">IF(D584="n/a",D560,IFERROR(IF((OFFSET($C560,0,$A560))&lt;0,
MIN(0,D560-(OFFSET($C560,0,$A560)/(OFFSET($C555,-$A559,$A560)))),
MAX(0,D560-(OFFSET($C560,0,$A560)/(OFFSET($C555,-$A559,$A560))))),0))</f>
        <v>0</v>
      </c>
      <c r="F560" s="1343">
        <f t="shared" ca="1" si="785"/>
        <v>0</v>
      </c>
      <c r="G560" s="1343">
        <f t="shared" ca="1" si="786"/>
        <v>0</v>
      </c>
      <c r="H560" s="1343">
        <f t="shared" ca="1" si="787"/>
        <v>0</v>
      </c>
      <c r="I560" s="1343">
        <f t="shared" ca="1" si="788"/>
        <v>0</v>
      </c>
      <c r="J560" s="1343">
        <f t="shared" ca="1" si="789"/>
        <v>0</v>
      </c>
      <c r="K560" s="1343">
        <f t="shared" ca="1" si="790"/>
        <v>0</v>
      </c>
      <c r="L560" s="1343">
        <f t="shared" ca="1" si="791"/>
        <v>0</v>
      </c>
      <c r="M560" s="1343">
        <f t="shared" ca="1" si="792"/>
        <v>0</v>
      </c>
      <c r="N560" s="1343">
        <f t="shared" ca="1" si="793"/>
        <v>0</v>
      </c>
      <c r="O560" s="1343">
        <f t="shared" ca="1" si="794"/>
        <v>0</v>
      </c>
      <c r="P560" s="1343">
        <f t="shared" ca="1" si="795"/>
        <v>0</v>
      </c>
      <c r="Q560" s="1343">
        <f t="shared" ca="1" si="796"/>
        <v>0</v>
      </c>
      <c r="R560" s="1343">
        <f t="shared" ca="1" si="797"/>
        <v>0</v>
      </c>
      <c r="S560" s="1343">
        <f t="shared" ca="1" si="798"/>
        <v>0</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2011-12</v>
      </c>
      <c r="C561" s="1346"/>
      <c r="D561" s="1347"/>
      <c r="E561" s="1345">
        <f>(E554*((1+E$11)^0.5)/E$10)</f>
        <v>0</v>
      </c>
      <c r="F561" s="1343">
        <f ca="1">IF(E585="n/a",E561,IFERROR(IF((OFFSET($C561,0,$A561))&lt;0,
MIN(0,E561-(OFFSET($C561,0,$A561)/(OFFSET($C556,-$A560,$A561)))),
MAX(0,E561-(OFFSET($C561,0,$A561)/(OFFSET($C556,-$A560,$A561))))),0))</f>
        <v>0</v>
      </c>
      <c r="G561" s="1343">
        <f t="shared" ca="1" si="786"/>
        <v>0</v>
      </c>
      <c r="H561" s="1343">
        <f t="shared" ca="1" si="787"/>
        <v>0</v>
      </c>
      <c r="I561" s="1343">
        <f t="shared" ca="1" si="788"/>
        <v>0</v>
      </c>
      <c r="J561" s="1343">
        <f t="shared" ca="1" si="789"/>
        <v>0</v>
      </c>
      <c r="K561" s="1343">
        <f t="shared" ca="1" si="790"/>
        <v>0</v>
      </c>
      <c r="L561" s="1343">
        <f t="shared" ca="1" si="791"/>
        <v>0</v>
      </c>
      <c r="M561" s="1343">
        <f t="shared" ca="1" si="792"/>
        <v>0</v>
      </c>
      <c r="N561" s="1343">
        <f t="shared" ca="1" si="793"/>
        <v>0</v>
      </c>
      <c r="O561" s="1343">
        <f t="shared" ca="1" si="794"/>
        <v>0</v>
      </c>
      <c r="P561" s="1343">
        <f t="shared" ca="1" si="795"/>
        <v>0</v>
      </c>
      <c r="Q561" s="1343">
        <f t="shared" ca="1" si="796"/>
        <v>0</v>
      </c>
      <c r="R561" s="1343">
        <f t="shared" ca="1" si="797"/>
        <v>0</v>
      </c>
      <c r="S561" s="1343">
        <f t="shared" ca="1" si="798"/>
        <v>0</v>
      </c>
      <c r="T561" s="1343">
        <f t="shared" ca="1" si="799"/>
        <v>0</v>
      </c>
      <c r="U561" s="1343">
        <f t="shared" ca="1" si="800"/>
        <v>0</v>
      </c>
      <c r="V561" s="1343">
        <f t="shared" ca="1" si="801"/>
        <v>0</v>
      </c>
      <c r="W561" s="1343">
        <f t="shared" ca="1" si="802"/>
        <v>0</v>
      </c>
      <c r="X561" s="226"/>
    </row>
    <row r="562" spans="1:26" hidden="1" outlineLevel="1">
      <c r="A562" s="223">
        <v>3</v>
      </c>
      <c r="B562" s="210" t="str">
        <f t="shared" ca="1" si="803"/>
        <v>Depreciated Net Capex 2012-13</v>
      </c>
      <c r="C562" s="1346"/>
      <c r="D562" s="1346"/>
      <c r="E562" s="1347"/>
      <c r="F562" s="1348">
        <f>($F554*((1+F$11)^0.5)/F$10)</f>
        <v>0</v>
      </c>
      <c r="G562" s="1343">
        <f ca="1">IF(F586="n/a",F562,IFERROR(IF((OFFSET($C562,0,$A562))&lt;0,
MIN(0,F562-(OFFSET($C562,0,$A562)/(OFFSET($C557,-$A561,$A562)))),
MAX(0,F562-(OFFSET($C562,0,$A562)/(OFFSET($C557,-$A561,$A562))))),0))</f>
        <v>0</v>
      </c>
      <c r="H562" s="1343">
        <f t="shared" ca="1" si="787"/>
        <v>0</v>
      </c>
      <c r="I562" s="1343">
        <f t="shared" ca="1" si="788"/>
        <v>0</v>
      </c>
      <c r="J562" s="1343">
        <f t="shared" ca="1" si="789"/>
        <v>0</v>
      </c>
      <c r="K562" s="1343">
        <f t="shared" ca="1" si="790"/>
        <v>0</v>
      </c>
      <c r="L562" s="1343">
        <f t="shared" ca="1" si="791"/>
        <v>0</v>
      </c>
      <c r="M562" s="1343">
        <f t="shared" ca="1" si="792"/>
        <v>0</v>
      </c>
      <c r="N562" s="1343">
        <f t="shared" ca="1" si="793"/>
        <v>0</v>
      </c>
      <c r="O562" s="1343">
        <f t="shared" ca="1" si="794"/>
        <v>0</v>
      </c>
      <c r="P562" s="1343">
        <f t="shared" ca="1" si="795"/>
        <v>0</v>
      </c>
      <c r="Q562" s="1343">
        <f t="shared" ca="1" si="796"/>
        <v>0</v>
      </c>
      <c r="R562" s="1343">
        <f t="shared" ca="1" si="797"/>
        <v>0</v>
      </c>
      <c r="S562" s="1343">
        <f t="shared" ca="1" si="798"/>
        <v>0</v>
      </c>
      <c r="T562" s="1343">
        <f t="shared" ca="1" si="799"/>
        <v>0</v>
      </c>
      <c r="U562" s="1343">
        <f t="shared" ca="1" si="800"/>
        <v>0</v>
      </c>
      <c r="V562" s="1343">
        <f t="shared" ca="1" si="801"/>
        <v>0</v>
      </c>
      <c r="W562" s="1343">
        <f t="shared" ca="1" si="802"/>
        <v>0</v>
      </c>
      <c r="X562" s="226"/>
      <c r="Y562" s="226"/>
    </row>
    <row r="563" spans="1:26" hidden="1" outlineLevel="1">
      <c r="A563" s="223">
        <v>4</v>
      </c>
      <c r="B563" s="210" t="str">
        <f t="shared" ca="1" si="803"/>
        <v>Depreciated Net Capex 2013-14</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2014-15</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2015-16</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2016-17</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2017-18</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2018-19</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2019-20</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2020-21</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2021-22</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2022-23</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2023-24</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2024-25</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2025-26</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2026-27</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2027-28</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2028-29</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2029-30</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2010-11</v>
      </c>
      <c r="C584" s="1344"/>
      <c r="D584" s="1348">
        <f>D555</f>
        <v>0</v>
      </c>
      <c r="E584" s="1343">
        <f t="shared" si="824"/>
        <v>0</v>
      </c>
      <c r="F584" s="1343">
        <f t="shared" si="825"/>
        <v>0</v>
      </c>
      <c r="G584" s="1343">
        <f t="shared" si="826"/>
        <v>0</v>
      </c>
      <c r="H584" s="1343">
        <f t="shared" si="827"/>
        <v>0</v>
      </c>
      <c r="I584" s="1343">
        <f t="shared" si="828"/>
        <v>0</v>
      </c>
      <c r="J584" s="1343">
        <f t="shared" si="829"/>
        <v>0</v>
      </c>
      <c r="K584" s="1343">
        <f t="shared" si="830"/>
        <v>0</v>
      </c>
      <c r="L584" s="1343">
        <f t="shared" si="831"/>
        <v>0</v>
      </c>
      <c r="M584" s="1343">
        <f t="shared" si="832"/>
        <v>0</v>
      </c>
      <c r="N584" s="1343">
        <f t="shared" si="833"/>
        <v>0</v>
      </c>
      <c r="O584" s="1343">
        <f t="shared" si="834"/>
        <v>0</v>
      </c>
      <c r="P584" s="1343">
        <f t="shared" si="835"/>
        <v>0</v>
      </c>
      <c r="Q584" s="1343">
        <f t="shared" si="836"/>
        <v>0</v>
      </c>
      <c r="R584" s="1343">
        <f t="shared" si="837"/>
        <v>0</v>
      </c>
      <c r="S584" s="1343">
        <f t="shared" si="838"/>
        <v>0</v>
      </c>
      <c r="T584" s="1343">
        <f t="shared" si="839"/>
        <v>0</v>
      </c>
      <c r="U584" s="1343">
        <f t="shared" si="840"/>
        <v>0</v>
      </c>
      <c r="V584" s="1343">
        <f t="shared" si="841"/>
        <v>0</v>
      </c>
      <c r="W584" s="1343">
        <f t="shared" si="842"/>
        <v>0</v>
      </c>
    </row>
    <row r="585" spans="1:26" hidden="1" outlineLevel="1">
      <c r="B585" s="210" t="str">
        <f t="shared" ca="1" si="843"/>
        <v>RL Capex 2011-12</v>
      </c>
      <c r="C585" s="1349"/>
      <c r="D585" s="1344"/>
      <c r="E585" s="1348">
        <f>E555</f>
        <v>0</v>
      </c>
      <c r="F585" s="1343">
        <f t="shared" si="825"/>
        <v>0</v>
      </c>
      <c r="G585" s="1343">
        <f t="shared" si="826"/>
        <v>0</v>
      </c>
      <c r="H585" s="1343">
        <f t="shared" si="827"/>
        <v>0</v>
      </c>
      <c r="I585" s="1343">
        <f t="shared" si="828"/>
        <v>0</v>
      </c>
      <c r="J585" s="1343">
        <f t="shared" si="829"/>
        <v>0</v>
      </c>
      <c r="K585" s="1343">
        <f t="shared" si="830"/>
        <v>0</v>
      </c>
      <c r="L585" s="1343">
        <f t="shared" si="831"/>
        <v>0</v>
      </c>
      <c r="M585" s="1343">
        <f t="shared" si="832"/>
        <v>0</v>
      </c>
      <c r="N585" s="1343">
        <f t="shared" si="833"/>
        <v>0</v>
      </c>
      <c r="O585" s="1343">
        <f t="shared" si="834"/>
        <v>0</v>
      </c>
      <c r="P585" s="1343">
        <f t="shared" si="835"/>
        <v>0</v>
      </c>
      <c r="Q585" s="1343">
        <f t="shared" si="836"/>
        <v>0</v>
      </c>
      <c r="R585" s="1343">
        <f t="shared" si="837"/>
        <v>0</v>
      </c>
      <c r="S585" s="1343">
        <f t="shared" si="838"/>
        <v>0</v>
      </c>
      <c r="T585" s="1343">
        <f t="shared" si="839"/>
        <v>0</v>
      </c>
      <c r="U585" s="1343">
        <f t="shared" si="840"/>
        <v>0</v>
      </c>
      <c r="V585" s="1343">
        <f t="shared" si="841"/>
        <v>0</v>
      </c>
      <c r="W585" s="1343">
        <f t="shared" si="842"/>
        <v>0</v>
      </c>
    </row>
    <row r="586" spans="1:26" hidden="1" outlineLevel="1">
      <c r="B586" s="210" t="str">
        <f t="shared" ca="1" si="843"/>
        <v>RL Capex 2012-13</v>
      </c>
      <c r="C586" s="1349"/>
      <c r="D586" s="1349"/>
      <c r="E586" s="1344"/>
      <c r="F586" s="1348">
        <f>F555</f>
        <v>0</v>
      </c>
      <c r="G586" s="1343">
        <f t="shared" si="826"/>
        <v>0</v>
      </c>
      <c r="H586" s="1343">
        <f t="shared" si="827"/>
        <v>0</v>
      </c>
      <c r="I586" s="1343">
        <f t="shared" si="828"/>
        <v>0</v>
      </c>
      <c r="J586" s="1343">
        <f t="shared" si="829"/>
        <v>0</v>
      </c>
      <c r="K586" s="1343">
        <f t="shared" si="830"/>
        <v>0</v>
      </c>
      <c r="L586" s="1343">
        <f t="shared" si="831"/>
        <v>0</v>
      </c>
      <c r="M586" s="1343">
        <f t="shared" si="832"/>
        <v>0</v>
      </c>
      <c r="N586" s="1343">
        <f t="shared" si="833"/>
        <v>0</v>
      </c>
      <c r="O586" s="1343">
        <f t="shared" si="834"/>
        <v>0</v>
      </c>
      <c r="P586" s="1343">
        <f t="shared" si="835"/>
        <v>0</v>
      </c>
      <c r="Q586" s="1343">
        <f t="shared" si="836"/>
        <v>0</v>
      </c>
      <c r="R586" s="1343">
        <f t="shared" si="837"/>
        <v>0</v>
      </c>
      <c r="S586" s="1343">
        <f t="shared" si="838"/>
        <v>0</v>
      </c>
      <c r="T586" s="1343">
        <f t="shared" si="839"/>
        <v>0</v>
      </c>
      <c r="U586" s="1343">
        <f t="shared" si="840"/>
        <v>0</v>
      </c>
      <c r="V586" s="1343">
        <f t="shared" si="841"/>
        <v>0</v>
      </c>
      <c r="W586" s="1343">
        <f t="shared" si="842"/>
        <v>0</v>
      </c>
    </row>
    <row r="587" spans="1:26" hidden="1" outlineLevel="1">
      <c r="B587" s="210" t="str">
        <f t="shared" ca="1" si="843"/>
        <v>RL Capex 2013-14</v>
      </c>
      <c r="C587" s="1349"/>
      <c r="D587" s="1349"/>
      <c r="E587" s="1349"/>
      <c r="F587" s="1344"/>
      <c r="G587" s="1348">
        <f>G555</f>
        <v>0</v>
      </c>
      <c r="H587" s="1343">
        <f t="shared" si="827"/>
        <v>0</v>
      </c>
      <c r="I587" s="1343">
        <f t="shared" si="828"/>
        <v>0</v>
      </c>
      <c r="J587" s="1343">
        <f t="shared" si="829"/>
        <v>0</v>
      </c>
      <c r="K587" s="1343">
        <f t="shared" si="830"/>
        <v>0</v>
      </c>
      <c r="L587" s="1343">
        <f t="shared" si="831"/>
        <v>0</v>
      </c>
      <c r="M587" s="1343">
        <f t="shared" si="832"/>
        <v>0</v>
      </c>
      <c r="N587" s="1343">
        <f t="shared" si="833"/>
        <v>0</v>
      </c>
      <c r="O587" s="1343">
        <f t="shared" si="834"/>
        <v>0</v>
      </c>
      <c r="P587" s="1343">
        <f t="shared" si="835"/>
        <v>0</v>
      </c>
      <c r="Q587" s="1343">
        <f t="shared" si="836"/>
        <v>0</v>
      </c>
      <c r="R587" s="1343">
        <f t="shared" si="837"/>
        <v>0</v>
      </c>
      <c r="S587" s="1343">
        <f t="shared" si="838"/>
        <v>0</v>
      </c>
      <c r="T587" s="1343">
        <f t="shared" si="839"/>
        <v>0</v>
      </c>
      <c r="U587" s="1343">
        <f t="shared" si="840"/>
        <v>0</v>
      </c>
      <c r="V587" s="1343">
        <f t="shared" si="841"/>
        <v>0</v>
      </c>
      <c r="W587" s="1343">
        <f t="shared" si="842"/>
        <v>0</v>
      </c>
    </row>
    <row r="588" spans="1:26" hidden="1" outlineLevel="1">
      <c r="B588" s="210" t="str">
        <f t="shared" ca="1" si="843"/>
        <v>RL Capex 2014-15</v>
      </c>
      <c r="C588" s="1349"/>
      <c r="D588" s="1349"/>
      <c r="E588" s="1349"/>
      <c r="F588" s="1349"/>
      <c r="G588" s="1344"/>
      <c r="H588" s="1348">
        <f>H555</f>
        <v>0</v>
      </c>
      <c r="I588" s="1343">
        <f t="shared" si="828"/>
        <v>0</v>
      </c>
      <c r="J588" s="1343">
        <f t="shared" si="829"/>
        <v>0</v>
      </c>
      <c r="K588" s="1343">
        <f t="shared" si="830"/>
        <v>0</v>
      </c>
      <c r="L588" s="1343">
        <f t="shared" si="831"/>
        <v>0</v>
      </c>
      <c r="M588" s="1343">
        <f t="shared" si="832"/>
        <v>0</v>
      </c>
      <c r="N588" s="1343">
        <f t="shared" si="833"/>
        <v>0</v>
      </c>
      <c r="O588" s="1343">
        <f t="shared" si="834"/>
        <v>0</v>
      </c>
      <c r="P588" s="1343">
        <f t="shared" si="835"/>
        <v>0</v>
      </c>
      <c r="Q588" s="1343">
        <f t="shared" si="836"/>
        <v>0</v>
      </c>
      <c r="R588" s="1343">
        <f t="shared" si="837"/>
        <v>0</v>
      </c>
      <c r="S588" s="1343">
        <f t="shared" si="838"/>
        <v>0</v>
      </c>
      <c r="T588" s="1343">
        <f t="shared" si="839"/>
        <v>0</v>
      </c>
      <c r="U588" s="1343">
        <f t="shared" si="840"/>
        <v>0</v>
      </c>
      <c r="V588" s="1343">
        <f t="shared" si="841"/>
        <v>0</v>
      </c>
      <c r="W588" s="1343">
        <f t="shared" si="842"/>
        <v>0</v>
      </c>
    </row>
    <row r="589" spans="1:26" hidden="1" outlineLevel="1">
      <c r="B589" s="210" t="str">
        <f t="shared" ca="1" si="843"/>
        <v>RL Capex 2015-16</v>
      </c>
      <c r="C589" s="1349"/>
      <c r="D589" s="1349"/>
      <c r="E589" s="1349"/>
      <c r="F589" s="1349"/>
      <c r="G589" s="1349"/>
      <c r="H589" s="1344"/>
      <c r="I589" s="1348">
        <f>I555</f>
        <v>0</v>
      </c>
      <c r="J589" s="1343">
        <f t="shared" si="829"/>
        <v>0</v>
      </c>
      <c r="K589" s="1343">
        <f t="shared" si="830"/>
        <v>0</v>
      </c>
      <c r="L589" s="1343">
        <f t="shared" si="831"/>
        <v>0</v>
      </c>
      <c r="M589" s="1343">
        <f t="shared" si="832"/>
        <v>0</v>
      </c>
      <c r="N589" s="1343">
        <f t="shared" si="833"/>
        <v>0</v>
      </c>
      <c r="O589" s="1343">
        <f t="shared" si="834"/>
        <v>0</v>
      </c>
      <c r="P589" s="1343">
        <f t="shared" si="835"/>
        <v>0</v>
      </c>
      <c r="Q589" s="1343">
        <f t="shared" si="836"/>
        <v>0</v>
      </c>
      <c r="R589" s="1343">
        <f t="shared" si="837"/>
        <v>0</v>
      </c>
      <c r="S589" s="1343">
        <f t="shared" si="838"/>
        <v>0</v>
      </c>
      <c r="T589" s="1343">
        <f t="shared" si="839"/>
        <v>0</v>
      </c>
      <c r="U589" s="1343">
        <f t="shared" si="840"/>
        <v>0</v>
      </c>
      <c r="V589" s="1343">
        <f t="shared" si="841"/>
        <v>0</v>
      </c>
      <c r="W589" s="1343">
        <f t="shared" si="842"/>
        <v>0</v>
      </c>
    </row>
    <row r="590" spans="1:26" hidden="1" outlineLevel="1">
      <c r="B590" s="210" t="str">
        <f t="shared" ca="1" si="843"/>
        <v>RL Capex 2016-17</v>
      </c>
      <c r="C590" s="1349"/>
      <c r="D590" s="1349"/>
      <c r="E590" s="1349"/>
      <c r="F590" s="1349"/>
      <c r="G590" s="1349"/>
      <c r="H590" s="1349"/>
      <c r="I590" s="1344"/>
      <c r="J590" s="1348">
        <f>J555</f>
        <v>0</v>
      </c>
      <c r="K590" s="1343">
        <f t="shared" si="830"/>
        <v>0</v>
      </c>
      <c r="L590" s="1343">
        <f t="shared" si="831"/>
        <v>0</v>
      </c>
      <c r="M590" s="1343">
        <f t="shared" si="832"/>
        <v>0</v>
      </c>
      <c r="N590" s="1343">
        <f t="shared" si="833"/>
        <v>0</v>
      </c>
      <c r="O590" s="1343">
        <f t="shared" si="834"/>
        <v>0</v>
      </c>
      <c r="P590" s="1343">
        <f t="shared" si="835"/>
        <v>0</v>
      </c>
      <c r="Q590" s="1343">
        <f t="shared" si="836"/>
        <v>0</v>
      </c>
      <c r="R590" s="1343">
        <f t="shared" si="837"/>
        <v>0</v>
      </c>
      <c r="S590" s="1343">
        <f t="shared" si="838"/>
        <v>0</v>
      </c>
      <c r="T590" s="1343">
        <f t="shared" si="839"/>
        <v>0</v>
      </c>
      <c r="U590" s="1343">
        <f t="shared" si="840"/>
        <v>0</v>
      </c>
      <c r="V590" s="1343">
        <f t="shared" si="841"/>
        <v>0</v>
      </c>
      <c r="W590" s="1343">
        <f t="shared" si="842"/>
        <v>0</v>
      </c>
    </row>
    <row r="591" spans="1:26" hidden="1" outlineLevel="1">
      <c r="B591" s="210" t="str">
        <f t="shared" ca="1" si="843"/>
        <v>RL Capex 2017-18</v>
      </c>
      <c r="C591" s="1349"/>
      <c r="D591" s="1349"/>
      <c r="E591" s="1349"/>
      <c r="F591" s="1349"/>
      <c r="G591" s="1349"/>
      <c r="H591" s="1349"/>
      <c r="I591" s="1349"/>
      <c r="J591" s="1344"/>
      <c r="K591" s="1348">
        <f>K555</f>
        <v>0</v>
      </c>
      <c r="L591" s="1343">
        <f t="shared" si="831"/>
        <v>0</v>
      </c>
      <c r="M591" s="1343">
        <f t="shared" si="832"/>
        <v>0</v>
      </c>
      <c r="N591" s="1343">
        <f t="shared" si="833"/>
        <v>0</v>
      </c>
      <c r="O591" s="1343">
        <f t="shared" si="834"/>
        <v>0</v>
      </c>
      <c r="P591" s="1343">
        <f t="shared" si="835"/>
        <v>0</v>
      </c>
      <c r="Q591" s="1343">
        <f t="shared" si="836"/>
        <v>0</v>
      </c>
      <c r="R591" s="1343">
        <f t="shared" si="837"/>
        <v>0</v>
      </c>
      <c r="S591" s="1343">
        <f t="shared" si="838"/>
        <v>0</v>
      </c>
      <c r="T591" s="1343">
        <f t="shared" si="839"/>
        <v>0</v>
      </c>
      <c r="U591" s="1343">
        <f t="shared" si="840"/>
        <v>0</v>
      </c>
      <c r="V591" s="1343">
        <f t="shared" si="841"/>
        <v>0</v>
      </c>
      <c r="W591" s="1343">
        <f t="shared" si="842"/>
        <v>0</v>
      </c>
    </row>
    <row r="592" spans="1:26" hidden="1" outlineLevel="1">
      <c r="B592" s="210" t="str">
        <f t="shared" ca="1" si="843"/>
        <v>RL Capex 2018-19</v>
      </c>
      <c r="C592" s="1349"/>
      <c r="D592" s="1349"/>
      <c r="E592" s="1349"/>
      <c r="F592" s="1349"/>
      <c r="G592" s="1349"/>
      <c r="H592" s="1349"/>
      <c r="I592" s="1349"/>
      <c r="J592" s="1349"/>
      <c r="K592" s="1344"/>
      <c r="L592" s="1348">
        <f>L555</f>
        <v>0</v>
      </c>
      <c r="M592" s="1343">
        <f t="shared" si="832"/>
        <v>0</v>
      </c>
      <c r="N592" s="1343">
        <f t="shared" si="833"/>
        <v>0</v>
      </c>
      <c r="O592" s="1343">
        <f t="shared" si="834"/>
        <v>0</v>
      </c>
      <c r="P592" s="1343">
        <f t="shared" si="835"/>
        <v>0</v>
      </c>
      <c r="Q592" s="1343">
        <f t="shared" si="836"/>
        <v>0</v>
      </c>
      <c r="R592" s="1343">
        <f t="shared" si="837"/>
        <v>0</v>
      </c>
      <c r="S592" s="1343">
        <f t="shared" si="838"/>
        <v>0</v>
      </c>
      <c r="T592" s="1343">
        <f t="shared" si="839"/>
        <v>0</v>
      </c>
      <c r="U592" s="1343">
        <f t="shared" si="840"/>
        <v>0</v>
      </c>
      <c r="V592" s="1343">
        <f t="shared" si="841"/>
        <v>0</v>
      </c>
      <c r="W592" s="1343">
        <f t="shared" si="842"/>
        <v>0</v>
      </c>
    </row>
    <row r="593" spans="1:23" hidden="1" outlineLevel="1">
      <c r="B593" s="210" t="str">
        <f t="shared" ca="1" si="843"/>
        <v>RL Capex 2019-20</v>
      </c>
      <c r="C593" s="1349"/>
      <c r="D593" s="1349"/>
      <c r="E593" s="1349"/>
      <c r="F593" s="1349"/>
      <c r="G593" s="1349"/>
      <c r="H593" s="1349"/>
      <c r="I593" s="1349"/>
      <c r="J593" s="1349"/>
      <c r="K593" s="1349"/>
      <c r="L593" s="1344"/>
      <c r="M593" s="1348">
        <f>M555</f>
        <v>0</v>
      </c>
      <c r="N593" s="1343">
        <f t="shared" si="833"/>
        <v>0</v>
      </c>
      <c r="O593" s="1343">
        <f t="shared" si="834"/>
        <v>0</v>
      </c>
      <c r="P593" s="1343">
        <f t="shared" si="835"/>
        <v>0</v>
      </c>
      <c r="Q593" s="1343">
        <f t="shared" si="836"/>
        <v>0</v>
      </c>
      <c r="R593" s="1343">
        <f t="shared" si="837"/>
        <v>0</v>
      </c>
      <c r="S593" s="1343">
        <f t="shared" si="838"/>
        <v>0</v>
      </c>
      <c r="T593" s="1343">
        <f t="shared" si="839"/>
        <v>0</v>
      </c>
      <c r="U593" s="1343">
        <f t="shared" si="840"/>
        <v>0</v>
      </c>
      <c r="V593" s="1343">
        <f t="shared" si="841"/>
        <v>0</v>
      </c>
      <c r="W593" s="1343">
        <f t="shared" si="842"/>
        <v>0</v>
      </c>
    </row>
    <row r="594" spans="1:23" hidden="1" outlineLevel="1">
      <c r="B594" s="210" t="str">
        <f t="shared" ca="1" si="843"/>
        <v>RL Capex 2020-21</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2021-22</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2022-23</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2023-24</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2024-25</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2025-26</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2026-27</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2027-28</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2028-29</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2029-30</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0</v>
      </c>
      <c r="E605" s="1351">
        <f t="shared" ref="E605:W605" ca="1" si="844">(IF(OR($C555&lt;&gt;"n/a",E555&lt;&gt;"n/a"),IF(SUM(E558:E580)=0,0,IF((SUMPRODUCT(E558:E580,E582:E604)/SUM(E558:E580))&lt;0,1,(SUMPRODUCT(E558:E580,E582:E604)/SUM(E558:E580)))),"n/a"))</f>
        <v>0</v>
      </c>
      <c r="F605" s="1351">
        <f t="shared" ca="1" si="844"/>
        <v>0</v>
      </c>
      <c r="G605" s="1351">
        <f t="shared" ca="1" si="844"/>
        <v>0</v>
      </c>
      <c r="H605" s="1351">
        <f t="shared" ca="1" si="844"/>
        <v>0</v>
      </c>
      <c r="I605" s="1351">
        <f t="shared" ca="1" si="844"/>
        <v>0</v>
      </c>
      <c r="J605" s="1351">
        <f t="shared" ca="1" si="844"/>
        <v>0</v>
      </c>
      <c r="K605" s="1351">
        <f t="shared" ca="1" si="844"/>
        <v>0</v>
      </c>
      <c r="L605" s="1351">
        <f t="shared" ca="1" si="844"/>
        <v>0</v>
      </c>
      <c r="M605" s="1351">
        <f t="shared" ca="1" si="844"/>
        <v>0</v>
      </c>
      <c r="N605" s="1351">
        <f t="shared" ca="1" si="844"/>
        <v>0</v>
      </c>
      <c r="O605" s="1351">
        <f t="shared" ca="1" si="844"/>
        <v>0</v>
      </c>
      <c r="P605" s="1351">
        <f t="shared" ca="1" si="844"/>
        <v>0</v>
      </c>
      <c r="Q605" s="1351">
        <f t="shared" ca="1" si="844"/>
        <v>0</v>
      </c>
      <c r="R605" s="1351">
        <f t="shared" ca="1" si="844"/>
        <v>0</v>
      </c>
      <c r="S605" s="1351">
        <f t="shared" ca="1" si="844"/>
        <v>0</v>
      </c>
      <c r="T605" s="1351">
        <f t="shared" ca="1" si="844"/>
        <v>0</v>
      </c>
      <c r="U605" s="1351">
        <f t="shared" ca="1" si="844"/>
        <v>0</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5.9999642941216097E-2</v>
      </c>
      <c r="D608" s="1339">
        <f>IF(LEFT(D$6,4)&lt;LEFT('RFM input'!$G$60,4),"enter input",IF(LEFT(D$6,4)&gt;LEFT('RFM input'!$Q$60,4),0,
INDEX('RFM input'!$G$223:$Q$272,$A608,MATCH(D$6,'RFM input'!$G$222:$Q$222,0))
-INDEX('RFM input'!$G$277:$Q$326,$A608,MATCH(D$6,'RFM input'!$G$222:$Q$222,0))))</f>
        <v>8.0454426465054588E-2</v>
      </c>
      <c r="E608" s="1339">
        <f>IF(LEFT(E$6,4)&lt;LEFT('RFM input'!$G$60,4),"enter input",IF(LEFT(E$6,4)&gt;LEFT('RFM input'!$Q$60,4),0,
INDEX('RFM input'!$G$223:$Q$272,$A608,MATCH(E$6,'RFM input'!$G$222:$Q$222,0))
-INDEX('RFM input'!$G$277:$Q$326,$A608,MATCH(E$6,'RFM input'!$G$222:$Q$222,0))))</f>
        <v>3.527518373419028E-2</v>
      </c>
      <c r="F608" s="1339">
        <f>IF(LEFT(F$6,4)&lt;LEFT('RFM input'!$G$60,4),"enter input",IF(LEFT(F$6,4)&gt;LEFT('RFM input'!$Q$60,4),0,
INDEX('RFM input'!$G$223:$Q$272,$A608,MATCH(F$6,'RFM input'!$G$222:$Q$222,0))
-INDEX('RFM input'!$G$277:$Q$326,$A608,MATCH(F$6,'RFM input'!$G$222:$Q$222,0))))</f>
        <v>2.3241850460258093E-2</v>
      </c>
      <c r="G608" s="1339">
        <f>IF(LEFT(G$6,4)&lt;LEFT('RFM input'!$G$60,4),"enter input",IF(LEFT(G$6,4)&gt;LEFT('RFM input'!$Q$60,4),0,
INDEX('RFM input'!$G$223:$Q$272,$A608,MATCH(G$6,'RFM input'!$G$222:$Q$222,0))
-INDEX('RFM input'!$G$277:$Q$326,$A608,MATCH(G$6,'RFM input'!$G$222:$Q$222,0))))</f>
        <v>1.9210645653691481E-2</v>
      </c>
      <c r="H608" s="1339">
        <f>IF(LEFT(H$6,4)&lt;LEFT('RFM input'!$G$60,4),"enter input",IF(LEFT(H$6,4)&gt;LEFT('RFM input'!$Q$60,4),0,
INDEX('RFM input'!$G$223:$Q$272,$A608,MATCH(H$6,'RFM input'!$G$222:$Q$222,0))
-INDEX('RFM input'!$G$277:$Q$326,$A608,MATCH(H$6,'RFM input'!$G$222:$Q$222,0))))</f>
        <v>9.5409406028951219E-2</v>
      </c>
      <c r="I608" s="1339">
        <f>IF(LEFT(I$6,4)&lt;LEFT('RFM input'!$G$60,4),"enter input",IF(LEFT(I$6,4)&gt;LEFT('RFM input'!$Q$60,4),0,
INDEX('RFM input'!$G$223:$Q$272,$A608,MATCH(I$6,'RFM input'!$G$222:$Q$222,0))
-INDEX('RFM input'!$G$277:$Q$326,$A608,MATCH(I$6,'RFM input'!$G$222:$Q$222,0))))</f>
        <v>0.11705133940547846</v>
      </c>
      <c r="J608" s="1339">
        <f>IF(LEFT(J$6,4)&lt;LEFT('RFM input'!$G$60,4),"enter input",IF(LEFT(J$6,4)&gt;LEFT('RFM input'!$Q$60,4),0,
INDEX('RFM input'!$G$223:$Q$272,$A608,MATCH(J$6,'RFM input'!$G$222:$Q$222,0))
-INDEX('RFM input'!$G$277:$Q$326,$A608,MATCH(J$6,'RFM input'!$G$222:$Q$222,0))))</f>
        <v>5.0470198177664523E-2</v>
      </c>
      <c r="K608" s="1339">
        <f>IF(LEFT(K$6,4)&lt;LEFT('RFM input'!$G$60,4),"enter input",IF(LEFT(K$6,4)&gt;LEFT('RFM input'!$Q$60,4),0,
INDEX('RFM input'!$G$223:$Q$272,$A608,MATCH(K$6,'RFM input'!$G$222:$Q$222,0))
-INDEX('RFM input'!$G$277:$Q$326,$A608,MATCH(K$6,'RFM input'!$G$222:$Q$222,0))))</f>
        <v>8.5639415146838205E-2</v>
      </c>
      <c r="L608" s="1339">
        <f>IF(LEFT(L$6,4)&lt;LEFT('RFM input'!$G$60,4),"enter input",IF(LEFT(L$6,4)&gt;LEFT('RFM input'!$Q$60,4),0,
INDEX('RFM input'!$G$223:$Q$272,$A608,MATCH(L$6,'RFM input'!$G$222:$Q$222,0))
-INDEX('RFM input'!$G$277:$Q$326,$A608,MATCH(L$6,'RFM input'!$G$222:$Q$222,0))))</f>
        <v>0.11806738991739381</v>
      </c>
      <c r="M608" s="1339">
        <f>IF(LEFT(M$6,4)&lt;LEFT('RFM input'!$G$60,4),"enter input",IF(LEFT(M$6,4)&gt;LEFT('RFM input'!$Q$60,4),0,
INDEX('RFM input'!$G$223:$Q$272,$A608,MATCH(M$6,'RFM input'!$G$222:$Q$222,0))
-INDEX('RFM input'!$G$277:$Q$326,$A608,MATCH(M$6,'RFM input'!$G$222:$Q$222,0))))</f>
        <v>0.10529788768889591</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3.9093560237865641</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5.9999642941216097E-2</v>
      </c>
      <c r="D613" s="1343">
        <f ca="1">IF(C637="n/a",C613,IFERROR(IF((OFFSET($C613,0,$A613))&lt;0,
MIN(0,C613-(OFFSET($C613,0,$A613)/(OFFSET($C608,-$A612,$A613)))),
MAX(0,C613-(OFFSET($C613,0,$A613)/(OFFSET($C608,-$A612,$A613))))),0))</f>
        <v>4.4651937954474821E-2</v>
      </c>
      <c r="E613" s="1343">
        <f t="shared" ref="E613" ca="1" si="864">IF(D637="n/a",D613,IFERROR(IF((OFFSET($C613,0,$A613))&lt;0,
MIN(0,D613-(OFFSET($C613,0,$A613)/(OFFSET($C608,-$A612,$A613)))),
MAX(0,D613-(OFFSET($C613,0,$A613)/(OFFSET($C608,-$A612,$A613))))),0))</f>
        <v>2.9304232967733546E-2</v>
      </c>
      <c r="F613" s="1343">
        <f t="shared" ref="F613:F614" ca="1" si="865">IF(E637="n/a",E613,IFERROR(IF((OFFSET($C613,0,$A613))&lt;0,
MIN(0,E613-(OFFSET($C613,0,$A613)/(OFFSET($C608,-$A612,$A613)))),
MAX(0,E613-(OFFSET($C613,0,$A613)/(OFFSET($C608,-$A612,$A613))))),0))</f>
        <v>1.395652798099227E-2</v>
      </c>
      <c r="G613" s="1343">
        <f t="shared" ref="G613:G615" ca="1" si="866">IF(F637="n/a",F613,IFERROR(IF((OFFSET($C613,0,$A613))&lt;0,
MIN(0,F613-(OFFSET($C613,0,$A613)/(OFFSET($C608,-$A612,$A613)))),
MAX(0,F613-(OFFSET($C613,0,$A613)/(OFFSET($C608,-$A612,$A613))))),0))</f>
        <v>0</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2010-11</v>
      </c>
      <c r="C614" s="1344"/>
      <c r="D614" s="1345">
        <f>(D608*((1+D$11)^0.5)/D$10)</f>
        <v>8.209295399005824E-2</v>
      </c>
      <c r="E614" s="1343">
        <f ca="1">IF(D638="n/a",D614,IFERROR(IF((OFFSET($C614,0,$A614))&lt;0,
MIN(0,D614-(OFFSET($C614,0,$A614)/(OFFSET($C609,-$A613,$A614)))),
MAX(0,D614-(OFFSET($C614,0,$A614)/(OFFSET($C609,-$A613,$A614))))),0))</f>
        <v>6.5674363192046586E-2</v>
      </c>
      <c r="F614" s="1343">
        <f t="shared" ca="1" si="865"/>
        <v>4.925577239403494E-2</v>
      </c>
      <c r="G614" s="1343">
        <f t="shared" ca="1" si="866"/>
        <v>3.2837181596023293E-2</v>
      </c>
      <c r="H614" s="1343">
        <f t="shared" ca="1" si="867"/>
        <v>1.6418590798011647E-2</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2011-12</v>
      </c>
      <c r="C615" s="1346"/>
      <c r="D615" s="1347"/>
      <c r="E615" s="1345">
        <f>(E608*((1+E$11)^0.5)/E$10)</f>
        <v>3.4318515822659226E-2</v>
      </c>
      <c r="F615" s="1343">
        <f ca="1">IF(E639="n/a",E615,IFERROR(IF((OFFSET($C615,0,$A615))&lt;0,
MIN(0,E615-(OFFSET($C615,0,$A615)/(OFFSET($C610,-$A614,$A615)))),
MAX(0,E615-(OFFSET($C615,0,$A615)/(OFFSET($C610,-$A614,$A615))))),0))</f>
        <v>2.7454812658127381E-2</v>
      </c>
      <c r="G615" s="1343">
        <f t="shared" ca="1" si="866"/>
        <v>2.0591109493595536E-2</v>
      </c>
      <c r="H615" s="1343">
        <f t="shared" ca="1" si="867"/>
        <v>1.3727406329063691E-2</v>
      </c>
      <c r="I615" s="1343">
        <f t="shared" ca="1" si="868"/>
        <v>6.8637031645318453E-3</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2012-13</v>
      </c>
      <c r="C616" s="1346"/>
      <c r="D616" s="1346"/>
      <c r="E616" s="1347"/>
      <c r="F616" s="1348">
        <f>($F608*((1+F$11)^0.5)/F$10)</f>
        <v>2.2275200637750778E-2</v>
      </c>
      <c r="G616" s="1343">
        <f ca="1">IF(F640="n/a",F616,IFERROR(IF((OFFSET($C616,0,$A616))&lt;0,
MIN(0,F616-(OFFSET($C616,0,$A616)/(OFFSET($C611,-$A615,$A616)))),
MAX(0,F616-(OFFSET($C616,0,$A616)/(OFFSET($C611,-$A615,$A616))))),0))</f>
        <v>1.7820160510200623E-2</v>
      </c>
      <c r="H616" s="1343">
        <f t="shared" ca="1" si="867"/>
        <v>1.3365120382650468E-2</v>
      </c>
      <c r="I616" s="1343">
        <f t="shared" ca="1" si="868"/>
        <v>8.9100802551003132E-3</v>
      </c>
      <c r="J616" s="1343">
        <f t="shared" ca="1" si="869"/>
        <v>4.4550401275501575E-3</v>
      </c>
      <c r="K616" s="1343">
        <f t="shared" ca="1" si="870"/>
        <v>1.7347234759768071E-18</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2013-14</v>
      </c>
      <c r="C617" s="1346"/>
      <c r="D617" s="1346"/>
      <c r="E617" s="1346"/>
      <c r="F617" s="1347"/>
      <c r="G617" s="1348">
        <f>($G608*((1+G$11)^0.5)/G$10)</f>
        <v>1.805590805942656E-2</v>
      </c>
      <c r="H617" s="1343">
        <f ca="1">IF(G641="n/a",G617,IFERROR(IF((OFFSET($C617,0,$A617))&lt;0,
MIN(0,G617-(OFFSET($C617,0,$A617)/(OFFSET($C612,-$A616,$A617)))),
MAX(0,G617-(OFFSET($C617,0,$A617)/(OFFSET($C612,-$A616,$A617))))),0))</f>
        <v>1.4444726447541249E-2</v>
      </c>
      <c r="I617" s="1343">
        <f t="shared" ca="1" si="868"/>
        <v>1.0833544835655937E-2</v>
      </c>
      <c r="J617" s="1343">
        <f t="shared" ca="1" si="869"/>
        <v>7.2223632237706252E-3</v>
      </c>
      <c r="K617" s="1343">
        <f t="shared" ca="1" si="870"/>
        <v>3.611181611885313E-3</v>
      </c>
      <c r="L617" s="1343">
        <f t="shared" ca="1" si="871"/>
        <v>8.6736173798840355E-19</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2014-15</v>
      </c>
      <c r="C618" s="1346"/>
      <c r="D618" s="1346"/>
      <c r="E618" s="1346"/>
      <c r="F618" s="1346"/>
      <c r="G618" s="1347"/>
      <c r="H618" s="1348">
        <f>(H608*((1+H$11)^0.5)/H$10)</f>
        <v>8.648008231551807E-2</v>
      </c>
      <c r="I618" s="1343">
        <f ca="1">IF(H642="n/a",H618,IFERROR(IF((OFFSET($C618,0,$A618))&lt;0,
MIN(0,H618-(OFFSET($C618,0,$A618)/(OFFSET($C613,-$A617,$A618)))),
MAX(0,H618-(OFFSET($C618,0,$A618)/(OFFSET($C613,-$A617,$A618))))),0))</f>
        <v>6.9184065852414461E-2</v>
      </c>
      <c r="J618" s="1343">
        <f t="shared" ca="1" si="869"/>
        <v>5.1888049389310846E-2</v>
      </c>
      <c r="K618" s="1343">
        <f t="shared" ca="1" si="870"/>
        <v>3.4592032926207231E-2</v>
      </c>
      <c r="L618" s="1343">
        <f t="shared" ca="1" si="871"/>
        <v>1.7296016463103615E-2</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2015-16</v>
      </c>
      <c r="C619" s="1346"/>
      <c r="D619" s="1346"/>
      <c r="E619" s="1346"/>
      <c r="F619" s="1346"/>
      <c r="G619" s="1346"/>
      <c r="H619" s="1347"/>
      <c r="I619" s="1348">
        <f>(I608*((1+I$11)^0.5)/I$10)</f>
        <v>0.10391957191774466</v>
      </c>
      <c r="J619" s="1343">
        <f ca="1">IF(I643="n/a",I619,IFERROR(IF((OFFSET($C619,0,$A619))&lt;0,
MIN(0,I619-(OFFSET($C619,0,$A619)/(OFFSET($C614,-$A618,$A619)))),
MAX(0,I619-(OFFSET($C619,0,$A619)/(OFFSET($C614,-$A618,$A619))))),0))</f>
        <v>8.3135657534195731E-2</v>
      </c>
      <c r="K619" s="1343">
        <f t="shared" ca="1" si="870"/>
        <v>6.2351743150646802E-2</v>
      </c>
      <c r="L619" s="1343">
        <f t="shared" ca="1" si="871"/>
        <v>4.1567828767097872E-2</v>
      </c>
      <c r="M619" s="1343">
        <f t="shared" ca="1" si="872"/>
        <v>2.078391438354894E-2</v>
      </c>
      <c r="N619" s="1343">
        <f t="shared" ca="1" si="873"/>
        <v>6.9388939039072284E-18</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2016-17</v>
      </c>
      <c r="C620" s="1346"/>
      <c r="D620" s="1346"/>
      <c r="E620" s="1346"/>
      <c r="F620" s="1346"/>
      <c r="G620" s="1346"/>
      <c r="H620" s="1346"/>
      <c r="I620" s="1347"/>
      <c r="J620" s="1348">
        <f>(J608*((1+J$11)^0.5)/J$10)</f>
        <v>4.4310205559755608E-2</v>
      </c>
      <c r="K620" s="1343">
        <f ca="1">IF(J644="n/a",J620,IFERROR(IF((OFFSET($C620,0,$A620))&lt;0,
MIN(0,J620-(OFFSET($C620,0,$A620)/(OFFSET($C615,-$A619,$A620)))),
MAX(0,J620-(OFFSET($C620,0,$A620)/(OFFSET($C615,-$A619,$A620))))),0))</f>
        <v>3.5448164447804485E-2</v>
      </c>
      <c r="L620" s="1343">
        <f t="shared" ca="1" si="871"/>
        <v>2.6586123335853362E-2</v>
      </c>
      <c r="M620" s="1343">
        <f t="shared" ca="1" si="872"/>
        <v>1.7724082223902239E-2</v>
      </c>
      <c r="N620" s="1343">
        <f t="shared" ca="1" si="873"/>
        <v>8.8620411119511178E-3</v>
      </c>
      <c r="O620" s="1343">
        <f t="shared" ca="1" si="874"/>
        <v>0</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2017-18</v>
      </c>
      <c r="C621" s="1346"/>
      <c r="D621" s="1346"/>
      <c r="E621" s="1346"/>
      <c r="F621" s="1346"/>
      <c r="G621" s="1346"/>
      <c r="H621" s="1346"/>
      <c r="I621" s="1346"/>
      <c r="J621" s="1347"/>
      <c r="K621" s="1348">
        <f>(K608*((1+K$11)^0.5)/K$10)</f>
        <v>7.3746381902622588E-2</v>
      </c>
      <c r="L621" s="1343">
        <f ca="1">IF(K645="n/a",K621,IFERROR(IF((OFFSET($C621,0,$A621))&lt;0,
MIN(0,K621-(OFFSET($C621,0,$A621)/(OFFSET($C616,-$A620,$A621)))),
MAX(0,K621-(OFFSET($C621,0,$A621)/(OFFSET($C616,-$A620,$A621))))),0))</f>
        <v>5.8997105522098067E-2</v>
      </c>
      <c r="M621" s="1343">
        <f t="shared" ca="1" si="872"/>
        <v>4.4247829141573547E-2</v>
      </c>
      <c r="N621" s="1343">
        <f t="shared" ca="1" si="873"/>
        <v>2.949855276104903E-2</v>
      </c>
      <c r="O621" s="1343">
        <f t="shared" ca="1" si="874"/>
        <v>1.4749276380524513E-2</v>
      </c>
      <c r="P621" s="1343">
        <f t="shared" ca="1" si="875"/>
        <v>0</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2018-19</v>
      </c>
      <c r="C622" s="1346"/>
      <c r="D622" s="1346"/>
      <c r="E622" s="1346"/>
      <c r="F622" s="1346"/>
      <c r="G622" s="1346"/>
      <c r="H622" s="1346"/>
      <c r="I622" s="1346"/>
      <c r="J622" s="1346"/>
      <c r="K622" s="1347"/>
      <c r="L622" s="1348">
        <f>(L608*((1+L$11)^0.5)/L$10)</f>
        <v>9.9429079567473336E-2</v>
      </c>
      <c r="M622" s="1343">
        <f ca="1">IF(L646="n/a",L622,IFERROR(IF((OFFSET($C622,0,$A622))&lt;0,
MIN(0,L622-(OFFSET($C622,0,$A622)/(OFFSET($C617,-$A621,$A622)))),
MAX(0,L622-(OFFSET($C622,0,$A622)/(OFFSET($C617,-$A621,$A622))))),0))</f>
        <v>7.9543263653978666E-2</v>
      </c>
      <c r="N622" s="1343">
        <f t="shared" ca="1" si="873"/>
        <v>5.9657447740483996E-2</v>
      </c>
      <c r="O622" s="1343">
        <f t="shared" ca="1" si="874"/>
        <v>3.9771631826989326E-2</v>
      </c>
      <c r="P622" s="1343">
        <f t="shared" ca="1" si="875"/>
        <v>1.988581591349466E-2</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2019-20</v>
      </c>
      <c r="C623" s="1346"/>
      <c r="D623" s="1346"/>
      <c r="E623" s="1346"/>
      <c r="F623" s="1346"/>
      <c r="G623" s="1346"/>
      <c r="H623" s="1346"/>
      <c r="I623" s="1346"/>
      <c r="J623" s="1346"/>
      <c r="K623" s="1346"/>
      <c r="L623" s="1347"/>
      <c r="M623" s="1348">
        <f>(M608*((1+M$11)^0.5)/M$10)</f>
        <v>8.6053587367618825E-2</v>
      </c>
      <c r="N623" s="1343">
        <f ca="1">IF(M647="n/a",M623,IFERROR(IF((OFFSET($C623,0,$A623))&lt;0,
MIN(0,M623-(OFFSET($C623,0,$A623)/(OFFSET($C618,-$A622,$A623)))),
MAX(0,M623-(OFFSET($C623,0,$A623)/(OFFSET($C618,-$A622,$A623))))),0))</f>
        <v>6.8842869894095063E-2</v>
      </c>
      <c r="O623" s="1343">
        <f t="shared" ca="1" si="874"/>
        <v>5.1632152420571301E-2</v>
      </c>
      <c r="P623" s="1343">
        <f t="shared" ca="1" si="875"/>
        <v>3.4421434947047538E-2</v>
      </c>
      <c r="Q623" s="1343">
        <f t="shared" ca="1" si="876"/>
        <v>1.7210717473523773E-2</v>
      </c>
      <c r="R623" s="1343">
        <f t="shared" ca="1" si="877"/>
        <v>6.9388939039072284E-18</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2020-21</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2021-22</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2022-23</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2023-24</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2024-25</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2025-26</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2026-27</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2027-28</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2028-29</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2029-30</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3.9093560237865641</v>
      </c>
      <c r="D637" s="1343">
        <f t="shared" ref="D637" ca="1" si="903">IF(C637="n/a","n/a",MAX(0,C637-1))</f>
        <v>2.9093560237865641</v>
      </c>
      <c r="E637" s="1343">
        <f t="shared" ref="E637:E638" ca="1" si="904">IF(D637="n/a","n/a",MAX(0,D637-1))</f>
        <v>1.9093560237865641</v>
      </c>
      <c r="F637" s="1343">
        <f t="shared" ref="F637:F639" ca="1" si="905">IF(E637="n/a","n/a",MAX(0,E637-1))</f>
        <v>0.9093560237865641</v>
      </c>
      <c r="G637" s="1343">
        <f t="shared" ref="G637:G640" ca="1" si="906">IF(F637="n/a","n/a",MAX(0,F637-1))</f>
        <v>0</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2010-11</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2011-12</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2012-13</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2013-14</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2014-15</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2015-16</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2016-17</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2017-18</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2018-19</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2019-20</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2020-21</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2021-22</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2022-23</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2023-24</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2024-25</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2025-26</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2026-27</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2027-28</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2028-29</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2029-30</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3.9093560237865641</v>
      </c>
      <c r="D659" s="1351">
        <f ca="1">(IF(OR($C609&lt;&gt;"n/a",D609&lt;&gt;"n/a"),IF(SUM(D612:D634)=0,0,IF((SUMPRODUCT(D612:D634,D636:D658)/SUM(D612:D634))&lt;0,1,(SUMPRODUCT(D612:D634,D636:D658)/SUM(D612:D634)))),"n/a"))</f>
        <v>4.2634708690932337</v>
      </c>
      <c r="E659" s="1351">
        <f t="shared" ref="E659:W659" ca="1" si="924">(IF(OR($C609&lt;&gt;"n/a",E609&lt;&gt;"n/a"),IF(SUM(E612:E634)=0,0,IF((SUMPRODUCT(E612:E634,E636:E658)/SUM(E612:E634))&lt;0,1,(SUMPRODUCT(E612:E634,E636:E658)/SUM(E612:E634)))),"n/a"))</f>
        <v>3.7915947085303197</v>
      </c>
      <c r="F659" s="1351">
        <f t="shared" ca="1" si="924"/>
        <v>3.3791943107000981</v>
      </c>
      <c r="G659" s="1351">
        <f t="shared" ca="1" si="924"/>
        <v>3.2362123765684094</v>
      </c>
      <c r="H659" s="1351">
        <f t="shared" ca="1" si="924"/>
        <v>3.9751057564964554</v>
      </c>
      <c r="I659" s="1351">
        <f t="shared" ca="1" si="924"/>
        <v>4.273769428721935</v>
      </c>
      <c r="J659" s="1351">
        <f t="shared" ca="1" si="924"/>
        <v>3.8147351087283594</v>
      </c>
      <c r="K659" s="1351">
        <f t="shared" ca="1" si="924"/>
        <v>3.6728336867805864</v>
      </c>
      <c r="L659" s="1351">
        <f t="shared" ca="1" si="924"/>
        <v>3.7450314441989638</v>
      </c>
      <c r="M659" s="1351">
        <f t="shared" ca="1" si="924"/>
        <v>3.7745377658074442</v>
      </c>
      <c r="N659" s="1351">
        <f t="shared" ca="1" si="924"/>
        <v>3.1295703991654262</v>
      </c>
      <c r="O659" s="1351">
        <f t="shared" ca="1" si="924"/>
        <v>2.3474499540740386</v>
      </c>
      <c r="P659" s="1351">
        <f t="shared" ca="1" si="924"/>
        <v>1.6338276086823056</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8.5842237822920997E-2</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2010-11</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2011-12</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2012-13</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2013-14</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2014-15</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2015-16</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2016-17</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2017-18</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2018-19</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2019-20</v>
      </c>
      <c r="C677" s="1346"/>
      <c r="D677" s="1346"/>
      <c r="E677" s="1346"/>
      <c r="F677" s="1346"/>
      <c r="G677" s="1346"/>
      <c r="H677" s="1346"/>
      <c r="I677" s="1346"/>
      <c r="J677" s="1346"/>
      <c r="K677" s="1346"/>
      <c r="L677" s="1347"/>
      <c r="M677" s="1348">
        <f>(M662*((1+M$11)^0.5)/M$10)</f>
        <v>7.0153662855533608E-2</v>
      </c>
      <c r="N677" s="1343">
        <f ca="1">IF(M701="n/a",M677,IFERROR(IF((OFFSET($C677,0,$A677))&lt;0,
MIN(0,M677-(OFFSET($C677,0,$A677)/(OFFSET($C672,-$A676,$A677)))),
MAX(0,M677-(OFFSET($C677,0,$A677)/(OFFSET($C672,-$A676,$A677))))),0))</f>
        <v>5.6122930284426886E-2</v>
      </c>
      <c r="O677" s="1343">
        <f t="shared" ca="1" si="954"/>
        <v>4.2092197713320165E-2</v>
      </c>
      <c r="P677" s="1343">
        <f t="shared" ca="1" si="955"/>
        <v>2.8061465142213443E-2</v>
      </c>
      <c r="Q677" s="1343">
        <f t="shared" ca="1" si="956"/>
        <v>1.4030732571106722E-2</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2020-21</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2021-22</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2022-23</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2023-24</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2024-25</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2025-26</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2026-27</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2027-28</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2028-29</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2029-30</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2010-11</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2011-12</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2012-13</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2013-14</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2014-15</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2015-16</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2016-17</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2017-18</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2018-19</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2019-20</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2020-21</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2021-22</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2022-23</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2023-24</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2024-25</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2025-26</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2026-27</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2027-28</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2028-29</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2029-30</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5</v>
      </c>
      <c r="N713" s="1351">
        <f t="shared" ca="1" si="1004"/>
        <v>4</v>
      </c>
      <c r="O713" s="1351">
        <f t="shared" ca="1" si="1004"/>
        <v>2.9999999999999996</v>
      </c>
      <c r="P713" s="1351">
        <f t="shared" ca="1" si="1004"/>
        <v>2</v>
      </c>
      <c r="Q713" s="1351">
        <f t="shared" ca="1" si="1004"/>
        <v>1</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2.4692818033996451</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0</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10.000027563773047</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2.4692818033996451</v>
      </c>
      <c r="D721" s="1343">
        <f ca="1">IF(C745="n/a",C721,IFERROR(IF((OFFSET($C721,0,$A721))&lt;0,
MIN(0,C721-(OFFSET($C721,0,$A721)/(OFFSET($C716,-$A720,$A721)))),
MAX(0,C721-(OFFSET($C721,0,$A721)/(OFFSET($C716,-$A720,$A721))))),0))</f>
        <v>2.2223543036850368</v>
      </c>
      <c r="E721" s="1343">
        <f t="shared" ref="E721" ca="1" si="1024">IF(D745="n/a",D721,IFERROR(IF((OFFSET($C721,0,$A721))&lt;0,
MIN(0,D721-(OFFSET($C721,0,$A721)/(OFFSET($C716,-$A720,$A721)))),
MAX(0,D721-(OFFSET($C721,0,$A721)/(OFFSET($C716,-$A720,$A721))))),0))</f>
        <v>1.9754268039704284</v>
      </c>
      <c r="F721" s="1343">
        <f t="shared" ref="F721:F722" ca="1" si="1025">IF(E745="n/a",E721,IFERROR(IF((OFFSET($C721,0,$A721))&lt;0,
MIN(0,E721-(OFFSET($C721,0,$A721)/(OFFSET($C716,-$A720,$A721)))),
MAX(0,E721-(OFFSET($C721,0,$A721)/(OFFSET($C716,-$A720,$A721))))),0))</f>
        <v>1.7284993042558199</v>
      </c>
      <c r="G721" s="1343">
        <f t="shared" ref="G721:G723" ca="1" si="1026">IF(F745="n/a",F721,IFERROR(IF((OFFSET($C721,0,$A721))&lt;0,
MIN(0,F721-(OFFSET($C721,0,$A721)/(OFFSET($C716,-$A720,$A721)))),
MAX(0,F721-(OFFSET($C721,0,$A721)/(OFFSET($C716,-$A720,$A721))))),0))</f>
        <v>1.4815718045412114</v>
      </c>
      <c r="H721" s="1343">
        <f t="shared" ref="H721:H724" ca="1" si="1027">IF(G745="n/a",G721,IFERROR(IF((OFFSET($C721,0,$A721))&lt;0,
MIN(0,G721-(OFFSET($C721,0,$A721)/(OFFSET($C716,-$A720,$A721)))),
MAX(0,G721-(OFFSET($C721,0,$A721)/(OFFSET($C716,-$A720,$A721))))),0))</f>
        <v>1.2346443048266029</v>
      </c>
      <c r="I721" s="1343">
        <f t="shared" ref="I721:I725" ca="1" si="1028">IF(H745="n/a",H721,IFERROR(IF((OFFSET($C721,0,$A721))&lt;0,
MIN(0,H721-(OFFSET($C721,0,$A721)/(OFFSET($C716,-$A720,$A721)))),
MAX(0,H721-(OFFSET($C721,0,$A721)/(OFFSET($C716,-$A720,$A721))))),0))</f>
        <v>0.98771680511199456</v>
      </c>
      <c r="J721" s="1343">
        <f t="shared" ref="J721:J726" ca="1" si="1029">IF(I745="n/a",I721,IFERROR(IF((OFFSET($C721,0,$A721))&lt;0,
MIN(0,I721-(OFFSET($C721,0,$A721)/(OFFSET($C716,-$A720,$A721)))),
MAX(0,I721-(OFFSET($C721,0,$A721)/(OFFSET($C716,-$A720,$A721))))),0))</f>
        <v>0.74078930539738619</v>
      </c>
      <c r="K721" s="1343">
        <f t="shared" ref="K721:K727" ca="1" si="1030">IF(J745="n/a",J721,IFERROR(IF((OFFSET($C721,0,$A721))&lt;0,
MIN(0,J721-(OFFSET($C721,0,$A721)/(OFFSET($C716,-$A720,$A721)))),
MAX(0,J721-(OFFSET($C721,0,$A721)/(OFFSET($C716,-$A720,$A721))))),0))</f>
        <v>0.49386180568277782</v>
      </c>
      <c r="L721" s="1343">
        <f t="shared" ref="L721:L728" ca="1" si="1031">IF(K745="n/a",K721,IFERROR(IF((OFFSET($C721,0,$A721))&lt;0,
MIN(0,K721-(OFFSET($C721,0,$A721)/(OFFSET($C716,-$A720,$A721)))),
MAX(0,K721-(OFFSET($C721,0,$A721)/(OFFSET($C716,-$A720,$A721))))),0))</f>
        <v>0.24693430596816943</v>
      </c>
      <c r="M721" s="1343">
        <f t="shared" ref="M721:M729" ca="1" si="1032">IF(L745="n/a",L721,IFERROR(IF((OFFSET($C721,0,$A721))&lt;0,
MIN(0,L721-(OFFSET($C721,0,$A721)/(OFFSET($C716,-$A720,$A721)))),
MAX(0,L721-(OFFSET($C721,0,$A721)/(OFFSET($C716,-$A720,$A721))))),0))</f>
        <v>6.8062535610313724E-6</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2010-11</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2011-12</v>
      </c>
      <c r="C723" s="1346"/>
      <c r="D723" s="1347"/>
      <c r="E723" s="1345">
        <f>(E716*((1+E$11)^0.5)/E$10)</f>
        <v>0</v>
      </c>
      <c r="F723" s="1343">
        <f ca="1">IF(E747="n/a",E723,IFERROR(IF((OFFSET($C723,0,$A723))&lt;0,
MIN(0,E723-(OFFSET($C723,0,$A723)/(OFFSET($C718,-$A722,$A723)))),
MAX(0,E723-(OFFSET($C723,0,$A723)/(OFFSET($C718,-$A722,$A723))))),0))</f>
        <v>0</v>
      </c>
      <c r="G723" s="1343">
        <f t="shared" ca="1" si="1026"/>
        <v>0</v>
      </c>
      <c r="H723" s="1343">
        <f t="shared" ca="1" si="1027"/>
        <v>0</v>
      </c>
      <c r="I723" s="1343">
        <f t="shared" ca="1" si="1028"/>
        <v>0</v>
      </c>
      <c r="J723" s="1343">
        <f t="shared" ca="1" si="1029"/>
        <v>0</v>
      </c>
      <c r="K723" s="1343">
        <f t="shared" ca="1" si="1030"/>
        <v>0</v>
      </c>
      <c r="L723" s="1343">
        <f t="shared" ca="1" si="1031"/>
        <v>0</v>
      </c>
      <c r="M723" s="1343">
        <f t="shared" ca="1" si="1032"/>
        <v>0</v>
      </c>
      <c r="N723" s="1343">
        <f t="shared" ca="1" si="1033"/>
        <v>0</v>
      </c>
      <c r="O723" s="1343">
        <f t="shared" ca="1" si="1034"/>
        <v>0</v>
      </c>
      <c r="P723" s="1343">
        <f t="shared" ca="1" si="1035"/>
        <v>0</v>
      </c>
      <c r="Q723" s="1343">
        <f t="shared" ca="1" si="1036"/>
        <v>0</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2012-13</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2013-14</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2014-15</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2015-16</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2016-17</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2017-18</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2018-19</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2019-20</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2020-21</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2021-22</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2022-23</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2023-24</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2024-25</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2025-26</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2026-27</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2027-28</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2028-29</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2029-30</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10.000027563773047</v>
      </c>
      <c r="D745" s="1343">
        <f t="shared" ref="D745" ca="1" si="1063">IF(C745="n/a","n/a",MAX(0,C745-1))</f>
        <v>9.0000275637730471</v>
      </c>
      <c r="E745" s="1343">
        <f t="shared" ref="E745:E746" ca="1" si="1064">IF(D745="n/a","n/a",MAX(0,D745-1))</f>
        <v>8.0000275637730471</v>
      </c>
      <c r="F745" s="1343">
        <f t="shared" ref="F745:F747" ca="1" si="1065">IF(E745="n/a","n/a",MAX(0,E745-1))</f>
        <v>7.0000275637730471</v>
      </c>
      <c r="G745" s="1343">
        <f t="shared" ref="G745:G748" ca="1" si="1066">IF(F745="n/a","n/a",MAX(0,F745-1))</f>
        <v>6.0000275637730471</v>
      </c>
      <c r="H745" s="1343">
        <f t="shared" ref="H745:H749" ca="1" si="1067">IF(G745="n/a","n/a",MAX(0,G745-1))</f>
        <v>5.0000275637730471</v>
      </c>
      <c r="I745" s="1343">
        <f t="shared" ref="I745:I750" ca="1" si="1068">IF(H745="n/a","n/a",MAX(0,H745-1))</f>
        <v>4.0000275637730471</v>
      </c>
      <c r="J745" s="1343">
        <f t="shared" ref="J745:J751" ca="1" si="1069">IF(I745="n/a","n/a",MAX(0,I745-1))</f>
        <v>3.0000275637730471</v>
      </c>
      <c r="K745" s="1343">
        <f t="shared" ref="K745:K752" ca="1" si="1070">IF(J745="n/a","n/a",MAX(0,J745-1))</f>
        <v>2.0000275637730471</v>
      </c>
      <c r="L745" s="1343">
        <f t="shared" ref="L745:L753" ca="1" si="1071">IF(K745="n/a","n/a",MAX(0,K745-1))</f>
        <v>1.0000275637730471</v>
      </c>
      <c r="M745" s="1343">
        <f t="shared" ref="M745:M754" ca="1" si="1072">IF(L745="n/a","n/a",MAX(0,L745-1))</f>
        <v>2.7563773047134532E-5</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2010-11</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2011-12</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2012-13</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2013-14</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2014-15</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2015-16</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2016-17</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2017-18</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2018-19</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2019-20</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2020-21</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2021-22</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2022-23</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2023-24</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2024-25</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2025-26</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2026-27</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2027-28</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2028-29</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2029-30</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10.000027563773047</v>
      </c>
      <c r="D767" s="1351">
        <f ca="1">(IF(OR($C717&lt;&gt;"n/a",D717&lt;&gt;"n/a"),IF(SUM(D720:D742)=0,0,IF((SUMPRODUCT(D720:D742,D744:D766)/SUM(D720:D742))&lt;0,1,(SUMPRODUCT(D720:D742,D744:D766)/SUM(D720:D742)))),"n/a"))</f>
        <v>9.0000275637730471</v>
      </c>
      <c r="E767" s="1351">
        <f t="shared" ref="E767:W767" ca="1" si="1084">(IF(OR($C717&lt;&gt;"n/a",E717&lt;&gt;"n/a"),IF(SUM(E720:E742)=0,0,IF((SUMPRODUCT(E720:E742,E744:E766)/SUM(E720:E742))&lt;0,1,(SUMPRODUCT(E720:E742,E744:E766)/SUM(E720:E742)))),"n/a"))</f>
        <v>8.0000275637730471</v>
      </c>
      <c r="F767" s="1351">
        <f t="shared" ca="1" si="1084"/>
        <v>7.0000275637730471</v>
      </c>
      <c r="G767" s="1351">
        <f t="shared" ca="1" si="1084"/>
        <v>6.0000275637730471</v>
      </c>
      <c r="H767" s="1351">
        <f t="shared" ca="1" si="1084"/>
        <v>5.0000275637730471</v>
      </c>
      <c r="I767" s="1351">
        <f t="shared" ca="1" si="1084"/>
        <v>4.0000275637730471</v>
      </c>
      <c r="J767" s="1351">
        <f t="shared" ca="1" si="1084"/>
        <v>3.0000275637730471</v>
      </c>
      <c r="K767" s="1351">
        <f t="shared" ca="1" si="1084"/>
        <v>2.0000275637730471</v>
      </c>
      <c r="L767" s="1351">
        <f t="shared" ca="1" si="1084"/>
        <v>1.0000275637730471</v>
      </c>
      <c r="M767" s="1351">
        <f t="shared" ca="1" si="1084"/>
        <v>2.7563773047134532E-5</v>
      </c>
      <c r="N767" s="1351">
        <f t="shared" ca="1" si="1084"/>
        <v>0</v>
      </c>
      <c r="O767" s="1351">
        <f t="shared" ca="1" si="1084"/>
        <v>0</v>
      </c>
      <c r="P767" s="1351">
        <f t="shared" ca="1" si="1084"/>
        <v>0</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2010-11</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2011-12</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2012-13</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2013-14</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2014-15</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2015-16</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2016-17</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2017-18</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2018-19</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2019-20</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2020-21</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2021-22</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2022-23</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2023-24</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2024-25</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2025-26</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2026-27</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2027-28</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2028-29</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2029-30</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2010-11</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2011-12</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2012-13</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2013-14</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2014-15</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2015-16</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2016-17</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2017-18</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2018-19</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2019-20</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2020-21</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2021-22</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2022-23</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2023-24</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2024-25</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2025-26</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2026-27</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2027-28</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2028-29</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2029-30</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2010-11</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2011-12</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2012-13</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2013-14</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2014-15</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2015-16</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2016-17</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2017-18</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2018-19</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2019-20</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2020-21</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2021-22</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2022-23</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2023-24</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2024-25</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2025-26</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2026-27</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2027-28</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2028-29</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2029-30</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2010-11</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2011-12</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2012-13</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2013-14</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2014-15</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2015-16</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2016-17</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2017-18</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2018-19</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2019-20</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2020-21</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2021-22</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2022-23</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2023-24</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2024-25</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2025-26</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2026-27</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2027-28</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2028-29</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2029-30</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2010-11</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2011-12</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2012-13</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2013-14</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2014-15</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2015-16</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2016-17</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2017-18</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2018-19</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2019-20</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2020-21</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2021-22</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2022-23</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2023-24</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2024-25</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2025-26</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2026-27</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2027-28</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2028-29</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2029-30</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2010-11</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2011-12</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2012-13</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2013-14</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2014-15</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2015-16</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2016-17</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2017-18</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2018-19</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2019-20</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2020-21</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2021-22</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2022-23</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2023-24</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2024-25</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2025-26</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2026-27</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2027-28</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2028-29</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2029-30</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2010-11</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2011-12</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2012-13</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2013-14</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2014-15</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2015-16</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2016-17</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2017-18</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2018-19</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2019-20</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2020-21</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2021-22</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2022-23</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2023-24</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2024-25</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2025-26</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2026-27</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2027-28</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2028-29</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2029-30</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2010-11</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2011-12</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2012-13</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2013-14</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2014-15</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2015-16</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2016-17</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2017-18</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2018-19</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2019-20</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2020-21</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2021-22</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2022-23</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2023-24</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2024-25</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2025-26</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2026-27</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2027-28</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2028-29</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2029-30</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2010-11</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2011-12</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2012-13</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2013-14</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2014-15</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2015-16</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2016-17</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2017-18</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2018-19</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2019-20</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2020-21</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2021-22</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2022-23</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2023-24</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2024-25</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2025-26</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2026-27</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2027-28</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2028-29</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2029-30</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2010-11</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2011-12</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2012-13</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2013-14</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2014-15</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2015-16</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2016-17</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2017-18</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2018-19</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2019-20</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2020-21</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2021-22</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2022-23</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2023-24</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2024-25</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2025-26</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2026-27</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2027-28</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2028-29</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2029-30</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2010-11</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2011-12</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2012-13</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2013-14</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2014-15</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2015-16</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2016-17</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2017-18</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2018-19</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2019-20</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2020-21</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2021-22</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2022-23</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2023-24</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2024-25</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2025-26</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2026-27</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2027-28</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2028-29</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2029-30</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2010-11</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2011-12</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2012-13</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2013-14</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2014-15</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2015-16</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2016-17</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2017-18</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2018-19</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2019-20</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2020-21</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2021-22</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2022-23</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2023-24</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2024-25</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2025-26</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2026-27</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2027-28</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2028-29</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2029-30</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2010-11</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2011-12</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2012-13</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2013-14</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2014-15</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2015-16</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2016-17</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2017-18</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2018-19</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2019-20</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2020-21</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2021-22</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2022-23</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2023-24</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2024-25</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2025-26</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2026-27</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2027-28</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2028-29</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2029-30</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2010-11</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2011-12</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2012-13</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2013-14</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2014-15</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2015-16</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2016-17</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2017-18</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2018-19</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2019-20</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2020-21</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2021-22</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2022-23</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2023-24</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2024-25</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2025-26</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2026-27</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2027-28</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2028-29</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2029-30</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2010-11</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2011-12</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2012-13</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2013-14</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2014-15</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2015-16</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2016-17</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2017-18</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2018-19</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2019-20</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2020-21</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2021-22</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2022-23</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2023-24</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2024-25</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2025-26</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2026-27</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2027-28</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2028-29</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2029-30</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2010-11</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2011-12</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2012-13</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2013-14</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2014-15</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2015-16</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2016-17</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2017-18</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2018-19</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2019-20</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2020-21</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2021-22</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2022-23</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2023-24</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2024-25</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2025-26</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2026-27</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2027-28</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2028-29</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2029-30</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2010-11</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2011-12</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2012-13</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2013-14</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2014-15</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2015-16</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2016-17</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2017-18</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2018-19</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2019-20</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2020-21</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2021-22</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2022-23</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2023-24</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2024-25</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2025-26</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2026-27</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2027-28</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2028-29</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2029-30</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2010-11</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2011-12</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2012-13</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2013-14</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2014-15</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2015-16</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2016-17</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2017-18</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2018-19</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2019-20</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2020-21</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2021-22</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2022-23</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2023-24</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2024-25</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2025-26</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2026-27</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2027-28</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2028-29</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2029-30</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2010-11</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2011-12</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2012-13</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2013-14</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2014-15</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2015-16</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2016-17</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2017-18</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2018-19</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2019-20</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2020-21</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2021-22</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2022-23</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2023-24</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2024-25</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2025-26</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2026-27</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2027-28</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2028-29</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2029-30</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2010-11</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2011-12</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2012-13</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2013-14</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2014-15</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2015-16</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2016-17</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2017-18</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2018-19</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2019-20</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2020-21</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2021-22</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2022-23</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2023-24</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2024-25</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2025-26</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2026-27</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2027-28</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2028-29</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2029-30</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2010-11</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2011-12</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2012-13</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2013-14</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2014-15</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2015-16</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2016-17</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2017-18</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2018-19</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2019-20</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2020-21</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2021-22</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2022-23</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2023-24</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2024-25</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2025-26</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2026-27</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2027-28</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2028-29</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2029-30</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2010-11</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2011-12</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2012-13</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2013-14</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2014-15</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2015-16</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2016-17</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2017-18</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2018-19</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2019-20</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2020-21</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2021-22</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2022-23</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2023-24</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2024-25</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2025-26</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2026-27</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2027-28</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2028-29</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2029-30</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2010-11</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2011-12</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2012-13</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2013-14</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2014-15</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2015-16</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2016-17</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2017-18</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2018-19</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2019-20</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2020-21</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2021-22</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2022-23</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2023-24</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2024-25</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2025-26</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2026-27</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2027-28</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2028-29</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2029-30</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2010-11</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2011-12</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2012-13</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2013-14</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2014-15</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2015-16</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2016-17</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2017-18</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2018-19</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2019-20</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2020-21</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2021-22</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2022-23</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2023-24</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2024-25</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2025-26</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2026-27</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2027-28</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2028-29</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2029-30</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2010-11</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2011-12</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2012-13</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2013-14</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2014-15</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2015-16</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2016-17</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2017-18</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2018-19</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2019-20</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2020-21</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2021-22</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2022-23</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2023-24</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2024-25</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2025-26</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2026-27</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2027-28</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2028-29</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2029-30</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2010-11</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2011-12</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2012-13</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2013-14</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2014-15</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2015-16</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2016-17</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2017-18</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2018-19</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2019-20</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2020-21</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2021-22</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2022-23</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2023-24</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2024-25</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2025-26</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2026-27</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2027-28</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2028-29</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2029-30</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2010-11</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2011-12</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2012-13</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2013-14</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2014-15</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2015-16</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2016-17</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2017-18</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2018-19</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2019-20</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2020-21</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2021-22</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2022-23</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2023-24</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2024-25</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2025-26</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2026-27</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2027-28</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2028-29</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2029-30</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2010-11</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2011-12</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2012-13</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2013-14</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2014-15</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2015-16</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2016-17</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2017-18</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2018-19</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2019-20</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2020-21</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2021-22</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2022-23</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2023-24</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2024-25</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2025-26</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2026-27</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2027-28</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2028-29</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2029-30</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2010-11</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2011-12</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2012-13</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2013-14</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2014-15</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2015-16</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2016-17</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2017-18</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2018-19</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2019-20</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2020-21</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2021-22</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2022-23</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2023-24</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2024-25</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2025-26</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2026-27</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2027-28</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2028-29</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2029-30</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2010-11</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2011-12</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2012-13</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2013-14</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2014-15</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2015-16</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2016-17</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2017-18</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2018-19</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2019-20</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2020-21</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2021-22</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2022-23</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2023-24</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2024-25</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2025-26</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2026-27</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2027-28</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2028-29</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2029-30</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2010-11</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2011-12</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2012-13</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2013-14</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2014-15</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2015-16</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2016-17</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2017-18</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2018-19</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2019-20</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2020-21</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2021-22</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2022-23</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2023-24</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2024-25</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2025-26</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2026-27</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2027-28</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2028-29</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2029-30</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2010-11</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2011-12</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2012-13</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2013-14</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2014-15</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2015-16</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2016-17</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2017-18</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2018-19</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2019-20</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2020-21</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2021-22</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2022-23</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2023-24</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2024-25</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2025-26</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2026-27</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2027-28</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2028-29</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2029-30</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2010-11</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2011-12</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2012-13</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2013-14</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2014-15</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2015-16</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2016-17</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2017-18</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2018-19</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2019-20</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2020-21</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2021-22</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2022-23</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2023-24</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2024-25</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2025-26</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2026-27</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2027-28</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2028-29</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2029-30</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2010-11</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2011-12</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2012-13</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2013-14</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2014-15</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2015-16</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2016-17</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2017-18</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2018-19</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2019-20</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2020-21</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2021-22</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2022-23</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2023-24</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2024-25</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2025-26</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2026-27</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2027-28</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2028-29</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2029-30</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2010-11</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2011-12</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2012-13</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2013-14</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2014-15</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2015-16</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2016-17</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2017-18</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2018-19</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2019-20</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2020-21</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2021-22</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2022-23</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2023-24</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2024-25</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2025-26</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2026-27</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2027-28</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2028-29</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2029-30</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2010-11</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2011-12</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2012-13</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2013-14</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2014-15</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2015-16</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2016-17</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2017-18</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2018-19</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2019-20</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2020-21</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2021-22</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2022-23</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2023-24</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2024-25</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2025-26</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2026-27</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2027-28</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2028-29</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2029-30</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2010-11</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2011-12</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2012-13</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2013-14</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2014-15</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2015-16</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2016-17</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2017-18</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2018-19</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2019-20</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2020-21</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2021-22</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2022-23</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2023-24</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2024-25</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2025-26</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2026-27</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2027-28</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2028-29</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2029-30</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2010-11</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2011-12</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2012-13</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2013-14</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2014-15</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2015-16</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2016-17</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2017-18</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2018-19</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2019-20</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2020-21</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2021-22</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2022-23</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2023-24</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2024-25</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2025-26</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2026-27</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2027-28</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2028-29</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2029-30</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2010-11</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2011-12</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2012-13</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2013-14</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2014-15</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2015-16</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2016-17</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2017-18</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2018-19</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2019-20</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2020-21</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2021-22</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2022-23</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2023-24</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2024-25</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2025-26</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2026-27</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2027-28</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2028-29</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2029-30</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2010-11</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2011-12</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2012-13</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2013-14</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2014-15</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2015-16</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2016-17</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2017-18</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2018-19</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2019-20</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2020-21</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2021-22</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2022-23</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2023-24</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2024-25</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2025-26</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2026-27</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2027-28</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2028-29</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2029-30</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2010-11</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2011-12</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2012-13</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2013-14</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2014-15</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2015-16</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2016-17</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2017-18</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2018-19</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2019-20</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2020-21</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2021-22</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2022-23</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2023-24</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2024-25</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2025-26</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2026-27</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2027-28</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2028-29</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2029-30</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2010-11</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2011-12</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2012-13</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2013-14</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2014-15</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2015-16</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2016-17</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2017-18</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2018-19</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2019-20</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2020-21</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2021-22</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2022-23</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2023-24</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2024-25</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2025-26</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2026-27</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2027-28</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2028-29</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2029-30</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2010-11</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2011-12</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2012-13</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2013-14</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2014-15</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2015-16</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2016-17</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2017-18</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2018-19</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2019-20</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2020-21</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2021-22</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2022-23</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2023-24</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2024-25</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2025-26</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2026-27</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2027-28</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2028-29</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2029-30</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2010-11</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2011-12</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2012-13</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2013-14</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2014-15</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2015-16</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2016-17</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2017-18</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2018-19</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2019-20</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2020-21</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2021-22</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2022-23</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2023-24</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2024-25</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2025-26</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2026-27</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2027-28</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2028-29</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2029-30</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2010-11</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2011-12</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2012-13</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2013-14</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2014-15</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2015-16</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2016-17</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2017-18</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2018-19</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2019-20</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2020-21</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2021-22</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2022-23</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2023-24</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2024-25</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2025-26</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2026-27</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2027-28</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2028-29</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2029-30</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2010-11</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2011-12</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2012-13</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2013-14</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2014-15</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2015-16</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2016-17</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2017-18</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2018-19</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2019-20</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2020-21</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2021-22</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2022-23</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2023-24</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2024-25</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2025-26</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2026-27</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2027-28</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2028-29</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2029-30</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2010-11</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2011-12</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2012-13</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2013-14</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2014-15</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2015-16</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2016-17</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2017-18</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2018-19</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2019-20</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2020-21</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2021-22</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2022-23</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2023-24</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2024-25</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2025-26</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2026-27</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2027-28</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2028-29</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2029-30</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2010-11</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2011-12</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2012-13</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2013-14</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2014-15</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2015-16</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2016-17</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2017-18</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2018-19</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2019-20</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2020-21</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2021-22</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2022-23</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2023-24</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2024-25</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2025-26</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2026-27</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2027-28</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2028-29</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2029-30</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2010-11</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2011-12</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2012-13</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2013-14</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2014-15</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2015-16</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2016-17</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2017-18</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2018-19</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2019-20</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2020-21</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2021-22</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2022-23</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2023-24</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2024-25</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2025-26</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2026-27</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2027-28</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2028-29</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2029-30</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2010-11</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2011-12</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2012-13</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2013-14</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2014-15</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2015-16</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2016-17</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2017-18</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2018-19</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2019-20</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2020-21</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2021-22</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2022-23</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2023-24</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2024-25</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2025-26</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2026-27</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2027-28</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2028-29</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2029-30</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2010-11</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2011-12</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2012-13</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2013-14</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2014-15</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2015-16</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2016-17</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2017-18</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2018-19</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2019-20</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2020-21</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2021-22</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2022-23</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2023-24</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2024-25</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2025-26</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2026-27</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2027-28</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2028-29</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2029-30</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2010-11</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2011-12</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2012-13</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2013-14</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2014-15</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2015-16</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2016-17</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2017-18</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2018-19</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2019-20</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2020-21</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2021-22</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2022-23</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2023-24</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2024-25</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2025-26</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2026-27</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2027-28</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2028-29</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2029-30</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2010-11</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2011-12</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2012-13</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2013-14</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2014-15</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2015-16</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2016-17</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2017-18</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2018-19</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2019-20</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2020-21</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2021-22</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2022-23</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2023-24</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2024-25</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2025-26</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2026-27</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2027-28</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2028-29</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2029-30</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2010-11</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2011-12</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2012-13</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2013-14</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2014-15</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2015-16</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2016-17</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2017-18</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2018-19</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2019-20</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2020-21</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2021-22</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2022-23</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2023-24</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2024-25</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2025-26</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2026-27</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2027-28</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2028-29</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2029-30</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2010-11</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2011-12</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2012-13</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2013-14</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2014-15</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2015-16</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2016-17</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2017-18</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2018-19</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2019-20</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2020-21</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2021-22</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2022-23</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2023-24</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2024-25</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2025-26</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2026-27</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2027-28</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2028-29</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2029-30</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2010-11</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2011-12</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2012-13</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2013-14</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2014-15</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2015-16</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2016-17</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2017-18</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2018-19</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2019-20</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2020-21</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2021-22</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2022-23</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2023-24</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2024-25</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2025-26</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2026-27</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2027-28</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2028-29</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2029-30</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2010-11</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2011-12</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2012-13</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2013-14</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2014-15</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2015-16</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2016-17</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2017-18</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2018-19</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2019-20</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2020-21</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2021-22</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2022-23</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2023-24</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2024-25</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2025-26</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2026-27</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2027-28</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2028-29</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2029-30</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2010-11</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2011-12</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2012-13</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2013-14</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2014-15</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2015-16</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2016-17</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2017-18</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2018-19</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2019-20</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2020-21</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2021-22</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2022-23</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2023-24</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2024-25</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2025-26</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2026-27</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2027-28</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2028-29</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2029-30</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2010-11</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2011-12</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2012-13</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2013-14</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2014-15</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2015-16</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2016-17</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2017-18</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2018-19</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2019-20</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2020-21</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2021-22</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2022-23</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2023-24</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2024-25</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2025-26</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2026-27</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2027-28</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2028-29</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2029-30</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2010-11</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2011-12</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2012-13</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2013-14</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2014-15</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2015-16</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2016-17</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2017-18</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2018-19</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2019-20</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2020-21</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2021-22</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2022-23</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2023-24</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2024-25</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2025-26</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2026-27</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2027-28</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2028-29</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2029-30</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2010-11</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2011-12</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2012-13</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2013-14</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2014-15</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2015-16</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2016-17</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2017-18</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2018-19</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2019-20</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2020-21</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2021-22</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2022-23</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2023-24</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2024-25</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2025-26</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2026-27</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2027-28</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2028-29</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2029-30</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2010-11</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2011-12</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2012-13</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2013-14</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2014-15</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2015-16</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2016-17</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2017-18</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2018-19</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2019-20</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2020-21</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2021-22</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2022-23</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2023-24</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2024-25</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2025-26</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2026-27</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2027-28</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2028-29</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2029-30</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2010-11</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2011-12</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2012-13</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2013-14</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2014-15</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2015-16</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2016-17</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2017-18</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2018-19</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2019-20</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2020-21</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2021-22</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2022-23</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2023-24</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2024-25</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2025-26</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2026-27</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2027-28</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2028-29</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2029-30</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2010-11</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2011-12</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2012-13</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2013-14</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2014-15</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2015-16</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2016-17</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2017-18</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2018-19</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2019-20</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2020-21</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2021-22</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2022-23</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2023-24</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2024-25</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2025-26</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2026-27</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2027-28</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2028-29</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2029-30</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2010-11</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2011-12</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2012-13</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2013-14</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2014-15</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2015-16</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2016-17</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2017-18</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2018-19</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2019-20</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2020-21</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2021-22</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2022-23</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2023-24</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2024-25</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2025-26</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2026-27</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2027-28</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2028-29</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2029-30</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2010-11</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2011-12</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2012-13</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2013-14</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2014-15</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2015-16</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2016-17</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2017-18</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2018-19</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2019-20</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2020-21</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2021-22</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2022-23</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2023-24</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2024-25</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2025-26</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2026-27</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2027-28</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2028-29</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2029-30</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2010-11</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2011-12</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2012-13</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2013-14</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2014-15</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2015-16</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2016-17</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2017-18</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2018-19</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2019-20</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2020-21</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2021-22</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2022-23</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2023-24</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2024-25</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2025-26</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2026-27</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2027-28</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2028-29</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2029-30</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2010-11</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2011-12</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2012-13</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2013-14</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2014-15</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2015-16</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2016-17</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2017-18</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2018-19</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2019-20</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2020-21</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2021-22</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2022-23</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2023-24</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2024-25</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2025-26</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2026-27</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2027-28</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2028-29</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2029-30</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2010-11</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2011-12</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2012-13</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2013-14</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2014-15</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2015-16</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2016-17</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2017-18</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2018-19</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2019-20</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2020-21</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2021-22</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2022-23</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2023-24</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2024-25</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2025-26</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2026-27</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2027-28</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2028-29</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2029-30</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2010-11</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2011-12</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2012-13</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2013-14</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2014-15</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2015-16</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2016-17</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2017-18</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2018-19</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2019-20</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2020-21</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2021-22</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2022-23</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2023-24</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2024-25</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2025-26</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2026-27</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2027-28</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2028-29</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2029-30</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2010-11</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2011-12</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2012-13</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2013-14</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2014-15</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2015-16</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2016-17</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2017-18</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2018-19</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2019-20</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2020-21</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2021-22</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2022-23</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2023-24</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2024-25</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2025-26</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2026-27</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2027-28</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2028-29</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2029-30</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2010-11</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2011-12</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2012-13</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2013-14</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2014-15</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2015-16</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2016-17</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2017-18</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2018-19</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2019-20</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2020-21</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2021-22</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2022-23</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2023-24</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2024-25</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2025-26</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2026-27</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2027-28</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2028-29</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2029-30</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Central West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2010-11</v>
      </c>
      <c r="E6" s="104" t="str">
        <f>'Capital base remaining lives'!E6</f>
        <v>2011-12</v>
      </c>
      <c r="F6" s="104" t="str">
        <f>'Capital base remaining lives'!F6</f>
        <v>2012-13</v>
      </c>
      <c r="G6" s="104" t="str">
        <f>'Capital base remaining lives'!G6</f>
        <v>2013-14</v>
      </c>
      <c r="H6" s="104" t="str">
        <f>'Capital base remaining lives'!H6</f>
        <v>2014-15</v>
      </c>
      <c r="I6" s="104" t="str">
        <f>'Capital base remaining lives'!I6</f>
        <v>2015-16</v>
      </c>
      <c r="J6" s="104" t="str">
        <f>'Capital base remaining lives'!J6</f>
        <v>2016-17</v>
      </c>
      <c r="K6" s="104" t="str">
        <f>'Capital base remaining lives'!K6</f>
        <v>2017-18</v>
      </c>
      <c r="L6" s="104" t="str">
        <f>'Capital base remaining lives'!L6</f>
        <v>2018-19</v>
      </c>
      <c r="M6" s="104" t="str">
        <f>'Capital base remaining lives'!M6</f>
        <v>2019-20</v>
      </c>
      <c r="N6" s="104" t="str">
        <f>'Capital base remaining lives'!N6</f>
        <v>2020-21</v>
      </c>
      <c r="O6" s="104" t="str">
        <f>'Capital base remaining lives'!O6</f>
        <v>2021-22</v>
      </c>
      <c r="P6" s="104" t="str">
        <f>'Capital base remaining lives'!P6</f>
        <v>2022-23</v>
      </c>
      <c r="Q6" s="104" t="str">
        <f>'Capital base remaining lives'!Q6</f>
        <v>2023-24</v>
      </c>
      <c r="R6" s="104" t="str">
        <f>'Capital base remaining lives'!R6</f>
        <v>2024-25</v>
      </c>
      <c r="S6" s="104" t="str">
        <f>'Capital base remaining lives'!S6</f>
        <v>2025-26</v>
      </c>
      <c r="T6" s="104" t="str">
        <f>'Capital base remaining lives'!T6</f>
        <v>2026-27</v>
      </c>
      <c r="U6" s="104" t="str">
        <f>'Capital base remaining lives'!U6</f>
        <v>2027-28</v>
      </c>
      <c r="V6" s="104" t="str">
        <f>'Capital base remaining lives'!V6</f>
        <v>2028-29</v>
      </c>
      <c r="W6" s="104" t="str">
        <f>'Capital base remaining lives'!W6</f>
        <v>2029-30</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14.566358250000006</v>
      </c>
      <c r="D9" s="1361">
        <f>'Capital base remaining lives'!D14</f>
        <v>0</v>
      </c>
      <c r="E9" s="1361">
        <f>'Capital base remaining lives'!E14</f>
        <v>0</v>
      </c>
      <c r="F9" s="1361">
        <f>'Capital base remaining lives'!F14</f>
        <v>0.33322129</v>
      </c>
      <c r="G9" s="1361">
        <f>'Capital base remaining lives'!G14</f>
        <v>0</v>
      </c>
      <c r="H9" s="1361">
        <f>'Capital base remaining lives'!H14</f>
        <v>0.1326088</v>
      </c>
      <c r="I9" s="1361">
        <f>'Capital base remaining lives'!I14</f>
        <v>0</v>
      </c>
      <c r="J9" s="1361">
        <f>'Capital base remaining lives'!J14</f>
        <v>0</v>
      </c>
      <c r="K9" s="1361">
        <f>'Capital base remaining lives'!K14</f>
        <v>0</v>
      </c>
      <c r="L9" s="1361">
        <f>'Capital base remaining lives'!L14</f>
        <v>0</v>
      </c>
      <c r="M9" s="1361">
        <f>'Capital base remaining lives'!M14</f>
        <v>0</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10.218764786318504</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14.566358250000006</v>
      </c>
      <c r="D14" s="1343">
        <f ca="1">IF(C38="n/a",C14,IFERROR(IF((OFFSET($C14,0,$A14))&lt;0,
MIN(0,C14-(OFFSET($C14,0,$A14)/(OFFSET($C9,-$A13,$A14)))),
MAX(0,C14-(OFFSET($C14,0,$A14)/(OFFSET($C9,-$A13,$A14))))),0))</f>
        <v>13.140906294250684</v>
      </c>
      <c r="E14" s="1343">
        <f t="shared" ref="E14" ca="1" si="5">IF(D38="n/a",D14,IFERROR(IF((OFFSET($C14,0,$A14))&lt;0,
MIN(0,D14-(OFFSET($C14,0,$A14)/(OFFSET($C9,-$A13,$A14)))),
MAX(0,D14-(OFFSET($C14,0,$A14)/(OFFSET($C9,-$A13,$A14))))),0))</f>
        <v>11.715454338501363</v>
      </c>
      <c r="F14" s="1343">
        <f t="shared" ref="F14:F15" ca="1" si="6">IF(E38="n/a",E14,IFERROR(IF((OFFSET($C14,0,$A14))&lt;0,
MIN(0,E14-(OFFSET($C14,0,$A14)/(OFFSET($C9,-$A13,$A14)))),
MAX(0,E14-(OFFSET($C14,0,$A14)/(OFFSET($C9,-$A13,$A14))))),0))</f>
        <v>10.290002382752043</v>
      </c>
      <c r="G14" s="1343">
        <f t="shared" ref="G14:G16" ca="1" si="7">IF(F38="n/a",F14,IFERROR(IF((OFFSET($C14,0,$A14))&lt;0,
MIN(0,F14-(OFFSET($C14,0,$A14)/(OFFSET($C9,-$A13,$A14)))),
MAX(0,F14-(OFFSET($C14,0,$A14)/(OFFSET($C9,-$A13,$A14))))),0))</f>
        <v>8.8645504270027224</v>
      </c>
      <c r="H14" s="1343">
        <f t="shared" ref="H14:H17" ca="1" si="8">IF(G38="n/a",G14,IFERROR(IF((OFFSET($C14,0,$A14))&lt;0,
MIN(0,G14-(OFFSET($C14,0,$A14)/(OFFSET($C9,-$A13,$A14)))),
MAX(0,G14-(OFFSET($C14,0,$A14)/(OFFSET($C9,-$A13,$A14))))),0))</f>
        <v>7.4390984712534012</v>
      </c>
      <c r="I14" s="1343">
        <f t="shared" ref="I14:I18" ca="1" si="9">IF(H38="n/a",H14,IFERROR(IF((OFFSET($C14,0,$A14))&lt;0,
MIN(0,H14-(OFFSET($C14,0,$A14)/(OFFSET($C9,-$A13,$A14)))),
MAX(0,H14-(OFFSET($C14,0,$A14)/(OFFSET($C9,-$A13,$A14))))),0))</f>
        <v>6.0136465155040799</v>
      </c>
      <c r="J14" s="1343">
        <f t="shared" ref="J14:J19" ca="1" si="10">IF(I38="n/a",I14,IFERROR(IF((OFFSET($C14,0,$A14))&lt;0,
MIN(0,I14-(OFFSET($C14,0,$A14)/(OFFSET($C9,-$A13,$A14)))),
MAX(0,I14-(OFFSET($C14,0,$A14)/(OFFSET($C9,-$A13,$A14))))),0))</f>
        <v>4.5881945597547587</v>
      </c>
      <c r="K14" s="1343">
        <f t="shared" ref="K14:K20" ca="1" si="11">IF(J38="n/a",J14,IFERROR(IF((OFFSET($C14,0,$A14))&lt;0,
MIN(0,J14-(OFFSET($C14,0,$A14)/(OFFSET($C9,-$A13,$A14)))),
MAX(0,J14-(OFFSET($C14,0,$A14)/(OFFSET($C9,-$A13,$A14))))),0))</f>
        <v>3.1627426040054374</v>
      </c>
      <c r="L14" s="1343">
        <f t="shared" ref="L14:L21" ca="1" si="12">IF(K38="n/a",K14,IFERROR(IF((OFFSET($C14,0,$A14))&lt;0,
MIN(0,K14-(OFFSET($C14,0,$A14)/(OFFSET($C9,-$A13,$A14)))),
MAX(0,K14-(OFFSET($C14,0,$A14)/(OFFSET($C9,-$A13,$A14))))),0))</f>
        <v>1.7372906482561161</v>
      </c>
      <c r="M14" s="1343">
        <f t="shared" ref="M14:M22" ca="1" si="13">IF(L38="n/a",L14,IFERROR(IF((OFFSET($C14,0,$A14))&lt;0,
MIN(0,L14-(OFFSET($C14,0,$A14)/(OFFSET($C9,-$A13,$A14)))),
MAX(0,L14-(OFFSET($C14,0,$A14)/(OFFSET($C9,-$A13,$A14))))),0))</f>
        <v>0.31183869250679486</v>
      </c>
      <c r="N14" s="1343">
        <f t="shared" ref="N14:N23" ca="1" si="14">IF(M38="n/a",M14,IFERROR(IF((OFFSET($C14,0,$A14))&lt;0,
MIN(0,M14-(OFFSET($C14,0,$A14)/(OFFSET($C9,-$A13,$A14)))),
MAX(0,M14-(OFFSET($C14,0,$A14)/(OFFSET($C9,-$A13,$A14))))),0))</f>
        <v>0</v>
      </c>
      <c r="O14" s="1343">
        <f t="shared" ref="O14:O24" ca="1" si="15">IF(N38="n/a",N14,IFERROR(IF((OFFSET($C14,0,$A14))&lt;0,
MIN(0,N14-(OFFSET($C14,0,$A14)/(OFFSET($C9,-$A13,$A14)))),
MAX(0,N14-(OFFSET($C14,0,$A14)/(OFFSET($C9,-$A13,$A14))))),0))</f>
        <v>0</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2010-11</v>
      </c>
      <c r="C15" s="1344"/>
      <c r="D15" s="1345">
        <f>D9</f>
        <v>0</v>
      </c>
      <c r="E15" s="1343">
        <f ca="1">IF(D39="n/a",D15,IFERROR(IF((OFFSET($C15,0,$A15))&lt;0,
MIN(0,D15-(OFFSET($C15,0,$A15)/(OFFSET($C10,-$A14,$A15)))),
MAX(0,D15-(OFFSET($C15,0,$A15)/(OFFSET($C10,-$A14,$A15))))),0))</f>
        <v>0</v>
      </c>
      <c r="F15" s="1343">
        <f t="shared" ca="1" si="6"/>
        <v>0</v>
      </c>
      <c r="G15" s="1343">
        <f t="shared" ca="1" si="7"/>
        <v>0</v>
      </c>
      <c r="H15" s="1343">
        <f t="shared" ca="1" si="8"/>
        <v>0</v>
      </c>
      <c r="I15" s="1343">
        <f t="shared" ca="1" si="9"/>
        <v>0</v>
      </c>
      <c r="J15" s="1343">
        <f t="shared" ca="1" si="10"/>
        <v>0</v>
      </c>
      <c r="K15" s="1343">
        <f t="shared" ca="1" si="11"/>
        <v>0</v>
      </c>
      <c r="L15" s="1343">
        <f t="shared" ca="1" si="12"/>
        <v>0</v>
      </c>
      <c r="M15" s="1343">
        <f t="shared" ca="1" si="13"/>
        <v>0</v>
      </c>
      <c r="N15" s="1343">
        <f t="shared" ca="1" si="14"/>
        <v>0</v>
      </c>
      <c r="O15" s="1343">
        <f t="shared" ca="1" si="15"/>
        <v>0</v>
      </c>
      <c r="P15" s="1343">
        <f t="shared" ca="1" si="16"/>
        <v>0</v>
      </c>
      <c r="Q15" s="1343">
        <f t="shared" ca="1" si="17"/>
        <v>0</v>
      </c>
      <c r="R15" s="1343">
        <f t="shared" ca="1" si="18"/>
        <v>0</v>
      </c>
      <c r="S15" s="1343">
        <f t="shared" ca="1" si="19"/>
        <v>0</v>
      </c>
      <c r="T15" s="1343">
        <f t="shared" ca="1" si="20"/>
        <v>0</v>
      </c>
      <c r="U15" s="1343">
        <f t="shared" ca="1" si="21"/>
        <v>0</v>
      </c>
      <c r="V15" s="1343">
        <f t="shared" ca="1" si="22"/>
        <v>0</v>
      </c>
      <c r="W15" s="1343">
        <f t="shared" ca="1" si="23"/>
        <v>0</v>
      </c>
      <c r="X15" s="170"/>
      <c r="Y15" s="170"/>
      <c r="Z15" s="170"/>
      <c r="AA15" s="170"/>
      <c r="AB15" s="170"/>
    </row>
    <row r="16" spans="1:28" hidden="1" outlineLevel="1">
      <c r="A16" s="223">
        <v>2</v>
      </c>
      <c r="B16" s="210" t="str">
        <f t="shared" ca="1" si="24"/>
        <v>Depreciated Net Capex 2011-12</v>
      </c>
      <c r="C16" s="1346"/>
      <c r="D16" s="1347"/>
      <c r="E16" s="1345">
        <f>E9</f>
        <v>0</v>
      </c>
      <c r="F16" s="1343">
        <f ca="1">IF(E40="n/a",E16,IFERROR(IF((OFFSET($C16,0,$A16))&lt;0,
MIN(0,E16-(OFFSET($C16,0,$A16)/(OFFSET($C11,-$A15,$A16)))),
MAX(0,E16-(OFFSET($C16,0,$A16)/(OFFSET($C11,-$A15,$A16))))),0))</f>
        <v>0</v>
      </c>
      <c r="G16" s="1343">
        <f t="shared" ca="1" si="7"/>
        <v>0</v>
      </c>
      <c r="H16" s="1343">
        <f t="shared" ca="1" si="8"/>
        <v>0</v>
      </c>
      <c r="I16" s="1343">
        <f t="shared" ca="1" si="9"/>
        <v>0</v>
      </c>
      <c r="J16" s="1343">
        <f t="shared" ca="1" si="10"/>
        <v>0</v>
      </c>
      <c r="K16" s="1343">
        <f t="shared" ca="1" si="11"/>
        <v>0</v>
      </c>
      <c r="L16" s="1343">
        <f t="shared" ca="1" si="12"/>
        <v>0</v>
      </c>
      <c r="M16" s="1343">
        <f t="shared" ca="1" si="13"/>
        <v>0</v>
      </c>
      <c r="N16" s="1343">
        <f t="shared" ca="1" si="14"/>
        <v>0</v>
      </c>
      <c r="O16" s="1343">
        <f t="shared" ca="1" si="15"/>
        <v>0</v>
      </c>
      <c r="P16" s="1343">
        <f t="shared" ca="1" si="16"/>
        <v>0</v>
      </c>
      <c r="Q16" s="1343">
        <f t="shared" ca="1" si="17"/>
        <v>0</v>
      </c>
      <c r="R16" s="1343">
        <f t="shared" ca="1" si="18"/>
        <v>0</v>
      </c>
      <c r="S16" s="1343">
        <f t="shared" ca="1" si="19"/>
        <v>0</v>
      </c>
      <c r="T16" s="1343">
        <f t="shared" ca="1" si="20"/>
        <v>0</v>
      </c>
      <c r="U16" s="1343">
        <f t="shared" ca="1" si="21"/>
        <v>0</v>
      </c>
      <c r="V16" s="1343">
        <f t="shared" ca="1" si="22"/>
        <v>0</v>
      </c>
      <c r="W16" s="1343">
        <f t="shared" ca="1" si="23"/>
        <v>0</v>
      </c>
      <c r="X16" s="226"/>
      <c r="Y16" s="170"/>
      <c r="Z16" s="170"/>
      <c r="AA16" s="170"/>
      <c r="AB16" s="170"/>
    </row>
    <row r="17" spans="1:28" hidden="1" outlineLevel="1">
      <c r="A17" s="223">
        <v>3</v>
      </c>
      <c r="B17" s="210" t="str">
        <f t="shared" ca="1" si="24"/>
        <v>Depreciated Net Capex 2012-13</v>
      </c>
      <c r="C17" s="1346"/>
      <c r="D17" s="1346"/>
      <c r="E17" s="1347"/>
      <c r="F17" s="1348">
        <f>F9</f>
        <v>0.33322129</v>
      </c>
      <c r="G17" s="1343">
        <f ca="1">IF(F41="n/a",F17,IFERROR(IF((OFFSET($C17,0,$A17))&lt;0,
MIN(0,F17-(OFFSET($C17,0,$A17)/(OFFSET($C12,-$A16,$A17)))),
MAX(0,F17-(OFFSET($C17,0,$A17)/(OFFSET($C12,-$A16,$A17))))),0))</f>
        <v>0.31656022550000001</v>
      </c>
      <c r="H17" s="1343">
        <f t="shared" ca="1" si="8"/>
        <v>0.29989916100000003</v>
      </c>
      <c r="I17" s="1343">
        <f t="shared" ca="1" si="9"/>
        <v>0.28323809650000004</v>
      </c>
      <c r="J17" s="1343">
        <f t="shared" ca="1" si="10"/>
        <v>0.26657703200000005</v>
      </c>
      <c r="K17" s="1343">
        <f t="shared" ca="1" si="11"/>
        <v>0.24991596750000006</v>
      </c>
      <c r="L17" s="1343">
        <f t="shared" ca="1" si="12"/>
        <v>0.23325490300000007</v>
      </c>
      <c r="M17" s="1343">
        <f t="shared" ca="1" si="13"/>
        <v>0.21659383850000008</v>
      </c>
      <c r="N17" s="1343">
        <f t="shared" ca="1" si="14"/>
        <v>0.19993277400000009</v>
      </c>
      <c r="O17" s="1343">
        <f t="shared" ca="1" si="15"/>
        <v>0.1832717095000001</v>
      </c>
      <c r="P17" s="1343">
        <f t="shared" ca="1" si="16"/>
        <v>0.16661064500000011</v>
      </c>
      <c r="Q17" s="1343">
        <f t="shared" ca="1" si="17"/>
        <v>0.14994958050000012</v>
      </c>
      <c r="R17" s="1343">
        <f t="shared" ca="1" si="18"/>
        <v>0.13328851600000013</v>
      </c>
      <c r="S17" s="1343">
        <f t="shared" ca="1" si="19"/>
        <v>0.11662745150000013</v>
      </c>
      <c r="T17" s="1343">
        <f t="shared" ca="1" si="20"/>
        <v>9.9966387000000129E-2</v>
      </c>
      <c r="U17" s="1343">
        <f t="shared" ca="1" si="21"/>
        <v>8.3305322500000126E-2</v>
      </c>
      <c r="V17" s="1343">
        <f t="shared" ca="1" si="22"/>
        <v>6.6644258000000123E-2</v>
      </c>
      <c r="W17" s="1343">
        <f t="shared" ca="1" si="23"/>
        <v>4.998319350000012E-2</v>
      </c>
      <c r="X17" s="226"/>
      <c r="Y17" s="226"/>
      <c r="Z17" s="170"/>
      <c r="AA17" s="170"/>
      <c r="AB17" s="170"/>
    </row>
    <row r="18" spans="1:28" hidden="1" outlineLevel="1">
      <c r="A18" s="223">
        <v>4</v>
      </c>
      <c r="B18" s="210" t="str">
        <f t="shared" ca="1" si="24"/>
        <v>Depreciated Net Capex 2013-14</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2014-15</v>
      </c>
      <c r="C19" s="1346"/>
      <c r="D19" s="1346"/>
      <c r="E19" s="1346"/>
      <c r="F19" s="1346"/>
      <c r="G19" s="1347"/>
      <c r="H19" s="1348">
        <f>H9</f>
        <v>0.1326088</v>
      </c>
      <c r="I19" s="1343">
        <f ca="1">IF(H43="n/a",H19,IFERROR(IF((OFFSET($C19,0,$A19))&lt;0,
MIN(0,H19-(OFFSET($C19,0,$A19)/(OFFSET($C14,-$A18,$A19)))),
MAX(0,H19-(OFFSET($C19,0,$A19)/(OFFSET($C14,-$A18,$A19))))),0))</f>
        <v>0.12597836000000001</v>
      </c>
      <c r="J19" s="1343">
        <f t="shared" ca="1" si="10"/>
        <v>0.11934792000000001</v>
      </c>
      <c r="K19" s="1343">
        <f t="shared" ca="1" si="11"/>
        <v>0.11271748000000001</v>
      </c>
      <c r="L19" s="1343">
        <f t="shared" ca="1" si="12"/>
        <v>0.10608704000000001</v>
      </c>
      <c r="M19" s="1343">
        <f t="shared" ca="1" si="13"/>
        <v>9.9456600000000006E-2</v>
      </c>
      <c r="N19" s="1343">
        <f t="shared" ca="1" si="14"/>
        <v>9.2826160000000005E-2</v>
      </c>
      <c r="O19" s="1343">
        <f t="shared" ca="1" si="15"/>
        <v>8.6195720000000003E-2</v>
      </c>
      <c r="P19" s="1343">
        <f t="shared" ca="1" si="16"/>
        <v>7.9565280000000002E-2</v>
      </c>
      <c r="Q19" s="1343">
        <f t="shared" ca="1" si="17"/>
        <v>7.2934840000000001E-2</v>
      </c>
      <c r="R19" s="1343">
        <f t="shared" ca="1" si="18"/>
        <v>6.6304399999999999E-2</v>
      </c>
      <c r="S19" s="1343">
        <f t="shared" ca="1" si="19"/>
        <v>5.9673959999999998E-2</v>
      </c>
      <c r="T19" s="1343">
        <f t="shared" ca="1" si="20"/>
        <v>5.3043519999999997E-2</v>
      </c>
      <c r="U19" s="1343">
        <f t="shared" ca="1" si="21"/>
        <v>4.6413079999999995E-2</v>
      </c>
      <c r="V19" s="1343">
        <f t="shared" ca="1" si="22"/>
        <v>3.9782639999999994E-2</v>
      </c>
      <c r="W19" s="1343">
        <f t="shared" ca="1" si="23"/>
        <v>3.3152199999999993E-2</v>
      </c>
      <c r="X19" s="226"/>
      <c r="Y19" s="226"/>
      <c r="Z19" s="226"/>
      <c r="AA19" s="170"/>
      <c r="AB19" s="170"/>
    </row>
    <row r="20" spans="1:28" hidden="1" outlineLevel="1">
      <c r="A20" s="223">
        <v>6</v>
      </c>
      <c r="B20" s="210" t="str">
        <f t="shared" ca="1" si="24"/>
        <v>Depreciated Net Capex 2015-16</v>
      </c>
      <c r="C20" s="1346"/>
      <c r="D20" s="1346"/>
      <c r="E20" s="1346"/>
      <c r="F20" s="1346"/>
      <c r="G20" s="1346"/>
      <c r="H20" s="1347"/>
      <c r="I20" s="1348">
        <f>I9</f>
        <v>0</v>
      </c>
      <c r="J20" s="1343">
        <f ca="1">IF(I44="n/a",I20,IFERROR(IF((OFFSET($C20,0,$A20))&lt;0,
MIN(0,I20-(OFFSET($C20,0,$A20)/(OFFSET($C15,-$A19,$A20)))),
MAX(0,I20-(OFFSET($C20,0,$A20)/(OFFSET($C15,-$A19,$A20))))),0))</f>
        <v>0</v>
      </c>
      <c r="K20" s="1343">
        <f t="shared" ca="1" si="11"/>
        <v>0</v>
      </c>
      <c r="L20" s="1343">
        <f t="shared" ca="1" si="12"/>
        <v>0</v>
      </c>
      <c r="M20" s="1343">
        <f t="shared" ca="1" si="13"/>
        <v>0</v>
      </c>
      <c r="N20" s="1343">
        <f t="shared" ca="1" si="14"/>
        <v>0</v>
      </c>
      <c r="O20" s="1343">
        <f t="shared" ca="1" si="15"/>
        <v>0</v>
      </c>
      <c r="P20" s="1343">
        <f t="shared" ca="1" si="16"/>
        <v>0</v>
      </c>
      <c r="Q20" s="1343">
        <f t="shared" ca="1" si="17"/>
        <v>0</v>
      </c>
      <c r="R20" s="1343">
        <f t="shared" ca="1" si="18"/>
        <v>0</v>
      </c>
      <c r="S20" s="1343">
        <f t="shared" ca="1" si="19"/>
        <v>0</v>
      </c>
      <c r="T20" s="1343">
        <f t="shared" ca="1" si="20"/>
        <v>0</v>
      </c>
      <c r="U20" s="1343">
        <f t="shared" ca="1" si="21"/>
        <v>0</v>
      </c>
      <c r="V20" s="1343">
        <f t="shared" ca="1" si="22"/>
        <v>0</v>
      </c>
      <c r="W20" s="1343">
        <f t="shared" ca="1" si="23"/>
        <v>0</v>
      </c>
      <c r="X20" s="226"/>
      <c r="Y20" s="226"/>
      <c r="Z20" s="226"/>
      <c r="AA20" s="170"/>
      <c r="AB20" s="170"/>
    </row>
    <row r="21" spans="1:28" hidden="1" outlineLevel="1">
      <c r="A21" s="223">
        <v>7</v>
      </c>
      <c r="B21" s="210" t="str">
        <f t="shared" ca="1" si="24"/>
        <v>Depreciated Net Capex 2016-17</v>
      </c>
      <c r="C21" s="1346"/>
      <c r="D21" s="1346"/>
      <c r="E21" s="1346"/>
      <c r="F21" s="1346"/>
      <c r="G21" s="1346"/>
      <c r="H21" s="1346"/>
      <c r="I21" s="1347"/>
      <c r="J21" s="1348">
        <f>J9</f>
        <v>0</v>
      </c>
      <c r="K21" s="1343">
        <f ca="1">IF(J45="n/a",J21,IFERROR(IF((OFFSET($C21,0,$A21))&lt;0,
MIN(0,J21-(OFFSET($C21,0,$A21)/(OFFSET($C16,-$A20,$A21)))),
MAX(0,J21-(OFFSET($C21,0,$A21)/(OFFSET($C16,-$A20,$A21))))),0))</f>
        <v>0</v>
      </c>
      <c r="L21" s="1343">
        <f t="shared" ca="1" si="12"/>
        <v>0</v>
      </c>
      <c r="M21" s="1343">
        <f t="shared" ca="1" si="13"/>
        <v>0</v>
      </c>
      <c r="N21" s="1343">
        <f t="shared" ca="1" si="14"/>
        <v>0</v>
      </c>
      <c r="O21" s="1343">
        <f t="shared" ca="1" si="15"/>
        <v>0</v>
      </c>
      <c r="P21" s="1343">
        <f t="shared" ca="1" si="16"/>
        <v>0</v>
      </c>
      <c r="Q21" s="1343">
        <f t="shared" ca="1" si="17"/>
        <v>0</v>
      </c>
      <c r="R21" s="1343">
        <f t="shared" ca="1" si="18"/>
        <v>0</v>
      </c>
      <c r="S21" s="1343">
        <f t="shared" ca="1" si="19"/>
        <v>0</v>
      </c>
      <c r="T21" s="1343">
        <f t="shared" ca="1" si="20"/>
        <v>0</v>
      </c>
      <c r="U21" s="1343">
        <f t="shared" ca="1" si="21"/>
        <v>0</v>
      </c>
      <c r="V21" s="1343">
        <f t="shared" ca="1" si="22"/>
        <v>0</v>
      </c>
      <c r="W21" s="1343">
        <f t="shared" ca="1" si="23"/>
        <v>0</v>
      </c>
      <c r="X21" s="226"/>
      <c r="Y21" s="226"/>
      <c r="Z21" s="226"/>
      <c r="AA21" s="170"/>
      <c r="AB21" s="170"/>
    </row>
    <row r="22" spans="1:28" hidden="1" outlineLevel="1">
      <c r="A22" s="223">
        <v>8</v>
      </c>
      <c r="B22" s="210" t="str">
        <f t="shared" ca="1" si="24"/>
        <v>Depreciated Net Capex 2017-18</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2018-19</v>
      </c>
      <c r="C23" s="1346"/>
      <c r="D23" s="1346"/>
      <c r="E23" s="1346"/>
      <c r="F23" s="1346"/>
      <c r="G23" s="1346"/>
      <c r="H23" s="1346"/>
      <c r="I23" s="1346"/>
      <c r="J23" s="1346"/>
      <c r="K23" s="1347"/>
      <c r="L23" s="1348">
        <f>L9</f>
        <v>0</v>
      </c>
      <c r="M23" s="1343">
        <f ca="1">IF(L47="n/a",L23,IFERROR(IF((OFFSET($C23,0,$A23))&lt;0,
MIN(0,L23-(OFFSET($C23,0,$A23)/(OFFSET($C18,-$A22,$A23)))),
MAX(0,L23-(OFFSET($C23,0,$A23)/(OFFSET($C18,-$A22,$A23))))),0))</f>
        <v>0</v>
      </c>
      <c r="N23" s="1343">
        <f t="shared" ca="1" si="14"/>
        <v>0</v>
      </c>
      <c r="O23" s="1343">
        <f t="shared" ca="1" si="15"/>
        <v>0</v>
      </c>
      <c r="P23" s="1343">
        <f t="shared" ca="1" si="16"/>
        <v>0</v>
      </c>
      <c r="Q23" s="1343">
        <f t="shared" ca="1" si="17"/>
        <v>0</v>
      </c>
      <c r="R23" s="1343">
        <f t="shared" ca="1" si="18"/>
        <v>0</v>
      </c>
      <c r="S23" s="1343">
        <f t="shared" ca="1" si="19"/>
        <v>0</v>
      </c>
      <c r="T23" s="1343">
        <f t="shared" ca="1" si="20"/>
        <v>0</v>
      </c>
      <c r="U23" s="1343">
        <f t="shared" ca="1" si="21"/>
        <v>0</v>
      </c>
      <c r="V23" s="1343">
        <f t="shared" ca="1" si="22"/>
        <v>0</v>
      </c>
      <c r="W23" s="1343">
        <f t="shared" ca="1" si="23"/>
        <v>0</v>
      </c>
      <c r="X23" s="226"/>
      <c r="Y23" s="226"/>
      <c r="Z23" s="226"/>
      <c r="AA23" s="170"/>
      <c r="AB23" s="170"/>
    </row>
    <row r="24" spans="1:28" hidden="1" outlineLevel="1">
      <c r="A24" s="223">
        <v>10</v>
      </c>
      <c r="B24" s="210" t="str">
        <f t="shared" ca="1" si="24"/>
        <v>Depreciated Net Capex 2019-20</v>
      </c>
      <c r="C24" s="1346"/>
      <c r="D24" s="1346"/>
      <c r="E24" s="1346"/>
      <c r="F24" s="1346"/>
      <c r="G24" s="1346"/>
      <c r="H24" s="1346"/>
      <c r="I24" s="1346"/>
      <c r="J24" s="1346"/>
      <c r="K24" s="1346"/>
      <c r="L24" s="1347"/>
      <c r="M24" s="1348">
        <f>M9</f>
        <v>0</v>
      </c>
      <c r="N24" s="1343">
        <f ca="1">IF(M48="n/a",M24,IFERROR(IF((OFFSET($C24,0,$A24))&lt;0,
MIN(0,M24-(OFFSET($C24,0,$A24)/(OFFSET($C19,-$A23,$A24)))),
MAX(0,M24-(OFFSET($C24,0,$A24)/(OFFSET($C19,-$A23,$A24))))),0))</f>
        <v>0</v>
      </c>
      <c r="O24" s="1343">
        <f t="shared" ca="1" si="15"/>
        <v>0</v>
      </c>
      <c r="P24" s="1343">
        <f t="shared" ca="1" si="16"/>
        <v>0</v>
      </c>
      <c r="Q24" s="1343">
        <f t="shared" ca="1" si="17"/>
        <v>0</v>
      </c>
      <c r="R24" s="1343">
        <f t="shared" ca="1" si="18"/>
        <v>0</v>
      </c>
      <c r="S24" s="1343">
        <f t="shared" ca="1" si="19"/>
        <v>0</v>
      </c>
      <c r="T24" s="1343">
        <f t="shared" ca="1" si="20"/>
        <v>0</v>
      </c>
      <c r="U24" s="1343">
        <f t="shared" ca="1" si="21"/>
        <v>0</v>
      </c>
      <c r="V24" s="1343">
        <f t="shared" ca="1" si="22"/>
        <v>0</v>
      </c>
      <c r="W24" s="1343">
        <f t="shared" ca="1" si="23"/>
        <v>0</v>
      </c>
      <c r="X24" s="226"/>
      <c r="Y24" s="226"/>
      <c r="Z24" s="226"/>
      <c r="AA24" s="170"/>
      <c r="AB24" s="170"/>
    </row>
    <row r="25" spans="1:28" hidden="1" outlineLevel="1">
      <c r="A25" s="223">
        <v>11</v>
      </c>
      <c r="B25" s="210" t="str">
        <f t="shared" ca="1" si="24"/>
        <v>Depreciated Net Capex 2020-21</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2021-22</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2022-23</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2023-24</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2024-25</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2025-26</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2026-27</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2027-28</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2028-29</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2029-30</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10.218764786318504</v>
      </c>
      <c r="D38" s="1343">
        <f t="shared" ref="D38:W53" ca="1" si="27">IF(C38="n/a","n/a",MAX(0,C38-1))</f>
        <v>9.2187647863185038</v>
      </c>
      <c r="E38" s="1343">
        <f t="shared" ca="1" si="27"/>
        <v>8.2187647863185038</v>
      </c>
      <c r="F38" s="1343">
        <f t="shared" ca="1" si="27"/>
        <v>7.2187647863185038</v>
      </c>
      <c r="G38" s="1343">
        <f t="shared" ca="1" si="27"/>
        <v>6.2187647863185038</v>
      </c>
      <c r="H38" s="1343">
        <f t="shared" ca="1" si="27"/>
        <v>5.2187647863185038</v>
      </c>
      <c r="I38" s="1343">
        <f t="shared" ca="1" si="27"/>
        <v>4.2187647863185038</v>
      </c>
      <c r="J38" s="1343">
        <f t="shared" ca="1" si="27"/>
        <v>3.2187647863185038</v>
      </c>
      <c r="K38" s="1343">
        <f t="shared" ca="1" si="27"/>
        <v>2.2187647863185038</v>
      </c>
      <c r="L38" s="1343">
        <f t="shared" ca="1" si="27"/>
        <v>1.2187647863185038</v>
      </c>
      <c r="M38" s="1343">
        <f t="shared" ca="1" si="27"/>
        <v>0.21876478631850382</v>
      </c>
      <c r="N38" s="1343">
        <f t="shared" ca="1" si="27"/>
        <v>0</v>
      </c>
      <c r="O38" s="1343">
        <f t="shared" ca="1" si="27"/>
        <v>0</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2010-11</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2011-12</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2012-13</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2013-14</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2014-15</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2015-16</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2016-17</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2017-18</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2018-19</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2019-20</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2020-21</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2021-22</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2022-23</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2023-24</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2024-25</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2025-26</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2026-27</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2027-28</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2028-29</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2029-30</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10.218764786318504</v>
      </c>
      <c r="D60" s="1351">
        <f ca="1">(IF(OR($C10&lt;&gt;"n/a",D10&lt;&gt;"n/a"),IF(SUM(D13:D35)=0,0,IF((SUMPRODUCT(D13:D35,D37:D59)/SUM(D13:D35))&lt;0,1,(SUMPRODUCT(D13:D35,D37:D59)/SUM(D13:D35)))),"n/a"))</f>
        <v>9.2187647863185038</v>
      </c>
      <c r="E60" s="1351">
        <f t="shared" ref="E60:W60" ca="1" si="30">(IF(OR($C10&lt;&gt;"n/a",E10&lt;&gt;"n/a"),IF(SUM(E13:E35)=0,0,IF((SUMPRODUCT(E13:E35,E37:E59)/SUM(E13:E35))&lt;0,1,(SUMPRODUCT(E13:E35,E37:E59)/SUM(E13:E35)))),"n/a"))</f>
        <v>8.2187647863185038</v>
      </c>
      <c r="F60" s="1351">
        <f t="shared" ca="1" si="30"/>
        <v>7.6196769592044431</v>
      </c>
      <c r="G60" s="1351">
        <f t="shared" ca="1" si="30"/>
        <v>6.659455553977276</v>
      </c>
      <c r="H60" s="1351">
        <f t="shared" ca="1" si="30"/>
        <v>5.9547268330988787</v>
      </c>
      <c r="I60" s="1351">
        <f t="shared" ca="1" si="30"/>
        <v>5.0723169370854961</v>
      </c>
      <c r="J60" s="1351">
        <f t="shared" ca="1" si="30"/>
        <v>4.2584047495562238</v>
      </c>
      <c r="K60" s="1351">
        <f t="shared" ca="1" si="30"/>
        <v>3.5974370975376755</v>
      </c>
      <c r="L60" s="1351">
        <f t="shared" ca="1" si="30"/>
        <v>3.4095149895592529</v>
      </c>
      <c r="M60" s="1351">
        <f t="shared" ca="1" si="30"/>
        <v>6.9690459817574659</v>
      </c>
      <c r="N60" s="1351">
        <f t="shared" ca="1" si="30"/>
        <v>12.634147410852369</v>
      </c>
      <c r="O60" s="1351">
        <f t="shared" ca="1" si="30"/>
        <v>11.639748708479811</v>
      </c>
      <c r="P60" s="1351">
        <f t="shared" ca="1" si="30"/>
        <v>10.646409920060217</v>
      </c>
      <c r="Q60" s="1351">
        <f t="shared" ca="1" si="30"/>
        <v>9.6544633297956342</v>
      </c>
      <c r="R60" s="1351">
        <f t="shared" ca="1" si="30"/>
        <v>8.6643963255689904</v>
      </c>
      <c r="S60" s="1351">
        <f t="shared" ca="1" si="30"/>
        <v>7.6769538541102387</v>
      </c>
      <c r="T60" s="1351">
        <f t="shared" ca="1" si="30"/>
        <v>6.6933344518665709</v>
      </c>
      <c r="U60" s="1351">
        <f t="shared" ca="1" si="30"/>
        <v>5.7155974650551222</v>
      </c>
      <c r="V60" s="1351">
        <f t="shared" ca="1" si="30"/>
        <v>4.7476049898588597</v>
      </c>
      <c r="W60" s="1351">
        <f t="shared" ca="1" si="30"/>
        <v>3.7975471963093543</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0</v>
      </c>
      <c r="D63" s="1361">
        <f>'Capital base remaining lives'!D68</f>
        <v>0</v>
      </c>
      <c r="E63" s="1361">
        <f>'Capital base remaining lives'!E68</f>
        <v>0</v>
      </c>
      <c r="F63" s="1361">
        <f>'Capital base remaining lives'!F68</f>
        <v>0</v>
      </c>
      <c r="G63" s="1361">
        <f>'Capital base remaining lives'!G68</f>
        <v>0</v>
      </c>
      <c r="H63" s="1361">
        <f>'Capital base remaining lives'!H68</f>
        <v>0</v>
      </c>
      <c r="I63" s="1361">
        <f>'Capital base remaining lives'!I68</f>
        <v>0</v>
      </c>
      <c r="J63" s="1361">
        <f>'Capital base remaining lives'!J68</f>
        <v>0</v>
      </c>
      <c r="K63" s="1361">
        <f>'Capital base remaining lives'!K68</f>
        <v>0</v>
      </c>
      <c r="L63" s="1361">
        <f>'Capital base remaining lives'!L68</f>
        <v>0</v>
      </c>
      <c r="M63" s="1361">
        <f>'Capital base remaining lives'!M68</f>
        <v>0</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0</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0</v>
      </c>
      <c r="D68" s="1343">
        <f ca="1">IF(C92="n/a",C68,IFERROR(IF((OFFSET($C68,0,$A68))&lt;0,
MIN(0,C68-(OFFSET($C68,0,$A68)/(OFFSET($C63,-$A67,$A68)))),
MAX(0,C68-(OFFSET($C68,0,$A68)/(OFFSET($C63,-$A67,$A68))))),0))</f>
        <v>0</v>
      </c>
      <c r="E68" s="1343">
        <f t="shared" ref="E68" ca="1" si="50">IF(D92="n/a",D68,IFERROR(IF((OFFSET($C68,0,$A68))&lt;0,
MIN(0,D68-(OFFSET($C68,0,$A68)/(OFFSET($C63,-$A67,$A68)))),
MAX(0,D68-(OFFSET($C68,0,$A68)/(OFFSET($C63,-$A67,$A68))))),0))</f>
        <v>0</v>
      </c>
      <c r="F68" s="1343">
        <f t="shared" ref="F68:F69" ca="1" si="51">IF(E92="n/a",E68,IFERROR(IF((OFFSET($C68,0,$A68))&lt;0,
MIN(0,E68-(OFFSET($C68,0,$A68)/(OFFSET($C63,-$A67,$A68)))),
MAX(0,E68-(OFFSET($C68,0,$A68)/(OFFSET($C63,-$A67,$A68))))),0))</f>
        <v>0</v>
      </c>
      <c r="G68" s="1343">
        <f t="shared" ref="G68:G70" ca="1" si="52">IF(F92="n/a",F68,IFERROR(IF((OFFSET($C68,0,$A68))&lt;0,
MIN(0,F68-(OFFSET($C68,0,$A68)/(OFFSET($C63,-$A67,$A68)))),
MAX(0,F68-(OFFSET($C68,0,$A68)/(OFFSET($C63,-$A67,$A68))))),0))</f>
        <v>0</v>
      </c>
      <c r="H68" s="1343">
        <f t="shared" ref="H68:H71" ca="1" si="53">IF(G92="n/a",G68,IFERROR(IF((OFFSET($C68,0,$A68))&lt;0,
MIN(0,G68-(OFFSET($C68,0,$A68)/(OFFSET($C63,-$A67,$A68)))),
MAX(0,G68-(OFFSET($C68,0,$A68)/(OFFSET($C63,-$A67,$A68))))),0))</f>
        <v>0</v>
      </c>
      <c r="I68" s="1343">
        <f t="shared" ref="I68:I72" ca="1" si="54">IF(H92="n/a",H68,IFERROR(IF((OFFSET($C68,0,$A68))&lt;0,
MIN(0,H68-(OFFSET($C68,0,$A68)/(OFFSET($C63,-$A67,$A68)))),
MAX(0,H68-(OFFSET($C68,0,$A68)/(OFFSET($C63,-$A67,$A68))))),0))</f>
        <v>0</v>
      </c>
      <c r="J68" s="1343">
        <f t="shared" ref="J68:J73" ca="1" si="55">IF(I92="n/a",I68,IFERROR(IF((OFFSET($C68,0,$A68))&lt;0,
MIN(0,I68-(OFFSET($C68,0,$A68)/(OFFSET($C63,-$A67,$A68)))),
MAX(0,I68-(OFFSET($C68,0,$A68)/(OFFSET($C63,-$A67,$A68))))),0))</f>
        <v>0</v>
      </c>
      <c r="K68" s="1343">
        <f t="shared" ref="K68:K74" ca="1" si="56">IF(J92="n/a",J68,IFERROR(IF((OFFSET($C68,0,$A68))&lt;0,
MIN(0,J68-(OFFSET($C68,0,$A68)/(OFFSET($C63,-$A67,$A68)))),
MAX(0,J68-(OFFSET($C68,0,$A68)/(OFFSET($C63,-$A67,$A68))))),0))</f>
        <v>0</v>
      </c>
      <c r="L68" s="1343">
        <f t="shared" ref="L68:L75" ca="1" si="57">IF(K92="n/a",K68,IFERROR(IF((OFFSET($C68,0,$A68))&lt;0,
MIN(0,K68-(OFFSET($C68,0,$A68)/(OFFSET($C63,-$A67,$A68)))),
MAX(0,K68-(OFFSET($C68,0,$A68)/(OFFSET($C63,-$A67,$A68))))),0))</f>
        <v>0</v>
      </c>
      <c r="M68" s="1343">
        <f t="shared" ref="M68:M76" ca="1" si="58">IF(L92="n/a",L68,IFERROR(IF((OFFSET($C68,0,$A68))&lt;0,
MIN(0,L68-(OFFSET($C68,0,$A68)/(OFFSET($C63,-$A67,$A68)))),
MAX(0,L68-(OFFSET($C68,0,$A68)/(OFFSET($C63,-$A67,$A68))))),0))</f>
        <v>0</v>
      </c>
      <c r="N68" s="1343">
        <f t="shared" ref="N68:N77" ca="1" si="59">IF(M92="n/a",M68,IFERROR(IF((OFFSET($C68,0,$A68))&lt;0,
MIN(0,M68-(OFFSET($C68,0,$A68)/(OFFSET($C63,-$A67,$A68)))),
MAX(0,M68-(OFFSET($C68,0,$A68)/(OFFSET($C63,-$A67,$A68))))),0))</f>
        <v>0</v>
      </c>
      <c r="O68" s="1343">
        <f t="shared" ref="O68:O78" ca="1" si="60">IF(N92="n/a",N68,IFERROR(IF((OFFSET($C68,0,$A68))&lt;0,
MIN(0,N68-(OFFSET($C68,0,$A68)/(OFFSET($C63,-$A67,$A68)))),
MAX(0,N68-(OFFSET($C68,0,$A68)/(OFFSET($C63,-$A67,$A68))))),0))</f>
        <v>0</v>
      </c>
      <c r="P68" s="1343">
        <f t="shared" ref="P68:P79" ca="1" si="61">IF(O92="n/a",O68,IFERROR(IF((OFFSET($C68,0,$A68))&lt;0,
MIN(0,O68-(OFFSET($C68,0,$A68)/(OFFSET($C63,-$A67,$A68)))),
MAX(0,O68-(OFFSET($C68,0,$A68)/(OFFSET($C63,-$A67,$A68))))),0))</f>
        <v>0</v>
      </c>
      <c r="Q68" s="1343">
        <f t="shared" ref="Q68:Q80" ca="1" si="62">IF(P92="n/a",P68,IFERROR(IF((OFFSET($C68,0,$A68))&lt;0,
MIN(0,P68-(OFFSET($C68,0,$A68)/(OFFSET($C63,-$A67,$A68)))),
MAX(0,P68-(OFFSET($C68,0,$A68)/(OFFSET($C63,-$A67,$A68))))),0))</f>
        <v>0</v>
      </c>
      <c r="R68" s="1343">
        <f t="shared" ref="R68:R81" ca="1" si="63">IF(Q92="n/a",Q68,IFERROR(IF((OFFSET($C68,0,$A68))&lt;0,
MIN(0,Q68-(OFFSET($C68,0,$A68)/(OFFSET($C63,-$A67,$A68)))),
MAX(0,Q68-(OFFSET($C68,0,$A68)/(OFFSET($C63,-$A67,$A68))))),0))</f>
        <v>0</v>
      </c>
      <c r="S68" s="1343">
        <f t="shared" ref="S68:S82" ca="1" si="64">IF(R92="n/a",R68,IFERROR(IF((OFFSET($C68,0,$A68))&lt;0,
MIN(0,R68-(OFFSET($C68,0,$A68)/(OFFSET($C63,-$A67,$A68)))),
MAX(0,R68-(OFFSET($C68,0,$A68)/(OFFSET($C63,-$A67,$A68))))),0))</f>
        <v>0</v>
      </c>
      <c r="T68" s="1343">
        <f t="shared" ref="T68:T83" ca="1" si="65">IF(S92="n/a",S68,IFERROR(IF((OFFSET($C68,0,$A68))&lt;0,
MIN(0,S68-(OFFSET($C68,0,$A68)/(OFFSET($C63,-$A67,$A68)))),
MAX(0,S68-(OFFSET($C68,0,$A68)/(OFFSET($C63,-$A67,$A68))))),0))</f>
        <v>0</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2010-11</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2011-12</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2012-13</v>
      </c>
      <c r="C71" s="1346"/>
      <c r="D71" s="1346"/>
      <c r="E71" s="1347"/>
      <c r="F71" s="1348">
        <f>F63</f>
        <v>0</v>
      </c>
      <c r="G71" s="1343">
        <f ca="1">IF(F95="n/a",F71,IFERROR(IF((OFFSET($C71,0,$A71))&lt;0,
MIN(0,F71-(OFFSET($C71,0,$A71)/(OFFSET($C66,-$A70,$A71)))),
MAX(0,F71-(OFFSET($C71,0,$A71)/(OFFSET($C66,-$A70,$A71))))),0))</f>
        <v>0</v>
      </c>
      <c r="H71" s="1343">
        <f t="shared" ca="1" si="53"/>
        <v>0</v>
      </c>
      <c r="I71" s="1343">
        <f t="shared" ca="1" si="54"/>
        <v>0</v>
      </c>
      <c r="J71" s="1343">
        <f t="shared" ca="1" si="55"/>
        <v>0</v>
      </c>
      <c r="K71" s="1343">
        <f t="shared" ca="1" si="56"/>
        <v>0</v>
      </c>
      <c r="L71" s="1343">
        <f t="shared" ca="1" si="57"/>
        <v>0</v>
      </c>
      <c r="M71" s="1343">
        <f t="shared" ca="1" si="58"/>
        <v>0</v>
      </c>
      <c r="N71" s="1343">
        <f t="shared" ca="1" si="59"/>
        <v>0</v>
      </c>
      <c r="O71" s="1343">
        <f t="shared" ca="1" si="60"/>
        <v>0</v>
      </c>
      <c r="P71" s="1343">
        <f t="shared" ca="1" si="61"/>
        <v>0</v>
      </c>
      <c r="Q71" s="1343">
        <f t="shared" ca="1" si="62"/>
        <v>0</v>
      </c>
      <c r="R71" s="1343">
        <f t="shared" ca="1" si="63"/>
        <v>0</v>
      </c>
      <c r="S71" s="1343">
        <f t="shared" ca="1" si="64"/>
        <v>0</v>
      </c>
      <c r="T71" s="1343">
        <f t="shared" ca="1" si="65"/>
        <v>0</v>
      </c>
      <c r="U71" s="1343">
        <f t="shared" ca="1" si="66"/>
        <v>0</v>
      </c>
      <c r="V71" s="1343">
        <f t="shared" ca="1" si="67"/>
        <v>0</v>
      </c>
      <c r="W71" s="1343">
        <f t="shared" ca="1" si="68"/>
        <v>0</v>
      </c>
      <c r="X71" s="226"/>
      <c r="Y71" s="226"/>
      <c r="Z71" s="170"/>
      <c r="AA71" s="170"/>
      <c r="AB71" s="170"/>
    </row>
    <row r="72" spans="1:28" ht="12.75" hidden="1" customHeight="1" outlineLevel="1">
      <c r="A72" s="223">
        <v>4</v>
      </c>
      <c r="B72" s="210" t="str">
        <f t="shared" ca="1" si="69"/>
        <v>Depreciated Net Capex 2013-14</v>
      </c>
      <c r="C72" s="1346"/>
      <c r="D72" s="1346"/>
      <c r="E72" s="1346"/>
      <c r="F72" s="1347"/>
      <c r="G72" s="1348">
        <f>G63</f>
        <v>0</v>
      </c>
      <c r="H72" s="1343">
        <f ca="1">IF(G96="n/a",G72,IFERROR(IF((OFFSET($C72,0,$A72))&lt;0,
MIN(0,G72-(OFFSET($C72,0,$A72)/(OFFSET($C67,-$A71,$A72)))),
MAX(0,G72-(OFFSET($C72,0,$A72)/(OFFSET($C67,-$A71,$A72))))),0))</f>
        <v>0</v>
      </c>
      <c r="I72" s="1343">
        <f t="shared" ca="1" si="54"/>
        <v>0</v>
      </c>
      <c r="J72" s="1343">
        <f t="shared" ca="1" si="55"/>
        <v>0</v>
      </c>
      <c r="K72" s="1343">
        <f t="shared" ca="1" si="56"/>
        <v>0</v>
      </c>
      <c r="L72" s="1343">
        <f t="shared" ca="1" si="57"/>
        <v>0</v>
      </c>
      <c r="M72" s="1343">
        <f t="shared" ca="1" si="58"/>
        <v>0</v>
      </c>
      <c r="N72" s="1343">
        <f t="shared" ca="1" si="59"/>
        <v>0</v>
      </c>
      <c r="O72" s="1343">
        <f t="shared" ca="1" si="60"/>
        <v>0</v>
      </c>
      <c r="P72" s="1343">
        <f t="shared" ca="1" si="61"/>
        <v>0</v>
      </c>
      <c r="Q72" s="1343">
        <f t="shared" ca="1" si="62"/>
        <v>0</v>
      </c>
      <c r="R72" s="1343">
        <f t="shared" ca="1" si="63"/>
        <v>0</v>
      </c>
      <c r="S72" s="1343">
        <f t="shared" ca="1" si="64"/>
        <v>0</v>
      </c>
      <c r="T72" s="1343">
        <f t="shared" ca="1" si="65"/>
        <v>0</v>
      </c>
      <c r="U72" s="1343">
        <f t="shared" ca="1" si="66"/>
        <v>0</v>
      </c>
      <c r="V72" s="1343">
        <f t="shared" ca="1" si="67"/>
        <v>0</v>
      </c>
      <c r="W72" s="1343">
        <f t="shared" ca="1" si="68"/>
        <v>0</v>
      </c>
      <c r="X72" s="226"/>
      <c r="Y72" s="226"/>
      <c r="Z72" s="226"/>
      <c r="AA72" s="170"/>
      <c r="AB72" s="170"/>
    </row>
    <row r="73" spans="1:28" ht="12.75" hidden="1" customHeight="1" outlineLevel="1">
      <c r="A73" s="223">
        <v>5</v>
      </c>
      <c r="B73" s="210" t="str">
        <f t="shared" ca="1" si="69"/>
        <v>Depreciated Net Capex 2014-15</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2015-16</v>
      </c>
      <c r="C74" s="1346"/>
      <c r="D74" s="1346"/>
      <c r="E74" s="1346"/>
      <c r="F74" s="1346"/>
      <c r="G74" s="1346"/>
      <c r="H74" s="1347"/>
      <c r="I74" s="1348">
        <f>I63</f>
        <v>0</v>
      </c>
      <c r="J74" s="1343">
        <f ca="1">IF(I98="n/a",I74,IFERROR(IF((OFFSET($C74,0,$A74))&lt;0,
MIN(0,I74-(OFFSET($C74,0,$A74)/(OFFSET($C69,-$A73,$A74)))),
MAX(0,I74-(OFFSET($C74,0,$A74)/(OFFSET($C69,-$A73,$A74))))),0))</f>
        <v>0</v>
      </c>
      <c r="K74" s="1343">
        <f t="shared" ca="1" si="56"/>
        <v>0</v>
      </c>
      <c r="L74" s="1343">
        <f t="shared" ca="1" si="57"/>
        <v>0</v>
      </c>
      <c r="M74" s="1343">
        <f t="shared" ca="1" si="58"/>
        <v>0</v>
      </c>
      <c r="N74" s="1343">
        <f t="shared" ca="1" si="59"/>
        <v>0</v>
      </c>
      <c r="O74" s="1343">
        <f t="shared" ca="1" si="60"/>
        <v>0</v>
      </c>
      <c r="P74" s="1343">
        <f t="shared" ca="1" si="61"/>
        <v>0</v>
      </c>
      <c r="Q74" s="1343">
        <f t="shared" ca="1" si="62"/>
        <v>0</v>
      </c>
      <c r="R74" s="1343">
        <f t="shared" ca="1" si="63"/>
        <v>0</v>
      </c>
      <c r="S74" s="1343">
        <f t="shared" ca="1" si="64"/>
        <v>0</v>
      </c>
      <c r="T74" s="1343">
        <f t="shared" ca="1" si="65"/>
        <v>0</v>
      </c>
      <c r="U74" s="1343">
        <f t="shared" ca="1" si="66"/>
        <v>0</v>
      </c>
      <c r="V74" s="1343">
        <f t="shared" ca="1" si="67"/>
        <v>0</v>
      </c>
      <c r="W74" s="1343">
        <f t="shared" ca="1" si="68"/>
        <v>0</v>
      </c>
      <c r="X74" s="226"/>
      <c r="Y74" s="226"/>
      <c r="Z74" s="226"/>
      <c r="AA74" s="170"/>
      <c r="AB74" s="170"/>
    </row>
    <row r="75" spans="1:28" ht="12.75" hidden="1" customHeight="1" outlineLevel="1">
      <c r="A75" s="223">
        <v>7</v>
      </c>
      <c r="B75" s="210" t="str">
        <f t="shared" ca="1" si="69"/>
        <v>Depreciated Net Capex 2016-17</v>
      </c>
      <c r="C75" s="1346"/>
      <c r="D75" s="1346"/>
      <c r="E75" s="1346"/>
      <c r="F75" s="1346"/>
      <c r="G75" s="1346"/>
      <c r="H75" s="1346"/>
      <c r="I75" s="1347"/>
      <c r="J75" s="1348">
        <f>J63</f>
        <v>0</v>
      </c>
      <c r="K75" s="1343">
        <f ca="1">IF(J99="n/a",J75,IFERROR(IF((OFFSET($C75,0,$A75))&lt;0,
MIN(0,J75-(OFFSET($C75,0,$A75)/(OFFSET($C70,-$A74,$A75)))),
MAX(0,J75-(OFFSET($C75,0,$A75)/(OFFSET($C70,-$A74,$A75))))),0))</f>
        <v>0</v>
      </c>
      <c r="L75" s="1343">
        <f t="shared" ca="1" si="57"/>
        <v>0</v>
      </c>
      <c r="M75" s="1343">
        <f t="shared" ca="1" si="58"/>
        <v>0</v>
      </c>
      <c r="N75" s="1343">
        <f t="shared" ca="1" si="59"/>
        <v>0</v>
      </c>
      <c r="O75" s="1343">
        <f t="shared" ca="1" si="60"/>
        <v>0</v>
      </c>
      <c r="P75" s="1343">
        <f t="shared" ca="1" si="61"/>
        <v>0</v>
      </c>
      <c r="Q75" s="1343">
        <f t="shared" ca="1" si="62"/>
        <v>0</v>
      </c>
      <c r="R75" s="1343">
        <f t="shared" ca="1" si="63"/>
        <v>0</v>
      </c>
      <c r="S75" s="1343">
        <f t="shared" ca="1" si="64"/>
        <v>0</v>
      </c>
      <c r="T75" s="1343">
        <f t="shared" ca="1" si="65"/>
        <v>0</v>
      </c>
      <c r="U75" s="1343">
        <f t="shared" ca="1" si="66"/>
        <v>0</v>
      </c>
      <c r="V75" s="1343">
        <f t="shared" ca="1" si="67"/>
        <v>0</v>
      </c>
      <c r="W75" s="1343">
        <f t="shared" ca="1" si="68"/>
        <v>0</v>
      </c>
      <c r="X75" s="226"/>
      <c r="Y75" s="226"/>
      <c r="Z75" s="226"/>
      <c r="AA75" s="170"/>
      <c r="AB75" s="170"/>
    </row>
    <row r="76" spans="1:28" ht="12.75" hidden="1" customHeight="1" outlineLevel="1">
      <c r="A76" s="223">
        <v>8</v>
      </c>
      <c r="B76" s="210" t="str">
        <f t="shared" ca="1" si="69"/>
        <v>Depreciated Net Capex 2017-18</v>
      </c>
      <c r="C76" s="1346"/>
      <c r="D76" s="1346"/>
      <c r="E76" s="1346"/>
      <c r="F76" s="1346"/>
      <c r="G76" s="1346"/>
      <c r="H76" s="1346"/>
      <c r="I76" s="1346"/>
      <c r="J76" s="1347"/>
      <c r="K76" s="1348">
        <f>K63</f>
        <v>0</v>
      </c>
      <c r="L76" s="1343">
        <f ca="1">IF(K100="n/a",K76,IFERROR(IF((OFFSET($C76,0,$A76))&lt;0,
MIN(0,K76-(OFFSET($C76,0,$A76)/(OFFSET($C71,-$A75,$A76)))),
MAX(0,K76-(OFFSET($C76,0,$A76)/(OFFSET($C71,-$A75,$A76))))),0))</f>
        <v>0</v>
      </c>
      <c r="M76" s="1343">
        <f t="shared" ca="1" si="58"/>
        <v>0</v>
      </c>
      <c r="N76" s="1343">
        <f t="shared" ca="1" si="59"/>
        <v>0</v>
      </c>
      <c r="O76" s="1343">
        <f t="shared" ca="1" si="60"/>
        <v>0</v>
      </c>
      <c r="P76" s="1343">
        <f t="shared" ca="1" si="61"/>
        <v>0</v>
      </c>
      <c r="Q76" s="1343">
        <f t="shared" ca="1" si="62"/>
        <v>0</v>
      </c>
      <c r="R76" s="1343">
        <f t="shared" ca="1" si="63"/>
        <v>0</v>
      </c>
      <c r="S76" s="1343">
        <f t="shared" ca="1" si="64"/>
        <v>0</v>
      </c>
      <c r="T76" s="1343">
        <f t="shared" ca="1" si="65"/>
        <v>0</v>
      </c>
      <c r="U76" s="1343">
        <f t="shared" ca="1" si="66"/>
        <v>0</v>
      </c>
      <c r="V76" s="1343">
        <f t="shared" ca="1" si="67"/>
        <v>0</v>
      </c>
      <c r="W76" s="1343">
        <f t="shared" ca="1" si="68"/>
        <v>0</v>
      </c>
      <c r="X76" s="226"/>
      <c r="Y76" s="226"/>
      <c r="Z76" s="226"/>
      <c r="AA76" s="170"/>
      <c r="AB76" s="170"/>
    </row>
    <row r="77" spans="1:28" ht="12.75" hidden="1" customHeight="1" outlineLevel="1">
      <c r="A77" s="223">
        <v>9</v>
      </c>
      <c r="B77" s="210" t="str">
        <f t="shared" ca="1" si="69"/>
        <v>Depreciated Net Capex 2018-19</v>
      </c>
      <c r="C77" s="1346"/>
      <c r="D77" s="1346"/>
      <c r="E77" s="1346"/>
      <c r="F77" s="1346"/>
      <c r="G77" s="1346"/>
      <c r="H77" s="1346"/>
      <c r="I77" s="1346"/>
      <c r="J77" s="1346"/>
      <c r="K77" s="1347"/>
      <c r="L77" s="1348">
        <f>L63</f>
        <v>0</v>
      </c>
      <c r="M77" s="1343">
        <f ca="1">IF(L101="n/a",L77,IFERROR(IF((OFFSET($C77,0,$A77))&lt;0,
MIN(0,L77-(OFFSET($C77,0,$A77)/(OFFSET($C72,-$A76,$A77)))),
MAX(0,L77-(OFFSET($C77,0,$A77)/(OFFSET($C72,-$A76,$A77))))),0))</f>
        <v>0</v>
      </c>
      <c r="N77" s="1343">
        <f t="shared" ca="1" si="59"/>
        <v>0</v>
      </c>
      <c r="O77" s="1343">
        <f t="shared" ca="1" si="60"/>
        <v>0</v>
      </c>
      <c r="P77" s="1343">
        <f t="shared" ca="1" si="61"/>
        <v>0</v>
      </c>
      <c r="Q77" s="1343">
        <f t="shared" ca="1" si="62"/>
        <v>0</v>
      </c>
      <c r="R77" s="1343">
        <f t="shared" ca="1" si="63"/>
        <v>0</v>
      </c>
      <c r="S77" s="1343">
        <f t="shared" ca="1" si="64"/>
        <v>0</v>
      </c>
      <c r="T77" s="1343">
        <f t="shared" ca="1" si="65"/>
        <v>0</v>
      </c>
      <c r="U77" s="1343">
        <f t="shared" ca="1" si="66"/>
        <v>0</v>
      </c>
      <c r="V77" s="1343">
        <f t="shared" ca="1" si="67"/>
        <v>0</v>
      </c>
      <c r="W77" s="1343">
        <f t="shared" ca="1" si="68"/>
        <v>0</v>
      </c>
      <c r="X77" s="226"/>
      <c r="Y77" s="226"/>
      <c r="Z77" s="226"/>
      <c r="AA77" s="170"/>
      <c r="AB77" s="170"/>
    </row>
    <row r="78" spans="1:28" ht="12.75" hidden="1" customHeight="1" outlineLevel="1">
      <c r="A78" s="223">
        <v>10</v>
      </c>
      <c r="B78" s="210" t="str">
        <f t="shared" ca="1" si="69"/>
        <v>Depreciated Net Capex 2019-20</v>
      </c>
      <c r="C78" s="1346"/>
      <c r="D78" s="1346"/>
      <c r="E78" s="1346"/>
      <c r="F78" s="1346"/>
      <c r="G78" s="1346"/>
      <c r="H78" s="1346"/>
      <c r="I78" s="1346"/>
      <c r="J78" s="1346"/>
      <c r="K78" s="1346"/>
      <c r="L78" s="1347"/>
      <c r="M78" s="1348">
        <f>M63</f>
        <v>0</v>
      </c>
      <c r="N78" s="1343">
        <f ca="1">IF(M102="n/a",M78,IFERROR(IF((OFFSET($C78,0,$A78))&lt;0,
MIN(0,M78-(OFFSET($C78,0,$A78)/(OFFSET($C73,-$A77,$A78)))),
MAX(0,M78-(OFFSET($C78,0,$A78)/(OFFSET($C73,-$A77,$A78))))),0))</f>
        <v>0</v>
      </c>
      <c r="O78" s="1343">
        <f t="shared" ca="1" si="60"/>
        <v>0</v>
      </c>
      <c r="P78" s="1343">
        <f t="shared" ca="1" si="61"/>
        <v>0</v>
      </c>
      <c r="Q78" s="1343">
        <f t="shared" ca="1" si="62"/>
        <v>0</v>
      </c>
      <c r="R78" s="1343">
        <f t="shared" ca="1" si="63"/>
        <v>0</v>
      </c>
      <c r="S78" s="1343">
        <f t="shared" ca="1" si="64"/>
        <v>0</v>
      </c>
      <c r="T78" s="1343">
        <f t="shared" ca="1" si="65"/>
        <v>0</v>
      </c>
      <c r="U78" s="1343">
        <f t="shared" ca="1" si="66"/>
        <v>0</v>
      </c>
      <c r="V78" s="1343">
        <f t="shared" ca="1" si="67"/>
        <v>0</v>
      </c>
      <c r="W78" s="1343">
        <f t="shared" ca="1" si="68"/>
        <v>0</v>
      </c>
      <c r="X78" s="226"/>
      <c r="Y78" s="226"/>
      <c r="Z78" s="226"/>
      <c r="AA78" s="170"/>
      <c r="AB78" s="170"/>
    </row>
    <row r="79" spans="1:28" ht="12.75" hidden="1" customHeight="1" outlineLevel="1">
      <c r="A79" s="223">
        <v>11</v>
      </c>
      <c r="B79" s="210" t="str">
        <f t="shared" ca="1" si="69"/>
        <v>Depreciated Net Capex 2020-21</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2021-22</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2022-23</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2023-24</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2024-25</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2025-26</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2026-27</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2027-28</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2028-29</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2029-30</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0</v>
      </c>
      <c r="D92" s="1343">
        <f t="shared" ref="D92" ca="1" si="88">IF(C92="n/a","n/a",MAX(0,C92-1))</f>
        <v>0</v>
      </c>
      <c r="E92" s="1343">
        <f t="shared" ref="E92:E93" ca="1" si="89">IF(D92="n/a","n/a",MAX(0,D92-1))</f>
        <v>0</v>
      </c>
      <c r="F92" s="1343">
        <f t="shared" ref="F92:F94" ca="1" si="90">IF(E92="n/a","n/a",MAX(0,E92-1))</f>
        <v>0</v>
      </c>
      <c r="G92" s="1343">
        <f t="shared" ref="G92:G95" ca="1" si="91">IF(F92="n/a","n/a",MAX(0,F92-1))</f>
        <v>0</v>
      </c>
      <c r="H92" s="1343">
        <f t="shared" ref="H92:H96" ca="1" si="92">IF(G92="n/a","n/a",MAX(0,G92-1))</f>
        <v>0</v>
      </c>
      <c r="I92" s="1343">
        <f t="shared" ref="I92:I97" ca="1" si="93">IF(H92="n/a","n/a",MAX(0,H92-1))</f>
        <v>0</v>
      </c>
      <c r="J92" s="1343">
        <f t="shared" ref="J92:J98" ca="1" si="94">IF(I92="n/a","n/a",MAX(0,I92-1))</f>
        <v>0</v>
      </c>
      <c r="K92" s="1343">
        <f t="shared" ref="K92:K99" ca="1" si="95">IF(J92="n/a","n/a",MAX(0,J92-1))</f>
        <v>0</v>
      </c>
      <c r="L92" s="1343">
        <f t="shared" ref="L92:L100" ca="1" si="96">IF(K92="n/a","n/a",MAX(0,K92-1))</f>
        <v>0</v>
      </c>
      <c r="M92" s="1343">
        <f t="shared" ref="M92:M101" ca="1" si="97">IF(L92="n/a","n/a",MAX(0,L92-1))</f>
        <v>0</v>
      </c>
      <c r="N92" s="1343">
        <f t="shared" ref="N92:N102" ca="1" si="98">IF(M92="n/a","n/a",MAX(0,M92-1))</f>
        <v>0</v>
      </c>
      <c r="O92" s="1343">
        <f t="shared" ref="O92:O103" ca="1" si="99">IF(N92="n/a","n/a",MAX(0,N92-1))</f>
        <v>0</v>
      </c>
      <c r="P92" s="1343">
        <f t="shared" ref="P92:P104" ca="1" si="100">IF(O92="n/a","n/a",MAX(0,O92-1))</f>
        <v>0</v>
      </c>
      <c r="Q92" s="1343">
        <f t="shared" ref="Q92:Q105" ca="1" si="101">IF(P92="n/a","n/a",MAX(0,P92-1))</f>
        <v>0</v>
      </c>
      <c r="R92" s="1343">
        <f t="shared" ref="R92:R106" ca="1" si="102">IF(Q92="n/a","n/a",MAX(0,Q92-1))</f>
        <v>0</v>
      </c>
      <c r="S92" s="1343">
        <f t="shared" ref="S92:S107" ca="1" si="103">IF(R92="n/a","n/a",MAX(0,R92-1))</f>
        <v>0</v>
      </c>
      <c r="T92" s="1343">
        <f t="shared" ref="T92:T108" ca="1" si="104">IF(S92="n/a","n/a",MAX(0,S92-1))</f>
        <v>0</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2010-11</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2011-12</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2012-13</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2013-14</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2014-15</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2015-16</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2016-17</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2017-18</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2018-19</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2019-20</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2020-21</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2021-22</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2022-23</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2023-24</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2024-25</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2025-26</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2026-27</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2027-28</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2028-29</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2029-30</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0</v>
      </c>
      <c r="D114" s="1351">
        <f ca="1">(IF(OR($C64&lt;&gt;"n/a",D64&lt;&gt;"n/a"),IF(SUM(D67:D89)=0,0,IF((SUMPRODUCT(D67:D89,D91:D113)/SUM(D67:D89))&lt;0,1,(SUMPRODUCT(D67:D89,D91:D113)/SUM(D67:D89)))),"n/a"))</f>
        <v>0</v>
      </c>
      <c r="E114" s="1351">
        <f t="shared" ref="E114:W114" ca="1" si="109">(IF(OR($C64&lt;&gt;"n/a",E64&lt;&gt;"n/a"),IF(SUM(E67:E89)=0,0,IF((SUMPRODUCT(E67:E89,E91:E113)/SUM(E67:E89))&lt;0,1,(SUMPRODUCT(E67:E89,E91:E113)/SUM(E67:E89)))),"n/a"))</f>
        <v>0</v>
      </c>
      <c r="F114" s="1351">
        <f t="shared" ca="1" si="109"/>
        <v>0</v>
      </c>
      <c r="G114" s="1351">
        <f t="shared" ca="1" si="109"/>
        <v>0</v>
      </c>
      <c r="H114" s="1351">
        <f t="shared" ca="1" si="109"/>
        <v>0</v>
      </c>
      <c r="I114" s="1351">
        <f t="shared" ca="1" si="109"/>
        <v>0</v>
      </c>
      <c r="J114" s="1351">
        <f t="shared" ca="1" si="109"/>
        <v>0</v>
      </c>
      <c r="K114" s="1351">
        <f t="shared" ca="1" si="109"/>
        <v>0</v>
      </c>
      <c r="L114" s="1351">
        <f t="shared" ca="1" si="109"/>
        <v>0</v>
      </c>
      <c r="M114" s="1351">
        <f t="shared" ca="1" si="109"/>
        <v>0</v>
      </c>
      <c r="N114" s="1351">
        <f t="shared" ca="1" si="109"/>
        <v>0</v>
      </c>
      <c r="O114" s="1351">
        <f t="shared" ca="1" si="109"/>
        <v>0</v>
      </c>
      <c r="P114" s="1351">
        <f t="shared" ca="1" si="109"/>
        <v>0</v>
      </c>
      <c r="Q114" s="1351">
        <f t="shared" ca="1" si="109"/>
        <v>0</v>
      </c>
      <c r="R114" s="1351">
        <f t="shared" ca="1" si="109"/>
        <v>0</v>
      </c>
      <c r="S114" s="1351">
        <f t="shared" ca="1" si="109"/>
        <v>0</v>
      </c>
      <c r="T114" s="1351">
        <f t="shared" ca="1" si="109"/>
        <v>0</v>
      </c>
      <c r="U114" s="1351">
        <f t="shared" ca="1" si="109"/>
        <v>0</v>
      </c>
      <c r="V114" s="1351">
        <f t="shared" ca="1" si="109"/>
        <v>0</v>
      </c>
      <c r="W114" s="1351">
        <f t="shared" ca="1" si="109"/>
        <v>0</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0</v>
      </c>
      <c r="D117" s="1361">
        <f>'Capital base remaining lives'!D122</f>
        <v>0</v>
      </c>
      <c r="E117" s="1361">
        <f>'Capital base remaining lives'!E122</f>
        <v>0</v>
      </c>
      <c r="F117" s="1361">
        <f>'Capital base remaining lives'!F122</f>
        <v>0</v>
      </c>
      <c r="G117" s="1361">
        <f>'Capital base remaining lives'!G122</f>
        <v>0</v>
      </c>
      <c r="H117" s="1361">
        <f>'Capital base remaining lives'!H122</f>
        <v>0</v>
      </c>
      <c r="I117" s="1361">
        <f>'Capital base remaining lives'!I122</f>
        <v>0</v>
      </c>
      <c r="J117" s="1361">
        <f>'Capital base remaining lives'!J122</f>
        <v>0</v>
      </c>
      <c r="K117" s="1361">
        <f>'Capital base remaining lives'!K122</f>
        <v>0</v>
      </c>
      <c r="L117" s="1361">
        <f>'Capital base remaining lives'!L122</f>
        <v>0</v>
      </c>
      <c r="M117" s="1361">
        <f>'Capital base remaining lives'!M122</f>
        <v>0</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0</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0</v>
      </c>
      <c r="D122" s="1343">
        <f ca="1">IF(C146="n/a",C122,IFERROR(IF((OFFSET($C122,0,$A122))&lt;0,
MIN(0,C122-(OFFSET($C122,0,$A122)/(OFFSET($C117,-$A121,$A122)))),
MAX(0,C122-(OFFSET($C122,0,$A122)/(OFFSET($C117,-$A121,$A122))))),0))</f>
        <v>0</v>
      </c>
      <c r="E122" s="1343">
        <f t="shared" ref="E122:W122" ca="1" si="129">IF(D146="n/a",D122,IFERROR(IF((OFFSET($C122,0,$A122))&lt;0,
MIN(0,D122-(OFFSET($C122,0,$A122)/(OFFSET($C117,-$A121,$A122)))),
MAX(0,D122-(OFFSET($C122,0,$A122)/(OFFSET($C117,-$A121,$A122))))),0))</f>
        <v>0</v>
      </c>
      <c r="F122" s="1343">
        <f t="shared" ca="1" si="129"/>
        <v>0</v>
      </c>
      <c r="G122" s="1343">
        <f t="shared" ca="1" si="129"/>
        <v>0</v>
      </c>
      <c r="H122" s="1343">
        <f t="shared" ca="1" si="129"/>
        <v>0</v>
      </c>
      <c r="I122" s="1343">
        <f t="shared" ca="1" si="129"/>
        <v>0</v>
      </c>
      <c r="J122" s="1343">
        <f t="shared" ca="1" si="129"/>
        <v>0</v>
      </c>
      <c r="K122" s="1343">
        <f t="shared" ca="1" si="129"/>
        <v>0</v>
      </c>
      <c r="L122" s="1343">
        <f t="shared" ca="1" si="129"/>
        <v>0</v>
      </c>
      <c r="M122" s="1343">
        <f t="shared" ca="1" si="129"/>
        <v>0</v>
      </c>
      <c r="N122" s="1343">
        <f t="shared" ca="1" si="129"/>
        <v>0</v>
      </c>
      <c r="O122" s="1343">
        <f t="shared" ca="1" si="129"/>
        <v>0</v>
      </c>
      <c r="P122" s="1343">
        <f t="shared" ca="1" si="129"/>
        <v>0</v>
      </c>
      <c r="Q122" s="1343">
        <f t="shared" ca="1" si="129"/>
        <v>0</v>
      </c>
      <c r="R122" s="1343">
        <f t="shared" ca="1" si="129"/>
        <v>0</v>
      </c>
      <c r="S122" s="1343">
        <f t="shared" ca="1" si="129"/>
        <v>0</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2010-11</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2011-12</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2012-13</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2013-14</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2014-15</v>
      </c>
      <c r="C127" s="1346"/>
      <c r="D127" s="1346"/>
      <c r="E127" s="1346"/>
      <c r="F127" s="1346"/>
      <c r="G127" s="1347"/>
      <c r="H127" s="1348">
        <f>H117</f>
        <v>0</v>
      </c>
      <c r="I127" s="1343">
        <f ca="1">IF(H151="n/a",H127,IFERROR(IF((OFFSET($C127,0,$A127))&lt;0,
MIN(0,H127-(OFFSET($C127,0,$A127)/(OFFSET($C122,-$A126,$A127)))),
MAX(0,H127-(OFFSET($C127,0,$A127)/(OFFSET($C122,-$A126,$A127))))),0))</f>
        <v>0</v>
      </c>
      <c r="J127" s="1343">
        <f t="shared" ca="1" si="135"/>
        <v>0</v>
      </c>
      <c r="K127" s="1343">
        <f t="shared" ca="1" si="136"/>
        <v>0</v>
      </c>
      <c r="L127" s="1343">
        <f t="shared" ca="1" si="137"/>
        <v>0</v>
      </c>
      <c r="M127" s="1343">
        <f t="shared" ca="1" si="138"/>
        <v>0</v>
      </c>
      <c r="N127" s="1343">
        <f t="shared" ca="1" si="139"/>
        <v>0</v>
      </c>
      <c r="O127" s="1343">
        <f t="shared" ca="1" si="140"/>
        <v>0</v>
      </c>
      <c r="P127" s="1343">
        <f t="shared" ca="1" si="141"/>
        <v>0</v>
      </c>
      <c r="Q127" s="1343">
        <f t="shared" ca="1" si="142"/>
        <v>0</v>
      </c>
      <c r="R127" s="1343">
        <f t="shared" ca="1" si="143"/>
        <v>0</v>
      </c>
      <c r="S127" s="1343">
        <f t="shared" ca="1" si="144"/>
        <v>0</v>
      </c>
      <c r="T127" s="1343">
        <f t="shared" ca="1" si="145"/>
        <v>0</v>
      </c>
      <c r="U127" s="1343">
        <f t="shared" ca="1" si="146"/>
        <v>0</v>
      </c>
      <c r="V127" s="1343">
        <f t="shared" ca="1" si="147"/>
        <v>0</v>
      </c>
      <c r="W127" s="1343">
        <f t="shared" ca="1" si="148"/>
        <v>0</v>
      </c>
      <c r="X127" s="226"/>
      <c r="Y127" s="226"/>
      <c r="Z127" s="226"/>
      <c r="AA127" s="170"/>
      <c r="AB127" s="170"/>
    </row>
    <row r="128" spans="1:28" ht="12.75" hidden="1" customHeight="1" outlineLevel="1">
      <c r="A128" s="223">
        <v>6</v>
      </c>
      <c r="B128" s="210" t="str">
        <f t="shared" ca="1" si="130"/>
        <v>Depreciated Net Capex 2015-16</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2016-17</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2017-18</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2018-19</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2019-20</v>
      </c>
      <c r="C132" s="1346"/>
      <c r="D132" s="1346"/>
      <c r="E132" s="1346"/>
      <c r="F132" s="1346"/>
      <c r="G132" s="1346"/>
      <c r="H132" s="1346"/>
      <c r="I132" s="1346"/>
      <c r="J132" s="1346"/>
      <c r="K132" s="1346"/>
      <c r="L132" s="1347"/>
      <c r="M132" s="1348">
        <f>M117</f>
        <v>0</v>
      </c>
      <c r="N132" s="1343">
        <f ca="1">IF(M156="n/a",M132,IFERROR(IF((OFFSET($C132,0,$A132))&lt;0,
MIN(0,M132-(OFFSET($C132,0,$A132)/(OFFSET($C127,-$A131,$A132)))),
MAX(0,M132-(OFFSET($C132,0,$A132)/(OFFSET($C127,-$A131,$A132))))),0))</f>
        <v>0</v>
      </c>
      <c r="O132" s="1343">
        <f t="shared" ca="1" si="140"/>
        <v>0</v>
      </c>
      <c r="P132" s="1343">
        <f t="shared" ca="1" si="141"/>
        <v>0</v>
      </c>
      <c r="Q132" s="1343">
        <f t="shared" ca="1" si="142"/>
        <v>0</v>
      </c>
      <c r="R132" s="1343">
        <f t="shared" ca="1" si="143"/>
        <v>0</v>
      </c>
      <c r="S132" s="1343">
        <f t="shared" ca="1" si="144"/>
        <v>0</v>
      </c>
      <c r="T132" s="1343">
        <f t="shared" ca="1" si="145"/>
        <v>0</v>
      </c>
      <c r="U132" s="1343">
        <f t="shared" ca="1" si="146"/>
        <v>0</v>
      </c>
      <c r="V132" s="1343">
        <f t="shared" ca="1" si="147"/>
        <v>0</v>
      </c>
      <c r="W132" s="1343">
        <f t="shared" ca="1" si="148"/>
        <v>0</v>
      </c>
      <c r="X132" s="226"/>
      <c r="Y132" s="226"/>
      <c r="Z132" s="226"/>
      <c r="AA132" s="170"/>
      <c r="AB132" s="170"/>
    </row>
    <row r="133" spans="1:28" ht="12.75" hidden="1" customHeight="1" outlineLevel="1">
      <c r="A133" s="223">
        <v>11</v>
      </c>
      <c r="B133" s="210" t="str">
        <f t="shared" ca="1" si="130"/>
        <v>Depreciated Net Capex 2020-21</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2021-22</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2022-23</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2023-24</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2024-25</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2025-26</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2026-27</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2027-28</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2028-29</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2029-30</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0</v>
      </c>
      <c r="D146" s="1343">
        <f t="shared" ref="D146" ca="1" si="167">IF(C146="n/a","n/a",MAX(0,C146-1))</f>
        <v>0</v>
      </c>
      <c r="E146" s="1343">
        <f t="shared" ref="E146:E147" ca="1" si="168">IF(D146="n/a","n/a",MAX(0,D146-1))</f>
        <v>0</v>
      </c>
      <c r="F146" s="1343">
        <f t="shared" ref="F146:F148" ca="1" si="169">IF(E146="n/a","n/a",MAX(0,E146-1))</f>
        <v>0</v>
      </c>
      <c r="G146" s="1343">
        <f t="shared" ref="G146:G149" ca="1" si="170">IF(F146="n/a","n/a",MAX(0,F146-1))</f>
        <v>0</v>
      </c>
      <c r="H146" s="1343">
        <f t="shared" ref="H146:H150" ca="1" si="171">IF(G146="n/a","n/a",MAX(0,G146-1))</f>
        <v>0</v>
      </c>
      <c r="I146" s="1343">
        <f t="shared" ref="I146:I151" ca="1" si="172">IF(H146="n/a","n/a",MAX(0,H146-1))</f>
        <v>0</v>
      </c>
      <c r="J146" s="1343">
        <f t="shared" ref="J146:J152" ca="1" si="173">IF(I146="n/a","n/a",MAX(0,I146-1))</f>
        <v>0</v>
      </c>
      <c r="K146" s="1343">
        <f t="shared" ref="K146:K153" ca="1" si="174">IF(J146="n/a","n/a",MAX(0,J146-1))</f>
        <v>0</v>
      </c>
      <c r="L146" s="1343">
        <f t="shared" ref="L146:L154" ca="1" si="175">IF(K146="n/a","n/a",MAX(0,K146-1))</f>
        <v>0</v>
      </c>
      <c r="M146" s="1343">
        <f t="shared" ref="M146:M155" ca="1" si="176">IF(L146="n/a","n/a",MAX(0,L146-1))</f>
        <v>0</v>
      </c>
      <c r="N146" s="1343">
        <f t="shared" ref="N146:N156" ca="1" si="177">IF(M146="n/a","n/a",MAX(0,M146-1))</f>
        <v>0</v>
      </c>
      <c r="O146" s="1343">
        <f t="shared" ref="O146:O157" ca="1" si="178">IF(N146="n/a","n/a",MAX(0,N146-1))</f>
        <v>0</v>
      </c>
      <c r="P146" s="1343">
        <f t="shared" ref="P146:P158" ca="1" si="179">IF(O146="n/a","n/a",MAX(0,O146-1))</f>
        <v>0</v>
      </c>
      <c r="Q146" s="1343">
        <f t="shared" ref="Q146:Q159" ca="1" si="180">IF(P146="n/a","n/a",MAX(0,P146-1))</f>
        <v>0</v>
      </c>
      <c r="R146" s="1343">
        <f t="shared" ref="R146:R160" ca="1" si="181">IF(Q146="n/a","n/a",MAX(0,Q146-1))</f>
        <v>0</v>
      </c>
      <c r="S146" s="1343">
        <f t="shared" ref="S146:S161" ca="1" si="182">IF(R146="n/a","n/a",MAX(0,R146-1))</f>
        <v>0</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2010-11</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2011-12</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2012-13</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2013-14</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2014-15</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2015-16</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2016-17</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2017-18</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2018-19</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2019-20</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2020-21</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2021-22</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2022-23</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2023-24</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2024-25</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2025-26</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2026-27</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2027-28</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2028-29</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2029-30</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0</v>
      </c>
      <c r="D168" s="1351">
        <f ca="1">(IF(OR($C118&lt;&gt;"n/a",D118&lt;&gt;"n/a"),IF(SUM(D121:D143)=0,0,IF((SUMPRODUCT(D121:D143,D145:D167)/SUM(D121:D143))&lt;0,1,(SUMPRODUCT(D121:D143,D145:D167)/SUM(D121:D143)))),"n/a"))</f>
        <v>0</v>
      </c>
      <c r="E168" s="1351">
        <f t="shared" ref="E168:W168" ca="1" si="188">(IF(OR($C118&lt;&gt;"n/a",E118&lt;&gt;"n/a"),IF(SUM(E121:E143)=0,0,IF((SUMPRODUCT(E121:E143,E145:E167)/SUM(E121:E143))&lt;0,1,(SUMPRODUCT(E121:E143,E145:E167)/SUM(E121:E143)))),"n/a"))</f>
        <v>0</v>
      </c>
      <c r="F168" s="1351">
        <f t="shared" ca="1" si="188"/>
        <v>0</v>
      </c>
      <c r="G168" s="1351">
        <f t="shared" ca="1" si="188"/>
        <v>0</v>
      </c>
      <c r="H168" s="1351">
        <f t="shared" ca="1" si="188"/>
        <v>0</v>
      </c>
      <c r="I168" s="1351">
        <f t="shared" ca="1" si="188"/>
        <v>0</v>
      </c>
      <c r="J168" s="1351">
        <f t="shared" ca="1" si="188"/>
        <v>0</v>
      </c>
      <c r="K168" s="1351">
        <f t="shared" ca="1" si="188"/>
        <v>0</v>
      </c>
      <c r="L168" s="1351">
        <f t="shared" ca="1" si="188"/>
        <v>0</v>
      </c>
      <c r="M168" s="1351">
        <f t="shared" ca="1" si="188"/>
        <v>0</v>
      </c>
      <c r="N168" s="1351">
        <f t="shared" ca="1" si="188"/>
        <v>0</v>
      </c>
      <c r="O168" s="1351">
        <f t="shared" ca="1" si="188"/>
        <v>0</v>
      </c>
      <c r="P168" s="1351">
        <f t="shared" ca="1" si="188"/>
        <v>0</v>
      </c>
      <c r="Q168" s="1351">
        <f t="shared" ca="1" si="188"/>
        <v>0</v>
      </c>
      <c r="R168" s="1351">
        <f t="shared" ca="1" si="188"/>
        <v>0</v>
      </c>
      <c r="S168" s="1351">
        <f t="shared" ca="1" si="188"/>
        <v>0</v>
      </c>
      <c r="T168" s="1351">
        <f t="shared" ca="1" si="188"/>
        <v>0</v>
      </c>
      <c r="U168" s="1351">
        <f t="shared" ca="1" si="188"/>
        <v>0</v>
      </c>
      <c r="V168" s="1351">
        <f t="shared" ca="1" si="188"/>
        <v>0</v>
      </c>
      <c r="W168" s="1351">
        <f t="shared" ca="1" si="188"/>
        <v>0</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0.33111504999999997</v>
      </c>
      <c r="D171" s="1361">
        <f>'Capital base remaining lives'!D176</f>
        <v>0</v>
      </c>
      <c r="E171" s="1361">
        <f>'Capital base remaining lives'!E176</f>
        <v>0</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0</v>
      </c>
      <c r="L171" s="1361">
        <f>'Capital base remaining lives'!L176</f>
        <v>0</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16.182645427926033</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0.33111504999999997</v>
      </c>
      <c r="D176" s="1343">
        <f ca="1">IF(C200="n/a",C176,IFERROR(IF((OFFSET($C176,0,$A176))&lt;0,
MIN(0,C176-(OFFSET($C176,0,$A176)/(OFFSET($C171,-$A175,$A176)))),
MAX(0,C176-(OFFSET($C176,0,$A176)/(OFFSET($C171,-$A175,$A176))))),0))</f>
        <v>0.31065393000112745</v>
      </c>
      <c r="E176" s="1343">
        <f t="shared" ref="E176" ca="1" si="208">IF(D200="n/a",D176,IFERROR(IF((OFFSET($C176,0,$A176))&lt;0,
MIN(0,D176-(OFFSET($C176,0,$A176)/(OFFSET($C171,-$A175,$A176)))),
MAX(0,D176-(OFFSET($C176,0,$A176)/(OFFSET($C171,-$A175,$A176))))),0))</f>
        <v>0.29019281000225494</v>
      </c>
      <c r="F176" s="1343">
        <f t="shared" ref="F176:F177" ca="1" si="209">IF(E200="n/a",E176,IFERROR(IF((OFFSET($C176,0,$A176))&lt;0,
MIN(0,E176-(OFFSET($C176,0,$A176)/(OFFSET($C171,-$A175,$A176)))),
MAX(0,E176-(OFFSET($C176,0,$A176)/(OFFSET($C171,-$A175,$A176))))),0))</f>
        <v>0.26973169000338243</v>
      </c>
      <c r="G176" s="1343">
        <f t="shared" ref="G176:G178" ca="1" si="210">IF(F200="n/a",F176,IFERROR(IF((OFFSET($C176,0,$A176))&lt;0,
MIN(0,F176-(OFFSET($C176,0,$A176)/(OFFSET($C171,-$A175,$A176)))),
MAX(0,F176-(OFFSET($C176,0,$A176)/(OFFSET($C171,-$A175,$A176))))),0))</f>
        <v>0.24927057000450992</v>
      </c>
      <c r="H176" s="1343">
        <f t="shared" ref="H176:H179" ca="1" si="211">IF(G200="n/a",G176,IFERROR(IF((OFFSET($C176,0,$A176))&lt;0,
MIN(0,G176-(OFFSET($C176,0,$A176)/(OFFSET($C171,-$A175,$A176)))),
MAX(0,G176-(OFFSET($C176,0,$A176)/(OFFSET($C171,-$A175,$A176))))),0))</f>
        <v>0.2288094500056374</v>
      </c>
      <c r="I176" s="1343">
        <f t="shared" ref="I176:I180" ca="1" si="212">IF(H200="n/a",H176,IFERROR(IF((OFFSET($C176,0,$A176))&lt;0,
MIN(0,H176-(OFFSET($C176,0,$A176)/(OFFSET($C171,-$A175,$A176)))),
MAX(0,H176-(OFFSET($C176,0,$A176)/(OFFSET($C171,-$A175,$A176))))),0))</f>
        <v>0.20834833000676489</v>
      </c>
      <c r="J176" s="1343">
        <f t="shared" ref="J176:J181" ca="1" si="213">IF(I200="n/a",I176,IFERROR(IF((OFFSET($C176,0,$A176))&lt;0,
MIN(0,I176-(OFFSET($C176,0,$A176)/(OFFSET($C171,-$A175,$A176)))),
MAX(0,I176-(OFFSET($C176,0,$A176)/(OFFSET($C171,-$A175,$A176))))),0))</f>
        <v>0.18788721000789238</v>
      </c>
      <c r="K176" s="1343">
        <f t="shared" ref="K176:K182" ca="1" si="214">IF(J200="n/a",J176,IFERROR(IF((OFFSET($C176,0,$A176))&lt;0,
MIN(0,J176-(OFFSET($C176,0,$A176)/(OFFSET($C171,-$A175,$A176)))),
MAX(0,J176-(OFFSET($C176,0,$A176)/(OFFSET($C171,-$A175,$A176))))),0))</f>
        <v>0.16742609000901987</v>
      </c>
      <c r="L176" s="1343">
        <f t="shared" ref="L176:L183" ca="1" si="215">IF(K200="n/a",K176,IFERROR(IF((OFFSET($C176,0,$A176))&lt;0,
MIN(0,K176-(OFFSET($C176,0,$A176)/(OFFSET($C171,-$A175,$A176)))),
MAX(0,K176-(OFFSET($C176,0,$A176)/(OFFSET($C171,-$A175,$A176))))),0))</f>
        <v>0.14696497001014736</v>
      </c>
      <c r="M176" s="1343">
        <f t="shared" ref="M176:M184" ca="1" si="216">IF(L200="n/a",L176,IFERROR(IF((OFFSET($C176,0,$A176))&lt;0,
MIN(0,L176-(OFFSET($C176,0,$A176)/(OFFSET($C171,-$A175,$A176)))),
MAX(0,L176-(OFFSET($C176,0,$A176)/(OFFSET($C171,-$A175,$A176))))),0))</f>
        <v>0.12650385001127484</v>
      </c>
      <c r="N176" s="1343">
        <f t="shared" ref="N176:N185" ca="1" si="217">IF(M200="n/a",M176,IFERROR(IF((OFFSET($C176,0,$A176))&lt;0,
MIN(0,M176-(OFFSET($C176,0,$A176)/(OFFSET($C171,-$A175,$A176)))),
MAX(0,M176-(OFFSET($C176,0,$A176)/(OFFSET($C171,-$A175,$A176))))),0))</f>
        <v>0.10604273001240234</v>
      </c>
      <c r="O176" s="1343">
        <f t="shared" ref="O176:O186" ca="1" si="218">IF(N200="n/a",N176,IFERROR(IF((OFFSET($C176,0,$A176))&lt;0,
MIN(0,N176-(OFFSET($C176,0,$A176)/(OFFSET($C171,-$A175,$A176)))),
MAX(0,N176-(OFFSET($C176,0,$A176)/(OFFSET($C171,-$A175,$A176))))),0))</f>
        <v>8.5581610013529846E-2</v>
      </c>
      <c r="P176" s="1343">
        <f t="shared" ref="P176:P187" ca="1" si="219">IF(O200="n/a",O176,IFERROR(IF((OFFSET($C176,0,$A176))&lt;0,
MIN(0,O176-(OFFSET($C176,0,$A176)/(OFFSET($C171,-$A175,$A176)))),
MAX(0,O176-(OFFSET($C176,0,$A176)/(OFFSET($C171,-$A175,$A176))))),0))</f>
        <v>6.5120490014657348E-2</v>
      </c>
      <c r="Q176" s="1343">
        <f t="shared" ref="Q176:Q188" ca="1" si="220">IF(P200="n/a",P176,IFERROR(IF((OFFSET($C176,0,$A176))&lt;0,
MIN(0,P176-(OFFSET($C176,0,$A176)/(OFFSET($C171,-$A175,$A176)))),
MAX(0,P176-(OFFSET($C176,0,$A176)/(OFFSET($C171,-$A175,$A176))))),0))</f>
        <v>4.4659370015784849E-2</v>
      </c>
      <c r="R176" s="1343">
        <f t="shared" ref="R176:R189" ca="1" si="221">IF(Q200="n/a",Q176,IFERROR(IF((OFFSET($C176,0,$A176))&lt;0,
MIN(0,Q176-(OFFSET($C176,0,$A176)/(OFFSET($C171,-$A175,$A176)))),
MAX(0,Q176-(OFFSET($C176,0,$A176)/(OFFSET($C171,-$A175,$A176))))),0))</f>
        <v>2.4198250016912351E-2</v>
      </c>
      <c r="S176" s="1343">
        <f t="shared" ref="S176:S190" ca="1" si="222">IF(R200="n/a",R176,IFERROR(IF((OFFSET($C176,0,$A176))&lt;0,
MIN(0,R176-(OFFSET($C176,0,$A176)/(OFFSET($C171,-$A175,$A176)))),
MAX(0,R176-(OFFSET($C176,0,$A176)/(OFFSET($C171,-$A175,$A176))))),0))</f>
        <v>3.7371300180398526E-3</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2010-11</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2011-12</v>
      </c>
      <c r="C178" s="1346"/>
      <c r="D178" s="1347"/>
      <c r="E178" s="1345">
        <f>E171</f>
        <v>0</v>
      </c>
      <c r="F178" s="1343">
        <f ca="1">IF(E202="n/a",E178,IFERROR(IF((OFFSET($C178,0,$A178))&lt;0,
MIN(0,E178-(OFFSET($C178,0,$A178)/(OFFSET($C173,-$A177,$A178)))),
MAX(0,E178-(OFFSET($C178,0,$A178)/(OFFSET($C173,-$A177,$A178))))),0))</f>
        <v>0</v>
      </c>
      <c r="G178" s="1343">
        <f t="shared" ca="1" si="210"/>
        <v>0</v>
      </c>
      <c r="H178" s="1343">
        <f t="shared" ca="1" si="211"/>
        <v>0</v>
      </c>
      <c r="I178" s="1343">
        <f t="shared" ca="1" si="212"/>
        <v>0</v>
      </c>
      <c r="J178" s="1343">
        <f t="shared" ca="1" si="213"/>
        <v>0</v>
      </c>
      <c r="K178" s="1343">
        <f t="shared" ca="1" si="214"/>
        <v>0</v>
      </c>
      <c r="L178" s="1343">
        <f t="shared" ca="1" si="215"/>
        <v>0</v>
      </c>
      <c r="M178" s="1343">
        <f t="shared" ca="1" si="216"/>
        <v>0</v>
      </c>
      <c r="N178" s="1343">
        <f t="shared" ca="1" si="217"/>
        <v>0</v>
      </c>
      <c r="O178" s="1343">
        <f t="shared" ca="1" si="218"/>
        <v>0</v>
      </c>
      <c r="P178" s="1343">
        <f t="shared" ca="1" si="219"/>
        <v>0</v>
      </c>
      <c r="Q178" s="1343">
        <f t="shared" ca="1" si="220"/>
        <v>0</v>
      </c>
      <c r="R178" s="1343">
        <f t="shared" ca="1" si="221"/>
        <v>0</v>
      </c>
      <c r="S178" s="1343">
        <f t="shared" ca="1" si="222"/>
        <v>0</v>
      </c>
      <c r="T178" s="1343">
        <f t="shared" ca="1" si="223"/>
        <v>0</v>
      </c>
      <c r="U178" s="1343">
        <f t="shared" ca="1" si="224"/>
        <v>0</v>
      </c>
      <c r="V178" s="1343">
        <f t="shared" ca="1" si="225"/>
        <v>0</v>
      </c>
      <c r="W178" s="1343">
        <f t="shared" ca="1" si="226"/>
        <v>0</v>
      </c>
      <c r="X178" s="226"/>
      <c r="Y178" s="170"/>
      <c r="Z178" s="170"/>
      <c r="AA178" s="170"/>
      <c r="AB178" s="170"/>
    </row>
    <row r="179" spans="1:28" ht="12.75" hidden="1" customHeight="1" outlineLevel="1">
      <c r="A179" s="223">
        <v>3</v>
      </c>
      <c r="B179" s="210" t="str">
        <f t="shared" ca="1" si="227"/>
        <v>Depreciated Net Capex 2012-13</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2013-14</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2014-15</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2015-16</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2016-17</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2017-18</v>
      </c>
      <c r="C184" s="1346"/>
      <c r="D184" s="1346"/>
      <c r="E184" s="1346"/>
      <c r="F184" s="1346"/>
      <c r="G184" s="1346"/>
      <c r="H184" s="1346"/>
      <c r="I184" s="1346"/>
      <c r="J184" s="1347"/>
      <c r="K184" s="1348">
        <f>K171</f>
        <v>0</v>
      </c>
      <c r="L184" s="1343">
        <f ca="1">IF(K208="n/a",K184,IFERROR(IF((OFFSET($C184,0,$A184))&lt;0,
MIN(0,K184-(OFFSET($C184,0,$A184)/(OFFSET($C179,-$A183,$A184)))),
MAX(0,K184-(OFFSET($C184,0,$A184)/(OFFSET($C179,-$A183,$A184))))),0))</f>
        <v>0</v>
      </c>
      <c r="M184" s="1343">
        <f t="shared" ca="1" si="216"/>
        <v>0</v>
      </c>
      <c r="N184" s="1343">
        <f t="shared" ca="1" si="217"/>
        <v>0</v>
      </c>
      <c r="O184" s="1343">
        <f t="shared" ca="1" si="218"/>
        <v>0</v>
      </c>
      <c r="P184" s="1343">
        <f t="shared" ca="1" si="219"/>
        <v>0</v>
      </c>
      <c r="Q184" s="1343">
        <f t="shared" ca="1" si="220"/>
        <v>0</v>
      </c>
      <c r="R184" s="1343">
        <f t="shared" ca="1" si="221"/>
        <v>0</v>
      </c>
      <c r="S184" s="1343">
        <f t="shared" ca="1" si="222"/>
        <v>0</v>
      </c>
      <c r="T184" s="1343">
        <f t="shared" ca="1" si="223"/>
        <v>0</v>
      </c>
      <c r="U184" s="1343">
        <f t="shared" ca="1" si="224"/>
        <v>0</v>
      </c>
      <c r="V184" s="1343">
        <f t="shared" ca="1" si="225"/>
        <v>0</v>
      </c>
      <c r="W184" s="1343">
        <f t="shared" ca="1" si="226"/>
        <v>0</v>
      </c>
      <c r="X184" s="226"/>
      <c r="Y184" s="226"/>
      <c r="Z184" s="226"/>
      <c r="AA184" s="170"/>
      <c r="AB184" s="170"/>
    </row>
    <row r="185" spans="1:28" ht="12.75" hidden="1" customHeight="1" outlineLevel="1">
      <c r="A185" s="223">
        <v>9</v>
      </c>
      <c r="B185" s="210" t="str">
        <f t="shared" ca="1" si="227"/>
        <v>Depreciated Net Capex 2018-19</v>
      </c>
      <c r="C185" s="1346"/>
      <c r="D185" s="1346"/>
      <c r="E185" s="1346"/>
      <c r="F185" s="1346"/>
      <c r="G185" s="1346"/>
      <c r="H185" s="1346"/>
      <c r="I185" s="1346"/>
      <c r="J185" s="1346"/>
      <c r="K185" s="1347"/>
      <c r="L185" s="1348">
        <f>L171</f>
        <v>0</v>
      </c>
      <c r="M185" s="1343">
        <f ca="1">IF(L209="n/a",L185,IFERROR(IF((OFFSET($C185,0,$A185))&lt;0,
MIN(0,L185-(OFFSET($C185,0,$A185)/(OFFSET($C180,-$A184,$A185)))),
MAX(0,L185-(OFFSET($C185,0,$A185)/(OFFSET($C180,-$A184,$A185))))),0))</f>
        <v>0</v>
      </c>
      <c r="N185" s="1343">
        <f t="shared" ca="1" si="217"/>
        <v>0</v>
      </c>
      <c r="O185" s="1343">
        <f t="shared" ca="1" si="218"/>
        <v>0</v>
      </c>
      <c r="P185" s="1343">
        <f t="shared" ca="1" si="219"/>
        <v>0</v>
      </c>
      <c r="Q185" s="1343">
        <f t="shared" ca="1" si="220"/>
        <v>0</v>
      </c>
      <c r="R185" s="1343">
        <f t="shared" ca="1" si="221"/>
        <v>0</v>
      </c>
      <c r="S185" s="1343">
        <f t="shared" ca="1" si="222"/>
        <v>0</v>
      </c>
      <c r="T185" s="1343">
        <f t="shared" ca="1" si="223"/>
        <v>0</v>
      </c>
      <c r="U185" s="1343">
        <f t="shared" ca="1" si="224"/>
        <v>0</v>
      </c>
      <c r="V185" s="1343">
        <f t="shared" ca="1" si="225"/>
        <v>0</v>
      </c>
      <c r="W185" s="1343">
        <f t="shared" ca="1" si="226"/>
        <v>0</v>
      </c>
      <c r="X185" s="226"/>
      <c r="Y185" s="226"/>
      <c r="Z185" s="226"/>
      <c r="AA185" s="170"/>
      <c r="AB185" s="170"/>
    </row>
    <row r="186" spans="1:28" ht="12.75" hidden="1" customHeight="1" outlineLevel="1">
      <c r="A186" s="223">
        <v>10</v>
      </c>
      <c r="B186" s="210" t="str">
        <f t="shared" ca="1" si="227"/>
        <v>Depreciated Net Capex 2019-20</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2020-21</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2021-22</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2022-23</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2023-24</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2024-25</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2025-26</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2026-27</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2027-28</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2028-29</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2029-30</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16.182645427926033</v>
      </c>
      <c r="D200" s="1343">
        <f t="shared" ref="D200" ca="1" si="246">IF(C200="n/a","n/a",MAX(0,C200-1))</f>
        <v>15.182645427926033</v>
      </c>
      <c r="E200" s="1343">
        <f t="shared" ref="E200:E201" ca="1" si="247">IF(D200="n/a","n/a",MAX(0,D200-1))</f>
        <v>14.182645427926033</v>
      </c>
      <c r="F200" s="1343">
        <f t="shared" ref="F200:F202" ca="1" si="248">IF(E200="n/a","n/a",MAX(0,E200-1))</f>
        <v>13.182645427926033</v>
      </c>
      <c r="G200" s="1343">
        <f t="shared" ref="G200:G203" ca="1" si="249">IF(F200="n/a","n/a",MAX(0,F200-1))</f>
        <v>12.182645427926033</v>
      </c>
      <c r="H200" s="1343">
        <f t="shared" ref="H200:H204" ca="1" si="250">IF(G200="n/a","n/a",MAX(0,G200-1))</f>
        <v>11.182645427926033</v>
      </c>
      <c r="I200" s="1343">
        <f t="shared" ref="I200:I205" ca="1" si="251">IF(H200="n/a","n/a",MAX(0,H200-1))</f>
        <v>10.182645427926033</v>
      </c>
      <c r="J200" s="1343">
        <f t="shared" ref="J200:J206" ca="1" si="252">IF(I200="n/a","n/a",MAX(0,I200-1))</f>
        <v>9.1826454279260332</v>
      </c>
      <c r="K200" s="1343">
        <f t="shared" ref="K200:K207" ca="1" si="253">IF(J200="n/a","n/a",MAX(0,J200-1))</f>
        <v>8.1826454279260332</v>
      </c>
      <c r="L200" s="1343">
        <f t="shared" ref="L200:L208" ca="1" si="254">IF(K200="n/a","n/a",MAX(0,K200-1))</f>
        <v>7.1826454279260332</v>
      </c>
      <c r="M200" s="1343">
        <f t="shared" ref="M200:M209" ca="1" si="255">IF(L200="n/a","n/a",MAX(0,L200-1))</f>
        <v>6.1826454279260332</v>
      </c>
      <c r="N200" s="1343">
        <f t="shared" ref="N200:N210" ca="1" si="256">IF(M200="n/a","n/a",MAX(0,M200-1))</f>
        <v>5.1826454279260332</v>
      </c>
      <c r="O200" s="1343">
        <f t="shared" ref="O200:O211" ca="1" si="257">IF(N200="n/a","n/a",MAX(0,N200-1))</f>
        <v>4.1826454279260332</v>
      </c>
      <c r="P200" s="1343">
        <f t="shared" ref="P200:P212" ca="1" si="258">IF(O200="n/a","n/a",MAX(0,O200-1))</f>
        <v>3.1826454279260332</v>
      </c>
      <c r="Q200" s="1343">
        <f t="shared" ref="Q200:Q213" ca="1" si="259">IF(P200="n/a","n/a",MAX(0,P200-1))</f>
        <v>2.1826454279260332</v>
      </c>
      <c r="R200" s="1343">
        <f t="shared" ref="R200:R214" ca="1" si="260">IF(Q200="n/a","n/a",MAX(0,Q200-1))</f>
        <v>1.1826454279260332</v>
      </c>
      <c r="S200" s="1343">
        <f t="shared" ref="S200:S215" ca="1" si="261">IF(R200="n/a","n/a",MAX(0,R200-1))</f>
        <v>0.18264542792603322</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2010-11</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2011-12</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2012-13</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2013-14</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2014-15</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2015-16</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2016-17</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2017-18</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2018-19</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2019-20</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2020-21</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2021-22</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2022-23</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2023-24</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2024-25</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2025-26</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2026-27</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2027-28</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2028-29</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2029-30</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16.182645427926033</v>
      </c>
      <c r="D222" s="1351">
        <f ca="1">(IF(OR($C172&lt;&gt;"n/a",D172&lt;&gt;"n/a"),IF(SUM(D175:D197)=0,0,IF((SUMPRODUCT(D175:D197,D199:D221)/SUM(D175:D197))&lt;0,1,(SUMPRODUCT(D175:D197,D199:D221)/SUM(D175:D197)))),"n/a"))</f>
        <v>15.182645427926031</v>
      </c>
      <c r="E222" s="1351">
        <f t="shared" ref="E222:W222" ca="1" si="267">(IF(OR($C172&lt;&gt;"n/a",E172&lt;&gt;"n/a"),IF(SUM(E175:E197)=0,0,IF((SUMPRODUCT(E175:E197,E199:E221)/SUM(E175:E197))&lt;0,1,(SUMPRODUCT(E175:E197,E199:E221)/SUM(E175:E197)))),"n/a"))</f>
        <v>14.182645427926035</v>
      </c>
      <c r="F222" s="1351">
        <f t="shared" ca="1" si="267"/>
        <v>13.182645427926033</v>
      </c>
      <c r="G222" s="1351">
        <f t="shared" ca="1" si="267"/>
        <v>12.182645427926033</v>
      </c>
      <c r="H222" s="1351">
        <f t="shared" ca="1" si="267"/>
        <v>11.182645427926033</v>
      </c>
      <c r="I222" s="1351">
        <f t="shared" ca="1" si="267"/>
        <v>10.182645427926033</v>
      </c>
      <c r="J222" s="1351">
        <f t="shared" ca="1" si="267"/>
        <v>9.1826454279260332</v>
      </c>
      <c r="K222" s="1351">
        <f t="shared" ca="1" si="267"/>
        <v>8.1826454279260332</v>
      </c>
      <c r="L222" s="1351">
        <f t="shared" ca="1" si="267"/>
        <v>7.1826454279260332</v>
      </c>
      <c r="M222" s="1351">
        <f t="shared" ca="1" si="267"/>
        <v>6.1826454279260332</v>
      </c>
      <c r="N222" s="1351">
        <f t="shared" ca="1" si="267"/>
        <v>5.1826454279260332</v>
      </c>
      <c r="O222" s="1351">
        <f t="shared" ca="1" si="267"/>
        <v>4.1826454279260332</v>
      </c>
      <c r="P222" s="1351">
        <f t="shared" ca="1" si="267"/>
        <v>3.1826454279260332</v>
      </c>
      <c r="Q222" s="1351">
        <f t="shared" ca="1" si="267"/>
        <v>2.1826454279260332</v>
      </c>
      <c r="R222" s="1351">
        <f t="shared" ca="1" si="267"/>
        <v>1.1826454279260332</v>
      </c>
      <c r="S222" s="1351">
        <f t="shared" ca="1" si="267"/>
        <v>0.18264542792603322</v>
      </c>
      <c r="T222" s="1351">
        <f t="shared" ca="1" si="267"/>
        <v>0</v>
      </c>
      <c r="U222" s="1351">
        <f t="shared" ca="1" si="267"/>
        <v>0</v>
      </c>
      <c r="V222" s="1351">
        <f t="shared" ca="1" si="267"/>
        <v>0</v>
      </c>
      <c r="W222" s="1351">
        <f t="shared" ca="1" si="267"/>
        <v>0</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0.27356029999999998</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2010-11</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2011-12</v>
      </c>
      <c r="C232" s="1346"/>
      <c r="D232" s="1347"/>
      <c r="E232" s="1345">
        <f>E225</f>
        <v>0.27356029999999998</v>
      </c>
      <c r="F232" s="1343">
        <f ca="1">IF(E256="n/a",E232,IFERROR(IF((OFFSET($C232,0,$A232))&lt;0,
MIN(0,E232-(OFFSET($C232,0,$A232)/(OFFSET($C227,-$A231,$A232)))),
MAX(0,E232-(OFFSET($C232,0,$A232)/(OFFSET($C227,-$A231,$A232))))),0))</f>
        <v>0.25988228499999999</v>
      </c>
      <c r="G232" s="1343">
        <f t="shared" ca="1" si="289"/>
        <v>0.24620427</v>
      </c>
      <c r="H232" s="1343">
        <f t="shared" ca="1" si="290"/>
        <v>0.23252625500000002</v>
      </c>
      <c r="I232" s="1343">
        <f t="shared" ca="1" si="291"/>
        <v>0.21884824000000003</v>
      </c>
      <c r="J232" s="1343">
        <f t="shared" ca="1" si="292"/>
        <v>0.20517022500000004</v>
      </c>
      <c r="K232" s="1343">
        <f t="shared" ca="1" si="293"/>
        <v>0.19149221000000005</v>
      </c>
      <c r="L232" s="1343">
        <f t="shared" ca="1" si="294"/>
        <v>0.17781419500000006</v>
      </c>
      <c r="M232" s="1343">
        <f t="shared" ca="1" si="295"/>
        <v>0.16413618000000008</v>
      </c>
      <c r="N232" s="1343">
        <f t="shared" ca="1" si="296"/>
        <v>0.15045816500000009</v>
      </c>
      <c r="O232" s="1343">
        <f t="shared" ca="1" si="297"/>
        <v>0.1367801500000001</v>
      </c>
      <c r="P232" s="1343">
        <f t="shared" ca="1" si="298"/>
        <v>0.1231021350000001</v>
      </c>
      <c r="Q232" s="1343">
        <f t="shared" ca="1" si="299"/>
        <v>0.1094241200000001</v>
      </c>
      <c r="R232" s="1343">
        <f t="shared" ca="1" si="300"/>
        <v>9.5746105000000095E-2</v>
      </c>
      <c r="S232" s="1343">
        <f t="shared" ca="1" si="301"/>
        <v>8.2068090000000093E-2</v>
      </c>
      <c r="T232" s="1343">
        <f t="shared" ca="1" si="302"/>
        <v>6.8390075000000092E-2</v>
      </c>
      <c r="U232" s="1343">
        <f t="shared" ca="1" si="303"/>
        <v>5.471206000000009E-2</v>
      </c>
      <c r="V232" s="1343">
        <f t="shared" ca="1" si="304"/>
        <v>4.1034045000000088E-2</v>
      </c>
      <c r="W232" s="1343">
        <f t="shared" ca="1" si="305"/>
        <v>2.735603000000009E-2</v>
      </c>
      <c r="X232" s="226"/>
      <c r="Y232" s="170"/>
      <c r="Z232" s="170"/>
      <c r="AA232" s="170"/>
      <c r="AB232" s="170"/>
    </row>
    <row r="233" spans="1:28" ht="12.75" hidden="1" customHeight="1" outlineLevel="1">
      <c r="A233" s="223">
        <v>3</v>
      </c>
      <c r="B233" s="210" t="str">
        <f t="shared" ca="1" si="306"/>
        <v>Depreciated Net Capex 2012-13</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2013-14</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2014-15</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2015-16</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2016-17</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2017-18</v>
      </c>
      <c r="C238" s="1346"/>
      <c r="D238" s="1346"/>
      <c r="E238" s="1346"/>
      <c r="F238" s="1346"/>
      <c r="G238" s="1346"/>
      <c r="H238" s="1346"/>
      <c r="I238" s="1346"/>
      <c r="J238" s="1347"/>
      <c r="K238" s="1348">
        <f>K225</f>
        <v>0</v>
      </c>
      <c r="L238" s="1343">
        <f ca="1">IF(K262="n/a",K238,IFERROR(IF((OFFSET($C238,0,$A238))&lt;0,
MIN(0,K238-(OFFSET($C238,0,$A238)/(OFFSET($C233,-$A237,$A238)))),
MAX(0,K238-(OFFSET($C238,0,$A238)/(OFFSET($C233,-$A237,$A238))))),0))</f>
        <v>0</v>
      </c>
      <c r="M238" s="1343">
        <f t="shared" ca="1" si="295"/>
        <v>0</v>
      </c>
      <c r="N238" s="1343">
        <f t="shared" ca="1" si="296"/>
        <v>0</v>
      </c>
      <c r="O238" s="1343">
        <f t="shared" ca="1" si="297"/>
        <v>0</v>
      </c>
      <c r="P238" s="1343">
        <f t="shared" ca="1" si="298"/>
        <v>0</v>
      </c>
      <c r="Q238" s="1343">
        <f t="shared" ca="1" si="299"/>
        <v>0</v>
      </c>
      <c r="R238" s="1343">
        <f t="shared" ca="1" si="300"/>
        <v>0</v>
      </c>
      <c r="S238" s="1343">
        <f t="shared" ca="1" si="301"/>
        <v>0</v>
      </c>
      <c r="T238" s="1343">
        <f t="shared" ca="1" si="302"/>
        <v>0</v>
      </c>
      <c r="U238" s="1343">
        <f t="shared" ca="1" si="303"/>
        <v>0</v>
      </c>
      <c r="V238" s="1343">
        <f t="shared" ca="1" si="304"/>
        <v>0</v>
      </c>
      <c r="W238" s="1343">
        <f t="shared" ca="1" si="305"/>
        <v>0</v>
      </c>
      <c r="X238" s="226"/>
      <c r="Y238" s="226"/>
      <c r="Z238" s="226"/>
      <c r="AA238" s="170"/>
      <c r="AB238" s="170"/>
    </row>
    <row r="239" spans="1:28" ht="12.75" hidden="1" customHeight="1" outlineLevel="1">
      <c r="A239" s="223">
        <v>9</v>
      </c>
      <c r="B239" s="210" t="str">
        <f t="shared" ca="1" si="306"/>
        <v>Depreciated Net Capex 2018-19</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2019-20</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2020-21</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2021-22</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2022-23</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2023-24</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2024-25</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2025-26</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2026-27</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2027-28</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2028-29</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2029-30</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2010-11</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2011-12</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2012-13</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2013-14</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2014-15</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2015-16</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2016-17</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2017-18</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2018-19</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2019-20</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2020-21</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2021-22</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2022-23</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2023-24</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2024-25</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2025-26</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2026-27</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2027-28</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2028-29</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2029-30</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20</v>
      </c>
      <c r="F276" s="1351">
        <f t="shared" ca="1" si="346"/>
        <v>19</v>
      </c>
      <c r="G276" s="1351">
        <f t="shared" ca="1" si="346"/>
        <v>17.999999999999996</v>
      </c>
      <c r="H276" s="1351">
        <f t="shared" ca="1" si="346"/>
        <v>17</v>
      </c>
      <c r="I276" s="1351">
        <f t="shared" ca="1" si="346"/>
        <v>16</v>
      </c>
      <c r="J276" s="1351">
        <f t="shared" ca="1" si="346"/>
        <v>15.000000000000002</v>
      </c>
      <c r="K276" s="1351">
        <f t="shared" ca="1" si="346"/>
        <v>14</v>
      </c>
      <c r="L276" s="1351">
        <f t="shared" ca="1" si="346"/>
        <v>12.999999999999998</v>
      </c>
      <c r="M276" s="1351">
        <f t="shared" ca="1" si="346"/>
        <v>12</v>
      </c>
      <c r="N276" s="1351">
        <f t="shared" ca="1" si="346"/>
        <v>11</v>
      </c>
      <c r="O276" s="1351">
        <f t="shared" ca="1" si="346"/>
        <v>10</v>
      </c>
      <c r="P276" s="1351">
        <f t="shared" ca="1" si="346"/>
        <v>9</v>
      </c>
      <c r="Q276" s="1351">
        <f t="shared" ca="1" si="346"/>
        <v>8</v>
      </c>
      <c r="R276" s="1351">
        <f t="shared" ca="1" si="346"/>
        <v>7</v>
      </c>
      <c r="S276" s="1351">
        <f t="shared" ca="1" si="346"/>
        <v>6</v>
      </c>
      <c r="T276" s="1351">
        <f t="shared" ca="1" si="346"/>
        <v>5</v>
      </c>
      <c r="U276" s="1351">
        <f t="shared" ca="1" si="346"/>
        <v>4</v>
      </c>
      <c r="V276" s="1351">
        <f t="shared" ca="1" si="346"/>
        <v>3</v>
      </c>
      <c r="W276" s="1351">
        <f t="shared" ca="1" si="346"/>
        <v>2</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3.2319000000000011E-3</v>
      </c>
      <c r="D279" s="1361">
        <f>'Capital base remaining lives'!D284</f>
        <v>0</v>
      </c>
      <c r="E279" s="1361">
        <f>'Capital base remaining lives'!E284</f>
        <v>0</v>
      </c>
      <c r="F279" s="1361">
        <f>'Capital base remaining lives'!F284</f>
        <v>0</v>
      </c>
      <c r="G279" s="1361">
        <f>'Capital base remaining lives'!G284</f>
        <v>0</v>
      </c>
      <c r="H279" s="1361">
        <f>'Capital base remaining lives'!H284</f>
        <v>0</v>
      </c>
      <c r="I279" s="1361">
        <f>'Capital base remaining lives'!I284</f>
        <v>0</v>
      </c>
      <c r="J279" s="1361">
        <f>'Capital base remaining lives'!J284</f>
        <v>0.11472373</v>
      </c>
      <c r="K279" s="1361">
        <f>'Capital base remaining lives'!K284</f>
        <v>5.659637E-2</v>
      </c>
      <c r="L279" s="1361">
        <f>'Capital base remaining lives'!L284</f>
        <v>9.4760360000000002E-2</v>
      </c>
      <c r="M279" s="1361">
        <f>'Capital base remaining lives'!M284</f>
        <v>0</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3</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3.2319000000000011E-3</v>
      </c>
      <c r="D284" s="1343">
        <f ca="1">IF(C308="n/a",C284,IFERROR(IF((OFFSET($C284,0,$A284))&lt;0,
MIN(0,C284-(OFFSET($C284,0,$A284)/(OFFSET($C279,-$A283,$A284)))),
MAX(0,C284-(OFFSET($C284,0,$A284)/(OFFSET($C279,-$A283,$A284))))),0))</f>
        <v>2.1546000000000004E-3</v>
      </c>
      <c r="E284" s="1343">
        <f t="shared" ref="E284" ca="1" si="366">IF(D308="n/a",D284,IFERROR(IF((OFFSET($C284,0,$A284))&lt;0,
MIN(0,D284-(OFFSET($C284,0,$A284)/(OFFSET($C279,-$A283,$A284)))),
MAX(0,D284-(OFFSET($C284,0,$A284)/(OFFSET($C279,-$A283,$A284))))),0))</f>
        <v>1.0773E-3</v>
      </c>
      <c r="F284" s="1343">
        <f t="shared" ref="F284:F285" ca="1" si="367">IF(E308="n/a",E284,IFERROR(IF((OFFSET($C284,0,$A284))&lt;0,
MIN(0,E284-(OFFSET($C284,0,$A284)/(OFFSET($C279,-$A283,$A284)))),
MAX(0,E284-(OFFSET($C284,0,$A284)/(OFFSET($C279,-$A283,$A284))))),0))</f>
        <v>0</v>
      </c>
      <c r="G284" s="1343">
        <f t="shared" ref="G284:G286" ca="1" si="368">IF(F308="n/a",F284,IFERROR(IF((OFFSET($C284,0,$A284))&lt;0,
MIN(0,F284-(OFFSET($C284,0,$A284)/(OFFSET($C279,-$A283,$A284)))),
MAX(0,F284-(OFFSET($C284,0,$A284)/(OFFSET($C279,-$A283,$A284))))),0))</f>
        <v>0</v>
      </c>
      <c r="H284" s="1343">
        <f t="shared" ref="H284:H287" ca="1" si="369">IF(G308="n/a",G284,IFERROR(IF((OFFSET($C284,0,$A284))&lt;0,
MIN(0,G284-(OFFSET($C284,0,$A284)/(OFFSET($C279,-$A283,$A284)))),
MAX(0,G284-(OFFSET($C284,0,$A284)/(OFFSET($C279,-$A283,$A284))))),0))</f>
        <v>0</v>
      </c>
      <c r="I284" s="1343">
        <f t="shared" ref="I284:I288" ca="1" si="370">IF(H308="n/a",H284,IFERROR(IF((OFFSET($C284,0,$A284))&lt;0,
MIN(0,H284-(OFFSET($C284,0,$A284)/(OFFSET($C279,-$A283,$A284)))),
MAX(0,H284-(OFFSET($C284,0,$A284)/(OFFSET($C279,-$A283,$A284))))),0))</f>
        <v>0</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2010-11</v>
      </c>
      <c r="C285" s="1344"/>
      <c r="D285" s="1345">
        <f>D279</f>
        <v>0</v>
      </c>
      <c r="E285" s="1343">
        <f ca="1">IF(D309="n/a",D285,IFERROR(IF((OFFSET($C285,0,$A285))&lt;0,
MIN(0,D285-(OFFSET($C285,0,$A285)/(OFFSET($C280,-$A284,$A285)))),
MAX(0,D285-(OFFSET($C285,0,$A285)/(OFFSET($C280,-$A284,$A285))))),0))</f>
        <v>0</v>
      </c>
      <c r="F285" s="1343">
        <f t="shared" ca="1" si="367"/>
        <v>0</v>
      </c>
      <c r="G285" s="1343">
        <f t="shared" ca="1" si="368"/>
        <v>0</v>
      </c>
      <c r="H285" s="1343">
        <f t="shared" ca="1" si="369"/>
        <v>0</v>
      </c>
      <c r="I285" s="1343">
        <f t="shared" ca="1" si="370"/>
        <v>0</v>
      </c>
      <c r="J285" s="1343">
        <f t="shared" ca="1" si="371"/>
        <v>0</v>
      </c>
      <c r="K285" s="1343">
        <f t="shared" ca="1" si="372"/>
        <v>0</v>
      </c>
      <c r="L285" s="1343">
        <f t="shared" ca="1" si="373"/>
        <v>0</v>
      </c>
      <c r="M285" s="1343">
        <f t="shared" ca="1" si="374"/>
        <v>0</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2011-12</v>
      </c>
      <c r="C286" s="1346"/>
      <c r="D286" s="1347"/>
      <c r="E286" s="1345">
        <f>E279</f>
        <v>0</v>
      </c>
      <c r="F286" s="1343">
        <f ca="1">IF(E310="n/a",E286,IFERROR(IF((OFFSET($C286,0,$A286))&lt;0,
MIN(0,E286-(OFFSET($C286,0,$A286)/(OFFSET($C281,-$A285,$A286)))),
MAX(0,E286-(OFFSET($C286,0,$A286)/(OFFSET($C281,-$A285,$A286))))),0))</f>
        <v>0</v>
      </c>
      <c r="G286" s="1343">
        <f t="shared" ca="1" si="368"/>
        <v>0</v>
      </c>
      <c r="H286" s="1343">
        <f t="shared" ca="1" si="369"/>
        <v>0</v>
      </c>
      <c r="I286" s="1343">
        <f t="shared" ca="1" si="370"/>
        <v>0</v>
      </c>
      <c r="J286" s="1343">
        <f t="shared" ca="1" si="371"/>
        <v>0</v>
      </c>
      <c r="K286" s="1343">
        <f t="shared" ca="1" si="372"/>
        <v>0</v>
      </c>
      <c r="L286" s="1343">
        <f t="shared" ca="1" si="373"/>
        <v>0</v>
      </c>
      <c r="M286" s="1343">
        <f t="shared" ca="1" si="374"/>
        <v>0</v>
      </c>
      <c r="N286" s="1343">
        <f t="shared" ca="1" si="375"/>
        <v>0</v>
      </c>
      <c r="O286" s="1343">
        <f t="shared" ca="1" si="376"/>
        <v>0</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2012-13</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2013-14</v>
      </c>
      <c r="C288" s="1346"/>
      <c r="D288" s="1346"/>
      <c r="E288" s="1346"/>
      <c r="F288" s="1347"/>
      <c r="G288" s="1348">
        <f>G279</f>
        <v>0</v>
      </c>
      <c r="H288" s="1343">
        <f ca="1">IF(G312="n/a",G288,IFERROR(IF((OFFSET($C288,0,$A288))&lt;0,
MIN(0,G288-(OFFSET($C288,0,$A288)/(OFFSET($C283,-$A287,$A288)))),
MAX(0,G288-(OFFSET($C288,0,$A288)/(OFFSET($C283,-$A287,$A288))))),0))</f>
        <v>0</v>
      </c>
      <c r="I288" s="1343">
        <f t="shared" ca="1" si="370"/>
        <v>0</v>
      </c>
      <c r="J288" s="1343">
        <f t="shared" ca="1" si="371"/>
        <v>0</v>
      </c>
      <c r="K288" s="1343">
        <f t="shared" ca="1" si="372"/>
        <v>0</v>
      </c>
      <c r="L288" s="1343">
        <f t="shared" ca="1" si="373"/>
        <v>0</v>
      </c>
      <c r="M288" s="1343">
        <f t="shared" ca="1" si="374"/>
        <v>0</v>
      </c>
      <c r="N288" s="1343">
        <f t="shared" ca="1" si="375"/>
        <v>0</v>
      </c>
      <c r="O288" s="1343">
        <f t="shared" ca="1" si="376"/>
        <v>0</v>
      </c>
      <c r="P288" s="1343">
        <f t="shared" ca="1" si="377"/>
        <v>0</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2014-15</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2015-16</v>
      </c>
      <c r="C290" s="1346"/>
      <c r="D290" s="1346"/>
      <c r="E290" s="1346"/>
      <c r="F290" s="1346"/>
      <c r="G290" s="1346"/>
      <c r="H290" s="1347"/>
      <c r="I290" s="1348">
        <f>I279</f>
        <v>0</v>
      </c>
      <c r="J290" s="1343">
        <f ca="1">IF(I314="n/a",I290,IFERROR(IF((OFFSET($C290,0,$A290))&lt;0,
MIN(0,I290-(OFFSET($C290,0,$A290)/(OFFSET($C285,-$A289,$A290)))),
MAX(0,I290-(OFFSET($C290,0,$A290)/(OFFSET($C285,-$A289,$A290))))),0))</f>
        <v>0</v>
      </c>
      <c r="K290" s="1343">
        <f t="shared" ca="1" si="372"/>
        <v>0</v>
      </c>
      <c r="L290" s="1343">
        <f t="shared" ca="1" si="373"/>
        <v>0</v>
      </c>
      <c r="M290" s="1343">
        <f t="shared" ca="1" si="374"/>
        <v>0</v>
      </c>
      <c r="N290" s="1343">
        <f t="shared" ca="1" si="375"/>
        <v>0</v>
      </c>
      <c r="O290" s="1343">
        <f t="shared" ca="1" si="376"/>
        <v>0</v>
      </c>
      <c r="P290" s="1343">
        <f t="shared" ca="1" si="377"/>
        <v>0</v>
      </c>
      <c r="Q290" s="1343">
        <f t="shared" ca="1" si="378"/>
        <v>0</v>
      </c>
      <c r="R290" s="1343">
        <f t="shared" ca="1" si="379"/>
        <v>0</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2016-17</v>
      </c>
      <c r="C291" s="1346"/>
      <c r="D291" s="1346"/>
      <c r="E291" s="1346"/>
      <c r="F291" s="1346"/>
      <c r="G291" s="1346"/>
      <c r="H291" s="1346"/>
      <c r="I291" s="1347"/>
      <c r="J291" s="1348">
        <f>J279</f>
        <v>0.11472373</v>
      </c>
      <c r="K291" s="1343">
        <f ca="1">IF(J315="n/a",J291,IFERROR(IF((OFFSET($C291,0,$A291))&lt;0,
MIN(0,J291-(OFFSET($C291,0,$A291)/(OFFSET($C286,-$A290,$A291)))),
MAX(0,J291-(OFFSET($C291,0,$A291)/(OFFSET($C286,-$A290,$A291))))),0))</f>
        <v>0.103251357</v>
      </c>
      <c r="L291" s="1343">
        <f t="shared" ca="1" si="373"/>
        <v>9.1778984000000008E-2</v>
      </c>
      <c r="M291" s="1343">
        <f t="shared" ca="1" si="374"/>
        <v>8.0306611000000014E-2</v>
      </c>
      <c r="N291" s="1343">
        <f t="shared" ca="1" si="375"/>
        <v>6.883423800000002E-2</v>
      </c>
      <c r="O291" s="1343">
        <f t="shared" ca="1" si="376"/>
        <v>5.7361865000000019E-2</v>
      </c>
      <c r="P291" s="1343">
        <f t="shared" ca="1" si="377"/>
        <v>4.5889492000000018E-2</v>
      </c>
      <c r="Q291" s="1343">
        <f t="shared" ca="1" si="378"/>
        <v>3.4417119000000017E-2</v>
      </c>
      <c r="R291" s="1343">
        <f t="shared" ca="1" si="379"/>
        <v>2.2944746000000016E-2</v>
      </c>
      <c r="S291" s="1343">
        <f t="shared" ca="1" si="380"/>
        <v>1.1472373000000017E-2</v>
      </c>
      <c r="T291" s="1343">
        <f t="shared" ca="1" si="381"/>
        <v>1.7347234759768071E-17</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2017-18</v>
      </c>
      <c r="C292" s="1346"/>
      <c r="D292" s="1346"/>
      <c r="E292" s="1346"/>
      <c r="F292" s="1346"/>
      <c r="G292" s="1346"/>
      <c r="H292" s="1346"/>
      <c r="I292" s="1346"/>
      <c r="J292" s="1347"/>
      <c r="K292" s="1348">
        <f>K279</f>
        <v>5.659637E-2</v>
      </c>
      <c r="L292" s="1343">
        <f ca="1">IF(K316="n/a",K292,IFERROR(IF((OFFSET($C292,0,$A292))&lt;0,
MIN(0,K292-(OFFSET($C292,0,$A292)/(OFFSET($C287,-$A291,$A292)))),
MAX(0,K292-(OFFSET($C292,0,$A292)/(OFFSET($C287,-$A291,$A292))))),0))</f>
        <v>5.0936732999999998E-2</v>
      </c>
      <c r="M292" s="1343">
        <f t="shared" ca="1" si="374"/>
        <v>4.5277095999999996E-2</v>
      </c>
      <c r="N292" s="1343">
        <f t="shared" ca="1" si="375"/>
        <v>3.9617458999999994E-2</v>
      </c>
      <c r="O292" s="1343">
        <f t="shared" ca="1" si="376"/>
        <v>3.3957821999999992E-2</v>
      </c>
      <c r="P292" s="1343">
        <f t="shared" ca="1" si="377"/>
        <v>2.829818499999999E-2</v>
      </c>
      <c r="Q292" s="1343">
        <f t="shared" ca="1" si="378"/>
        <v>2.2638547999999988E-2</v>
      </c>
      <c r="R292" s="1343">
        <f t="shared" ca="1" si="379"/>
        <v>1.6978910999999985E-2</v>
      </c>
      <c r="S292" s="1343">
        <f t="shared" ca="1" si="380"/>
        <v>1.1319273999999985E-2</v>
      </c>
      <c r="T292" s="1343">
        <f t="shared" ca="1" si="381"/>
        <v>5.6596369999999847E-3</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2018-19</v>
      </c>
      <c r="C293" s="1346"/>
      <c r="D293" s="1346"/>
      <c r="E293" s="1346"/>
      <c r="F293" s="1346"/>
      <c r="G293" s="1346"/>
      <c r="H293" s="1346"/>
      <c r="I293" s="1346"/>
      <c r="J293" s="1346"/>
      <c r="K293" s="1347"/>
      <c r="L293" s="1348">
        <f>L279</f>
        <v>9.4760360000000002E-2</v>
      </c>
      <c r="M293" s="1343">
        <f ca="1">IF(L317="n/a",L293,IFERROR(IF((OFFSET($C293,0,$A293))&lt;0,
MIN(0,L293-(OFFSET($C293,0,$A293)/(OFFSET($C288,-$A292,$A293)))),
MAX(0,L293-(OFFSET($C293,0,$A293)/(OFFSET($C288,-$A292,$A293))))),0))</f>
        <v>8.5284323999999995E-2</v>
      </c>
      <c r="N293" s="1343">
        <f t="shared" ca="1" si="375"/>
        <v>7.5808288000000001E-2</v>
      </c>
      <c r="O293" s="1343">
        <f t="shared" ca="1" si="376"/>
        <v>6.6332252000000008E-2</v>
      </c>
      <c r="P293" s="1343">
        <f t="shared" ca="1" si="377"/>
        <v>5.6856216000000008E-2</v>
      </c>
      <c r="Q293" s="1343">
        <f t="shared" ca="1" si="378"/>
        <v>4.7380180000000008E-2</v>
      </c>
      <c r="R293" s="1343">
        <f t="shared" ca="1" si="379"/>
        <v>3.7904144000000008E-2</v>
      </c>
      <c r="S293" s="1343">
        <f t="shared" ca="1" si="380"/>
        <v>2.8428108000000007E-2</v>
      </c>
      <c r="T293" s="1343">
        <f t="shared" ca="1" si="381"/>
        <v>1.8952072000000007E-2</v>
      </c>
      <c r="U293" s="1343">
        <f t="shared" ca="1" si="382"/>
        <v>9.4760360000000071E-3</v>
      </c>
      <c r="V293" s="1343">
        <f t="shared" ca="1" si="383"/>
        <v>6.9388939039072284E-18</v>
      </c>
      <c r="W293" s="1343">
        <f t="shared" ca="1" si="384"/>
        <v>0</v>
      </c>
      <c r="X293" s="226"/>
      <c r="Y293" s="226"/>
      <c r="Z293" s="226"/>
      <c r="AA293" s="170"/>
      <c r="AB293" s="170"/>
    </row>
    <row r="294" spans="1:28" ht="12.75" hidden="1" customHeight="1" outlineLevel="1">
      <c r="A294" s="223">
        <v>10</v>
      </c>
      <c r="B294" s="210" t="str">
        <f t="shared" ca="1" si="385"/>
        <v>Depreciated Net Capex 2019-20</v>
      </c>
      <c r="C294" s="1346"/>
      <c r="D294" s="1346"/>
      <c r="E294" s="1346"/>
      <c r="F294" s="1346"/>
      <c r="G294" s="1346"/>
      <c r="H294" s="1346"/>
      <c r="I294" s="1346"/>
      <c r="J294" s="1346"/>
      <c r="K294" s="1346"/>
      <c r="L294" s="1347"/>
      <c r="M294" s="1348">
        <f>M279</f>
        <v>0</v>
      </c>
      <c r="N294" s="1343">
        <f ca="1">IF(M318="n/a",M294,IFERROR(IF((OFFSET($C294,0,$A294))&lt;0,
MIN(0,M294-(OFFSET($C294,0,$A294)/(OFFSET($C289,-$A293,$A294)))),
MAX(0,M294-(OFFSET($C294,0,$A294)/(OFFSET($C289,-$A293,$A294))))),0))</f>
        <v>0</v>
      </c>
      <c r="O294" s="1343">
        <f t="shared" ca="1" si="376"/>
        <v>0</v>
      </c>
      <c r="P294" s="1343">
        <f t="shared" ca="1" si="377"/>
        <v>0</v>
      </c>
      <c r="Q294" s="1343">
        <f t="shared" ca="1" si="378"/>
        <v>0</v>
      </c>
      <c r="R294" s="1343">
        <f t="shared" ca="1" si="379"/>
        <v>0</v>
      </c>
      <c r="S294" s="1343">
        <f t="shared" ca="1" si="380"/>
        <v>0</v>
      </c>
      <c r="T294" s="1343">
        <f t="shared" ca="1" si="381"/>
        <v>0</v>
      </c>
      <c r="U294" s="1343">
        <f t="shared" ca="1" si="382"/>
        <v>0</v>
      </c>
      <c r="V294" s="1343">
        <f t="shared" ca="1" si="383"/>
        <v>0</v>
      </c>
      <c r="W294" s="1343">
        <f t="shared" ca="1" si="384"/>
        <v>0</v>
      </c>
      <c r="X294" s="226"/>
      <c r="Y294" s="226"/>
      <c r="Z294" s="226"/>
      <c r="AA294" s="170"/>
      <c r="AB294" s="170"/>
    </row>
    <row r="295" spans="1:28" ht="12.75" hidden="1" customHeight="1" outlineLevel="1">
      <c r="A295" s="223">
        <v>11</v>
      </c>
      <c r="B295" s="210" t="str">
        <f t="shared" ca="1" si="385"/>
        <v>Depreciated Net Capex 2020-21</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2021-22</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2022-23</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2023-24</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2024-25</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2025-26</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2026-27</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2027-28</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2028-29</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2029-30</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3</v>
      </c>
      <c r="D308" s="1343">
        <f t="shared" ref="D308" ca="1" si="404">IF(C308="n/a","n/a",MAX(0,C308-1))</f>
        <v>2</v>
      </c>
      <c r="E308" s="1343">
        <f t="shared" ref="E308:E309" ca="1" si="405">IF(D308="n/a","n/a",MAX(0,D308-1))</f>
        <v>1</v>
      </c>
      <c r="F308" s="1343">
        <f t="shared" ref="F308:F310" ca="1" si="406">IF(E308="n/a","n/a",MAX(0,E308-1))</f>
        <v>0</v>
      </c>
      <c r="G308" s="1343">
        <f t="shared" ref="G308:G311" ca="1" si="407">IF(F308="n/a","n/a",MAX(0,F308-1))</f>
        <v>0</v>
      </c>
      <c r="H308" s="1343">
        <f t="shared" ref="H308:H312" ca="1" si="408">IF(G308="n/a","n/a",MAX(0,G308-1))</f>
        <v>0</v>
      </c>
      <c r="I308" s="1343">
        <f t="shared" ref="I308:I313" ca="1" si="409">IF(H308="n/a","n/a",MAX(0,H308-1))</f>
        <v>0</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2010-11</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2011-12</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2012-13</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2013-14</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2014-15</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2015-16</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2016-17</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2017-18</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2018-19</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2019-20</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2020-21</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2021-22</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2022-23</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2023-24</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2024-25</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2025-26</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2026-27</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2027-28</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2028-29</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2029-30</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3</v>
      </c>
      <c r="D330" s="1351">
        <f ca="1">(IF(OR($C280&lt;&gt;"n/a",D280&lt;&gt;"n/a"),IF(SUM(D283:D305)=0,0,IF((SUMPRODUCT(D283:D305,D307:D329)/SUM(D283:D305))&lt;0,1,(SUMPRODUCT(D283:D305,D307:D329)/SUM(D283:D305)))),"n/a"))</f>
        <v>2</v>
      </c>
      <c r="E330" s="1351">
        <f t="shared" ref="E330:W330" ca="1" si="425">(IF(OR($C280&lt;&gt;"n/a",E280&lt;&gt;"n/a"),IF(SUM(E283:E305)=0,0,IF((SUMPRODUCT(E283:E305,E307:E329)/SUM(E283:E305))&lt;0,1,(SUMPRODUCT(E283:E305,E307:E329)/SUM(E283:E305)))),"n/a"))</f>
        <v>1</v>
      </c>
      <c r="F330" s="1351">
        <f t="shared" ca="1" si="425"/>
        <v>0</v>
      </c>
      <c r="G330" s="1351">
        <f t="shared" ca="1" si="425"/>
        <v>0</v>
      </c>
      <c r="H330" s="1351">
        <f t="shared" ca="1" si="425"/>
        <v>0</v>
      </c>
      <c r="I330" s="1351">
        <f t="shared" ca="1" si="425"/>
        <v>0</v>
      </c>
      <c r="J330" s="1351">
        <f t="shared" ca="1" si="425"/>
        <v>10</v>
      </c>
      <c r="K330" s="1351">
        <f t="shared" ca="1" si="425"/>
        <v>9.3540642776859766</v>
      </c>
      <c r="L330" s="1351">
        <f t="shared" ca="1" si="425"/>
        <v>9.0125544266928408</v>
      </c>
      <c r="M330" s="1351">
        <f t="shared" ca="1" si="425"/>
        <v>8.023605821026516</v>
      </c>
      <c r="N330" s="1351">
        <f t="shared" ca="1" si="425"/>
        <v>7.0378489665024127</v>
      </c>
      <c r="O330" s="1351">
        <f t="shared" ca="1" si="425"/>
        <v>6.0568999471677918</v>
      </c>
      <c r="P330" s="1351">
        <f t="shared" ca="1" si="425"/>
        <v>5.0836874099886513</v>
      </c>
      <c r="Q330" s="1351">
        <f t="shared" ca="1" si="425"/>
        <v>4.1241246312676525</v>
      </c>
      <c r="R330" s="1351">
        <f t="shared" ca="1" si="425"/>
        <v>3.1922114952213545</v>
      </c>
      <c r="S330" s="1351">
        <f t="shared" ca="1" si="425"/>
        <v>2.3310389711938293</v>
      </c>
      <c r="T330" s="1351">
        <f t="shared" ca="1" si="425"/>
        <v>1.770042909251039</v>
      </c>
      <c r="U330" s="1351">
        <f t="shared" ca="1" si="425"/>
        <v>1</v>
      </c>
      <c r="V330" s="1351">
        <f t="shared" ca="1" si="425"/>
        <v>0</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0</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0</v>
      </c>
      <c r="J333" s="1361">
        <f>'Capital base remaining lives'!J338</f>
        <v>0</v>
      </c>
      <c r="K333" s="1361">
        <f>'Capital base remaining lives'!K338</f>
        <v>0</v>
      </c>
      <c r="L333" s="1361">
        <f>'Capital base remaining lives'!L338</f>
        <v>0</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0</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0</v>
      </c>
      <c r="D338" s="1343">
        <f ca="1">IF(C362="n/a",C338,IFERROR(IF((OFFSET($C338,0,$A338))&lt;0,
MIN(0,C338-(OFFSET($C338,0,$A338)/(OFFSET($C333,-$A337,$A338)))),
MAX(0,C338-(OFFSET($C338,0,$A338)/(OFFSET($C333,-$A337,$A338))))),0))</f>
        <v>0</v>
      </c>
      <c r="E338" s="1343">
        <f t="shared" ref="E338" ca="1" si="445">IF(D362="n/a",D338,IFERROR(IF((OFFSET($C338,0,$A338))&lt;0,
MIN(0,D338-(OFFSET($C338,0,$A338)/(OFFSET($C333,-$A337,$A338)))),
MAX(0,D338-(OFFSET($C338,0,$A338)/(OFFSET($C333,-$A337,$A338))))),0))</f>
        <v>0</v>
      </c>
      <c r="F338" s="1343">
        <f t="shared" ref="F338:F339" ca="1" si="446">IF(E362="n/a",E338,IFERROR(IF((OFFSET($C338,0,$A338))&lt;0,
MIN(0,E338-(OFFSET($C338,0,$A338)/(OFFSET($C333,-$A337,$A338)))),
MAX(0,E338-(OFFSET($C338,0,$A338)/(OFFSET($C333,-$A337,$A338))))),0))</f>
        <v>0</v>
      </c>
      <c r="G338" s="1343">
        <f t="shared" ref="G338:G340" ca="1" si="447">IF(F362="n/a",F338,IFERROR(IF((OFFSET($C338,0,$A338))&lt;0,
MIN(0,F338-(OFFSET($C338,0,$A338)/(OFFSET($C333,-$A337,$A338)))),
MAX(0,F338-(OFFSET($C338,0,$A338)/(OFFSET($C333,-$A337,$A338))))),0))</f>
        <v>0</v>
      </c>
      <c r="H338" s="1343">
        <f t="shared" ref="H338:H341" ca="1" si="448">IF(G362="n/a",G338,IFERROR(IF((OFFSET($C338,0,$A338))&lt;0,
MIN(0,G338-(OFFSET($C338,0,$A338)/(OFFSET($C333,-$A337,$A338)))),
MAX(0,G338-(OFFSET($C338,0,$A338)/(OFFSET($C333,-$A337,$A338))))),0))</f>
        <v>0</v>
      </c>
      <c r="I338" s="1343">
        <f t="shared" ref="I338:I342" ca="1" si="449">IF(H362="n/a",H338,IFERROR(IF((OFFSET($C338,0,$A338))&lt;0,
MIN(0,H338-(OFFSET($C338,0,$A338)/(OFFSET($C333,-$A337,$A338)))),
MAX(0,H338-(OFFSET($C338,0,$A338)/(OFFSET($C333,-$A337,$A338))))),0))</f>
        <v>0</v>
      </c>
      <c r="J338" s="1343">
        <f t="shared" ref="J338:J343" ca="1" si="450">IF(I362="n/a",I338,IFERROR(IF((OFFSET($C338,0,$A338))&lt;0,
MIN(0,I338-(OFFSET($C338,0,$A338)/(OFFSET($C333,-$A337,$A338)))),
MAX(0,I338-(OFFSET($C338,0,$A338)/(OFFSET($C333,-$A337,$A338))))),0))</f>
        <v>0</v>
      </c>
      <c r="K338" s="1343">
        <f t="shared" ref="K338:K344" ca="1" si="451">IF(J362="n/a",J338,IFERROR(IF((OFFSET($C338,0,$A338))&lt;0,
MIN(0,J338-(OFFSET($C338,0,$A338)/(OFFSET($C333,-$A337,$A338)))),
MAX(0,J338-(OFFSET($C338,0,$A338)/(OFFSET($C333,-$A337,$A338))))),0))</f>
        <v>0</v>
      </c>
      <c r="L338" s="1343">
        <f t="shared" ref="L338:L345" ca="1" si="452">IF(K362="n/a",K338,IFERROR(IF((OFFSET($C338,0,$A338))&lt;0,
MIN(0,K338-(OFFSET($C338,0,$A338)/(OFFSET($C333,-$A337,$A338)))),
MAX(0,K338-(OFFSET($C338,0,$A338)/(OFFSET($C333,-$A337,$A338))))),0))</f>
        <v>0</v>
      </c>
      <c r="M338" s="1343">
        <f t="shared" ref="M338:M346" ca="1" si="453">IF(L362="n/a",L338,IFERROR(IF((OFFSET($C338,0,$A338))&lt;0,
MIN(0,L338-(OFFSET($C338,0,$A338)/(OFFSET($C333,-$A337,$A338)))),
MAX(0,L338-(OFFSET($C338,0,$A338)/(OFFSET($C333,-$A337,$A338))))),0))</f>
        <v>0</v>
      </c>
      <c r="N338" s="1343">
        <f t="shared" ref="N338:N347" ca="1" si="454">IF(M362="n/a",M338,IFERROR(IF((OFFSET($C338,0,$A338))&lt;0,
MIN(0,M338-(OFFSET($C338,0,$A338)/(OFFSET($C333,-$A337,$A338)))),
MAX(0,M338-(OFFSET($C338,0,$A338)/(OFFSET($C333,-$A337,$A338))))),0))</f>
        <v>0</v>
      </c>
      <c r="O338" s="1343">
        <f t="shared" ref="O338:O348" ca="1" si="455">IF(N362="n/a",N338,IFERROR(IF((OFFSET($C338,0,$A338))&lt;0,
MIN(0,N338-(OFFSET($C338,0,$A338)/(OFFSET($C333,-$A337,$A338)))),
MAX(0,N338-(OFFSET($C338,0,$A338)/(OFFSET($C333,-$A337,$A338))))),0))</f>
        <v>0</v>
      </c>
      <c r="P338" s="1343">
        <f t="shared" ref="P338:P349" ca="1" si="456">IF(O362="n/a",O338,IFERROR(IF((OFFSET($C338,0,$A338))&lt;0,
MIN(0,O338-(OFFSET($C338,0,$A338)/(OFFSET($C333,-$A337,$A338)))),
MAX(0,O338-(OFFSET($C338,0,$A338)/(OFFSET($C333,-$A337,$A338))))),0))</f>
        <v>0</v>
      </c>
      <c r="Q338" s="1343">
        <f t="shared" ref="Q338:Q350" ca="1" si="457">IF(P362="n/a",P338,IFERROR(IF((OFFSET($C338,0,$A338))&lt;0,
MIN(0,P338-(OFFSET($C338,0,$A338)/(OFFSET($C333,-$A337,$A338)))),
MAX(0,P338-(OFFSET($C338,0,$A338)/(OFFSET($C333,-$A337,$A338))))),0))</f>
        <v>0</v>
      </c>
      <c r="R338" s="1343">
        <f t="shared" ref="R338:R351" ca="1" si="458">IF(Q362="n/a",Q338,IFERROR(IF((OFFSET($C338,0,$A338))&lt;0,
MIN(0,Q338-(OFFSET($C338,0,$A338)/(OFFSET($C333,-$A337,$A338)))),
MAX(0,Q338-(OFFSET($C338,0,$A338)/(OFFSET($C333,-$A337,$A338))))),0))</f>
        <v>0</v>
      </c>
      <c r="S338" s="1343">
        <f t="shared" ref="S338:S352" ca="1" si="459">IF(R362="n/a",R338,IFERROR(IF((OFFSET($C338,0,$A338))&lt;0,
MIN(0,R338-(OFFSET($C338,0,$A338)/(OFFSET($C333,-$A337,$A338)))),
MAX(0,R338-(OFFSET($C338,0,$A338)/(OFFSET($C333,-$A337,$A338))))),0))</f>
        <v>0</v>
      </c>
      <c r="T338" s="1343">
        <f t="shared" ref="T338:T353" ca="1" si="460">IF(S362="n/a",S338,IFERROR(IF((OFFSET($C338,0,$A338))&lt;0,
MIN(0,S338-(OFFSET($C338,0,$A338)/(OFFSET($C333,-$A337,$A338)))),
MAX(0,S338-(OFFSET($C338,0,$A338)/(OFFSET($C333,-$A337,$A338))))),0))</f>
        <v>0</v>
      </c>
      <c r="U338" s="1343">
        <f t="shared" ref="U338:U354" ca="1" si="461">IF(T362="n/a",T338,IFERROR(IF((OFFSET($C338,0,$A338))&lt;0,
MIN(0,T338-(OFFSET($C338,0,$A338)/(OFFSET($C333,-$A337,$A338)))),
MAX(0,T338-(OFFSET($C338,0,$A338)/(OFFSET($C333,-$A337,$A338))))),0))</f>
        <v>0</v>
      </c>
      <c r="V338" s="1343">
        <f t="shared" ref="V338:V355" ca="1" si="462">IF(U362="n/a",U338,IFERROR(IF((OFFSET($C338,0,$A338))&lt;0,
MIN(0,U338-(OFFSET($C338,0,$A338)/(OFFSET($C333,-$A337,$A338)))),
MAX(0,U338-(OFFSET($C338,0,$A338)/(OFFSET($C333,-$A337,$A338))))),0))</f>
        <v>0</v>
      </c>
      <c r="W338" s="1343">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2010-11</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2011-12</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2012-13</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2013-14</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2014-15</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2015-16</v>
      </c>
      <c r="C344" s="1346"/>
      <c r="D344" s="1346"/>
      <c r="E344" s="1346"/>
      <c r="F344" s="1346"/>
      <c r="G344" s="1346"/>
      <c r="H344" s="1347"/>
      <c r="I344" s="1348">
        <f>I333</f>
        <v>0</v>
      </c>
      <c r="J344" s="1343">
        <f ca="1">IF(I368="n/a",I344,IFERROR(IF((OFFSET($C344,0,$A344))&lt;0,
MIN(0,I344-(OFFSET($C344,0,$A344)/(OFFSET($C339,-$A343,$A344)))),
MAX(0,I344-(OFFSET($C344,0,$A344)/(OFFSET($C339,-$A343,$A344))))),0))</f>
        <v>0</v>
      </c>
      <c r="K344" s="1343">
        <f t="shared" ca="1" si="451"/>
        <v>0</v>
      </c>
      <c r="L344" s="1343">
        <f t="shared" ca="1" si="452"/>
        <v>0</v>
      </c>
      <c r="M344" s="1343">
        <f t="shared" ca="1" si="453"/>
        <v>0</v>
      </c>
      <c r="N344" s="1343">
        <f t="shared" ca="1" si="454"/>
        <v>0</v>
      </c>
      <c r="O344" s="1343">
        <f t="shared" ca="1" si="455"/>
        <v>0</v>
      </c>
      <c r="P344" s="1343">
        <f t="shared" ca="1" si="456"/>
        <v>0</v>
      </c>
      <c r="Q344" s="1343">
        <f t="shared" ca="1" si="457"/>
        <v>0</v>
      </c>
      <c r="R344" s="1343">
        <f t="shared" ca="1" si="458"/>
        <v>0</v>
      </c>
      <c r="S344" s="1343">
        <f t="shared" ca="1" si="459"/>
        <v>0</v>
      </c>
      <c r="T344" s="1343">
        <f t="shared" ca="1" si="460"/>
        <v>0</v>
      </c>
      <c r="U344" s="1343">
        <f t="shared" ca="1" si="461"/>
        <v>0</v>
      </c>
      <c r="V344" s="1343">
        <f t="shared" ca="1" si="462"/>
        <v>0</v>
      </c>
      <c r="W344" s="1343">
        <f t="shared" ca="1" si="463"/>
        <v>0</v>
      </c>
      <c r="X344" s="226"/>
      <c r="Y344" s="226"/>
      <c r="Z344" s="226"/>
      <c r="AA344" s="170"/>
      <c r="AB344" s="170"/>
    </row>
    <row r="345" spans="1:28" ht="12.75" hidden="1" customHeight="1" outlineLevel="1">
      <c r="A345" s="223">
        <v>7</v>
      </c>
      <c r="B345" s="210" t="str">
        <f t="shared" ca="1" si="464"/>
        <v>Depreciated Net Capex 2016-17</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2017-18</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2018-19</v>
      </c>
      <c r="C347" s="1346"/>
      <c r="D347" s="1346"/>
      <c r="E347" s="1346"/>
      <c r="F347" s="1346"/>
      <c r="G347" s="1346"/>
      <c r="H347" s="1346"/>
      <c r="I347" s="1346"/>
      <c r="J347" s="1346"/>
      <c r="K347" s="1347"/>
      <c r="L347" s="1348">
        <f>L333</f>
        <v>0</v>
      </c>
      <c r="M347" s="1343">
        <f ca="1">IF(L371="n/a",L347,IFERROR(IF((OFFSET($C347,0,$A347))&lt;0,
MIN(0,L347-(OFFSET($C347,0,$A347)/(OFFSET($C342,-$A346,$A347)))),
MAX(0,L347-(OFFSET($C347,0,$A347)/(OFFSET($C342,-$A346,$A347))))),0))</f>
        <v>0</v>
      </c>
      <c r="N347" s="1343">
        <f t="shared" ca="1" si="454"/>
        <v>0</v>
      </c>
      <c r="O347" s="1343">
        <f t="shared" ca="1" si="455"/>
        <v>0</v>
      </c>
      <c r="P347" s="1343">
        <f t="shared" ca="1" si="456"/>
        <v>0</v>
      </c>
      <c r="Q347" s="1343">
        <f t="shared" ca="1" si="457"/>
        <v>0</v>
      </c>
      <c r="R347" s="1343">
        <f t="shared" ca="1" si="458"/>
        <v>0</v>
      </c>
      <c r="S347" s="1343">
        <f t="shared" ca="1" si="459"/>
        <v>0</v>
      </c>
      <c r="T347" s="1343">
        <f t="shared" ca="1" si="460"/>
        <v>0</v>
      </c>
      <c r="U347" s="1343">
        <f t="shared" ca="1" si="461"/>
        <v>0</v>
      </c>
      <c r="V347" s="1343">
        <f t="shared" ca="1" si="462"/>
        <v>0</v>
      </c>
      <c r="W347" s="1343">
        <f t="shared" ca="1" si="463"/>
        <v>0</v>
      </c>
      <c r="X347" s="226"/>
      <c r="Y347" s="226"/>
      <c r="Z347" s="226"/>
      <c r="AA347" s="170"/>
      <c r="AB347" s="170"/>
    </row>
    <row r="348" spans="1:28" ht="12.75" hidden="1" customHeight="1" outlineLevel="1">
      <c r="A348" s="223">
        <v>10</v>
      </c>
      <c r="B348" s="210" t="str">
        <f t="shared" ca="1" si="464"/>
        <v>Depreciated Net Capex 2019-20</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2020-21</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2021-22</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2022-23</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2023-24</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2024-25</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2025-26</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2026-27</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2027-28</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2028-29</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2029-30</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0</v>
      </c>
      <c r="D362" s="1343">
        <f t="shared" ref="D362" ca="1" si="483">IF(C362="n/a","n/a",MAX(0,C362-1))</f>
        <v>0</v>
      </c>
      <c r="E362" s="1343">
        <f t="shared" ref="E362:E363" ca="1" si="484">IF(D362="n/a","n/a",MAX(0,D362-1))</f>
        <v>0</v>
      </c>
      <c r="F362" s="1343">
        <f t="shared" ref="F362:F364" ca="1" si="485">IF(E362="n/a","n/a",MAX(0,E362-1))</f>
        <v>0</v>
      </c>
      <c r="G362" s="1343">
        <f t="shared" ref="G362:G365" ca="1" si="486">IF(F362="n/a","n/a",MAX(0,F362-1))</f>
        <v>0</v>
      </c>
      <c r="H362" s="1343">
        <f t="shared" ref="H362:H366" ca="1" si="487">IF(G362="n/a","n/a",MAX(0,G362-1))</f>
        <v>0</v>
      </c>
      <c r="I362" s="1343">
        <f t="shared" ref="I362:I367" ca="1" si="488">IF(H362="n/a","n/a",MAX(0,H362-1))</f>
        <v>0</v>
      </c>
      <c r="J362" s="1343">
        <f t="shared" ref="J362:J368" ca="1" si="489">IF(I362="n/a","n/a",MAX(0,I362-1))</f>
        <v>0</v>
      </c>
      <c r="K362" s="1343">
        <f t="shared" ref="K362:K369" ca="1" si="490">IF(J362="n/a","n/a",MAX(0,J362-1))</f>
        <v>0</v>
      </c>
      <c r="L362" s="1343">
        <f t="shared" ref="L362:L370" ca="1" si="491">IF(K362="n/a","n/a",MAX(0,K362-1))</f>
        <v>0</v>
      </c>
      <c r="M362" s="1343">
        <f t="shared" ref="M362:M371" ca="1" si="492">IF(L362="n/a","n/a",MAX(0,L362-1))</f>
        <v>0</v>
      </c>
      <c r="N362" s="1343">
        <f t="shared" ref="N362:N372" ca="1" si="493">IF(M362="n/a","n/a",MAX(0,M362-1))</f>
        <v>0</v>
      </c>
      <c r="O362" s="1343">
        <f t="shared" ref="O362:O373" ca="1" si="494">IF(N362="n/a","n/a",MAX(0,N362-1))</f>
        <v>0</v>
      </c>
      <c r="P362" s="1343">
        <f t="shared" ref="P362:P374" ca="1" si="495">IF(O362="n/a","n/a",MAX(0,O362-1))</f>
        <v>0</v>
      </c>
      <c r="Q362" s="1343">
        <f t="shared" ref="Q362:Q375" ca="1" si="496">IF(P362="n/a","n/a",MAX(0,P362-1))</f>
        <v>0</v>
      </c>
      <c r="R362" s="1343">
        <f t="shared" ref="R362:R376" ca="1" si="497">IF(Q362="n/a","n/a",MAX(0,Q362-1))</f>
        <v>0</v>
      </c>
      <c r="S362" s="1343">
        <f t="shared" ref="S362:S377" ca="1" si="498">IF(R362="n/a","n/a",MAX(0,R362-1))</f>
        <v>0</v>
      </c>
      <c r="T362" s="1343">
        <f t="shared" ref="T362:T378" ca="1" si="499">IF(S362="n/a","n/a",MAX(0,S362-1))</f>
        <v>0</v>
      </c>
      <c r="U362" s="1343">
        <f t="shared" ref="U362:U379" ca="1" si="500">IF(T362="n/a","n/a",MAX(0,T362-1))</f>
        <v>0</v>
      </c>
      <c r="V362" s="1343">
        <f t="shared" ref="V362:V380" ca="1" si="501">IF(U362="n/a","n/a",MAX(0,U362-1))</f>
        <v>0</v>
      </c>
      <c r="W362" s="1343">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2010-11</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2011-12</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2012-13</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2013-14</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2014-15</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2015-16</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2016-17</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2017-18</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2018-19</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2019-20</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2020-21</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2021-22</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2022-23</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2023-24</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2024-25</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2025-26</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2026-27</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2027-28</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2028-29</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2029-30</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0</v>
      </c>
      <c r="D384" s="1351">
        <f ca="1">(IF(OR($C334&lt;&gt;"n/a",D334&lt;&gt;"n/a"),IF(SUM(D337:D359)=0,0,IF((SUMPRODUCT(D337:D359,D361:D383)/SUM(D337:D359))&lt;0,1,(SUMPRODUCT(D337:D359,D361:D383)/SUM(D337:D359)))),"n/a"))</f>
        <v>0</v>
      </c>
      <c r="E384" s="1351">
        <f t="shared" ref="E384:W384" ca="1" si="504">(IF(OR($C334&lt;&gt;"n/a",E334&lt;&gt;"n/a"),IF(SUM(E337:E359)=0,0,IF((SUMPRODUCT(E337:E359,E361:E383)/SUM(E337:E359))&lt;0,1,(SUMPRODUCT(E337:E359,E361:E383)/SUM(E337:E359)))),"n/a"))</f>
        <v>0</v>
      </c>
      <c r="F384" s="1351">
        <f t="shared" ca="1" si="504"/>
        <v>0</v>
      </c>
      <c r="G384" s="1351">
        <f t="shared" ca="1" si="504"/>
        <v>0</v>
      </c>
      <c r="H384" s="1351">
        <f t="shared" ca="1" si="504"/>
        <v>0</v>
      </c>
      <c r="I384" s="1351">
        <f t="shared" ca="1" si="504"/>
        <v>0</v>
      </c>
      <c r="J384" s="1351">
        <f t="shared" ca="1" si="504"/>
        <v>0</v>
      </c>
      <c r="K384" s="1351">
        <f t="shared" ca="1" si="504"/>
        <v>0</v>
      </c>
      <c r="L384" s="1351">
        <f t="shared" ca="1" si="504"/>
        <v>0</v>
      </c>
      <c r="M384" s="1351">
        <f t="shared" ca="1" si="504"/>
        <v>0</v>
      </c>
      <c r="N384" s="1351">
        <f t="shared" ca="1" si="504"/>
        <v>0</v>
      </c>
      <c r="O384" s="1351">
        <f t="shared" ca="1" si="504"/>
        <v>0</v>
      </c>
      <c r="P384" s="1351">
        <f t="shared" ca="1" si="504"/>
        <v>0</v>
      </c>
      <c r="Q384" s="1351">
        <f t="shared" ca="1" si="504"/>
        <v>0</v>
      </c>
      <c r="R384" s="1351">
        <f t="shared" ca="1" si="504"/>
        <v>0</v>
      </c>
      <c r="S384" s="1351">
        <f t="shared" ca="1" si="504"/>
        <v>0</v>
      </c>
      <c r="T384" s="1351">
        <f t="shared" ca="1" si="504"/>
        <v>0</v>
      </c>
      <c r="U384" s="1351">
        <f t="shared" ca="1" si="504"/>
        <v>0</v>
      </c>
      <c r="V384" s="1351">
        <f t="shared" ca="1" si="504"/>
        <v>0</v>
      </c>
      <c r="W384" s="1351">
        <f t="shared" ca="1" si="504"/>
        <v>0</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0</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0</v>
      </c>
      <c r="D392" s="1343">
        <f ca="1">IF(C416="n/a",C392,IFERROR(IF((OFFSET($C392,0,$A392))&lt;0,
MIN(0,C392-(OFFSET($C392,0,$A392)/(OFFSET($C387,-$A391,$A392)))),
MAX(0,C392-(OFFSET($C392,0,$A392)/(OFFSET($C387,-$A391,$A392))))),0))</f>
        <v>0</v>
      </c>
      <c r="E392" s="1343">
        <f t="shared" ref="E392" ca="1" si="524">IF(D416="n/a",D392,IFERROR(IF((OFFSET($C392,0,$A392))&lt;0,
MIN(0,D392-(OFFSET($C392,0,$A392)/(OFFSET($C387,-$A391,$A392)))),
MAX(0,D392-(OFFSET($C392,0,$A392)/(OFFSET($C387,-$A391,$A392))))),0))</f>
        <v>0</v>
      </c>
      <c r="F392" s="1343">
        <f t="shared" ref="F392:F393" ca="1" si="525">IF(E416="n/a",E392,IFERROR(IF((OFFSET($C392,0,$A392))&lt;0,
MIN(0,E392-(OFFSET($C392,0,$A392)/(OFFSET($C387,-$A391,$A392)))),
MAX(0,E392-(OFFSET($C392,0,$A392)/(OFFSET($C387,-$A391,$A392))))),0))</f>
        <v>0</v>
      </c>
      <c r="G392" s="1343">
        <f t="shared" ref="G392:G394" ca="1" si="526">IF(F416="n/a",F392,IFERROR(IF((OFFSET($C392,0,$A392))&lt;0,
MIN(0,F392-(OFFSET($C392,0,$A392)/(OFFSET($C387,-$A391,$A392)))),
MAX(0,F392-(OFFSET($C392,0,$A392)/(OFFSET($C387,-$A391,$A392))))),0))</f>
        <v>0</v>
      </c>
      <c r="H392" s="1343">
        <f t="shared" ref="H392:H395" ca="1" si="527">IF(G416="n/a",G392,IFERROR(IF((OFFSET($C392,0,$A392))&lt;0,
MIN(0,G392-(OFFSET($C392,0,$A392)/(OFFSET($C387,-$A391,$A392)))),
MAX(0,G392-(OFFSET($C392,0,$A392)/(OFFSET($C387,-$A391,$A392))))),0))</f>
        <v>0</v>
      </c>
      <c r="I392" s="1343">
        <f t="shared" ref="I392:I396" ca="1" si="528">IF(H416="n/a",H392,IFERROR(IF((OFFSET($C392,0,$A392))&lt;0,
MIN(0,H392-(OFFSET($C392,0,$A392)/(OFFSET($C387,-$A391,$A392)))),
MAX(0,H392-(OFFSET($C392,0,$A392)/(OFFSET($C387,-$A391,$A392))))),0))</f>
        <v>0</v>
      </c>
      <c r="J392" s="1343">
        <f t="shared" ref="J392:J397" ca="1" si="529">IF(I416="n/a",I392,IFERROR(IF((OFFSET($C392,0,$A392))&lt;0,
MIN(0,I392-(OFFSET($C392,0,$A392)/(OFFSET($C387,-$A391,$A392)))),
MAX(0,I392-(OFFSET($C392,0,$A392)/(OFFSET($C387,-$A391,$A392))))),0))</f>
        <v>0</v>
      </c>
      <c r="K392" s="1343">
        <f t="shared" ref="K392:K398" ca="1" si="530">IF(J416="n/a",J392,IFERROR(IF((OFFSET($C392,0,$A392))&lt;0,
MIN(0,J392-(OFFSET($C392,0,$A392)/(OFFSET($C387,-$A391,$A392)))),
MAX(0,J392-(OFFSET($C392,0,$A392)/(OFFSET($C387,-$A391,$A392))))),0))</f>
        <v>0</v>
      </c>
      <c r="L392" s="1343">
        <f t="shared" ref="L392:L399" ca="1" si="531">IF(K416="n/a",K392,IFERROR(IF((OFFSET($C392,0,$A392))&lt;0,
MIN(0,K392-(OFFSET($C392,0,$A392)/(OFFSET($C387,-$A391,$A392)))),
MAX(0,K392-(OFFSET($C392,0,$A392)/(OFFSET($C387,-$A391,$A392))))),0))</f>
        <v>0</v>
      </c>
      <c r="M392" s="1343">
        <f t="shared" ref="M392:M400" ca="1" si="532">IF(L416="n/a",L392,IFERROR(IF((OFFSET($C392,0,$A392))&lt;0,
MIN(0,L392-(OFFSET($C392,0,$A392)/(OFFSET($C387,-$A391,$A392)))),
MAX(0,L392-(OFFSET($C392,0,$A392)/(OFFSET($C387,-$A391,$A392))))),0))</f>
        <v>0</v>
      </c>
      <c r="N392" s="1343">
        <f t="shared" ref="N392:N401" ca="1" si="533">IF(M416="n/a",M392,IFERROR(IF((OFFSET($C392,0,$A392))&lt;0,
MIN(0,M392-(OFFSET($C392,0,$A392)/(OFFSET($C387,-$A391,$A392)))),
MAX(0,M392-(OFFSET($C392,0,$A392)/(OFFSET($C387,-$A391,$A392))))),0))</f>
        <v>0</v>
      </c>
      <c r="O392" s="1343">
        <f t="shared" ref="O392:O402" ca="1" si="534">IF(N416="n/a",N392,IFERROR(IF((OFFSET($C392,0,$A392))&lt;0,
MIN(0,N392-(OFFSET($C392,0,$A392)/(OFFSET($C387,-$A391,$A392)))),
MAX(0,N392-(OFFSET($C392,0,$A392)/(OFFSET($C387,-$A391,$A392))))),0))</f>
        <v>0</v>
      </c>
      <c r="P392" s="1343">
        <f t="shared" ref="P392:P403" ca="1" si="535">IF(O416="n/a",O392,IFERROR(IF((OFFSET($C392,0,$A392))&lt;0,
MIN(0,O392-(OFFSET($C392,0,$A392)/(OFFSET($C387,-$A391,$A392)))),
MAX(0,O392-(OFFSET($C392,0,$A392)/(OFFSET($C387,-$A391,$A392))))),0))</f>
        <v>0</v>
      </c>
      <c r="Q392" s="1343">
        <f t="shared" ref="Q392:Q404" ca="1" si="536">IF(P416="n/a",P392,IFERROR(IF((OFFSET($C392,0,$A392))&lt;0,
MIN(0,P392-(OFFSET($C392,0,$A392)/(OFFSET($C387,-$A391,$A392)))),
MAX(0,P392-(OFFSET($C392,0,$A392)/(OFFSET($C387,-$A391,$A392))))),0))</f>
        <v>0</v>
      </c>
      <c r="R392" s="1343">
        <f t="shared" ref="R392:R405" ca="1" si="537">IF(Q416="n/a",Q392,IFERROR(IF((OFFSET($C392,0,$A392))&lt;0,
MIN(0,Q392-(OFFSET($C392,0,$A392)/(OFFSET($C387,-$A391,$A392)))),
MAX(0,Q392-(OFFSET($C392,0,$A392)/(OFFSET($C387,-$A391,$A392))))),0))</f>
        <v>0</v>
      </c>
      <c r="S392" s="1343">
        <f t="shared" ref="S392:S406" ca="1" si="538">IF(R416="n/a",R392,IFERROR(IF((OFFSET($C392,0,$A392))&lt;0,
MIN(0,R392-(OFFSET($C392,0,$A392)/(OFFSET($C387,-$A391,$A392)))),
MAX(0,R392-(OFFSET($C392,0,$A392)/(OFFSET($C387,-$A391,$A392))))),0))</f>
        <v>0</v>
      </c>
      <c r="T392" s="1343">
        <f t="shared" ref="T392:T407" ca="1" si="539">IF(S416="n/a",S392,IFERROR(IF((OFFSET($C392,0,$A392))&lt;0,
MIN(0,S392-(OFFSET($C392,0,$A392)/(OFFSET($C387,-$A391,$A392)))),
MAX(0,S392-(OFFSET($C392,0,$A392)/(OFFSET($C387,-$A391,$A392))))),0))</f>
        <v>0</v>
      </c>
      <c r="U392" s="1343">
        <f t="shared" ref="U392:U408" ca="1" si="540">IF(T416="n/a",T392,IFERROR(IF((OFFSET($C392,0,$A392))&lt;0,
MIN(0,T392-(OFFSET($C392,0,$A392)/(OFFSET($C387,-$A391,$A392)))),
MAX(0,T392-(OFFSET($C392,0,$A392)/(OFFSET($C387,-$A391,$A392))))),0))</f>
        <v>0</v>
      </c>
      <c r="V392" s="1343">
        <f t="shared" ref="V392:V409" ca="1" si="541">IF(U416="n/a",U392,IFERROR(IF((OFFSET($C392,0,$A392))&lt;0,
MIN(0,U392-(OFFSET($C392,0,$A392)/(OFFSET($C387,-$A391,$A392)))),
MAX(0,U392-(OFFSET($C392,0,$A392)/(OFFSET($C387,-$A391,$A392))))),0))</f>
        <v>0</v>
      </c>
      <c r="W392" s="1343">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2010-11</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2011-12</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2012-13</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2013-14</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2014-15</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2015-16</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2016-17</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2017-18</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2018-19</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2019-20</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2020-21</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2021-22</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2022-23</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2023-24</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2024-25</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2025-26</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2026-27</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2027-28</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2028-29</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2029-30</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2010-11</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2011-12</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2012-13</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2013-14</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2014-15</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2015-16</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2016-17</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2017-18</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2018-19</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2019-20</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2020-21</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2021-22</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2022-23</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2023-24</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2024-25</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2025-26</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2026-27</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2027-28</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2028-29</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2029-30</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0</v>
      </c>
      <c r="D441" s="1361">
        <f>'Capital base remaining lives'!D446</f>
        <v>0</v>
      </c>
      <c r="E441" s="1361">
        <f>'Capital base remaining lives'!E446</f>
        <v>0</v>
      </c>
      <c r="F441" s="1361">
        <f>'Capital base remaining lives'!F446</f>
        <v>0</v>
      </c>
      <c r="G441" s="1361">
        <f>'Capital base remaining lives'!G446</f>
        <v>0</v>
      </c>
      <c r="H441" s="1361">
        <f>'Capital base remaining lives'!H446</f>
        <v>0</v>
      </c>
      <c r="I441" s="1361">
        <f>'Capital base remaining lives'!I446</f>
        <v>0</v>
      </c>
      <c r="J441" s="1361">
        <f>'Capital base remaining lives'!J446</f>
        <v>0</v>
      </c>
      <c r="K441" s="1361">
        <f>'Capital base remaining lives'!K446</f>
        <v>0</v>
      </c>
      <c r="L441" s="1361">
        <f>'Capital base remaining lives'!L446</f>
        <v>0</v>
      </c>
      <c r="M441" s="1361">
        <f>'Capital base remaining lives'!M446</f>
        <v>0</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0</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0</v>
      </c>
      <c r="D446" s="1343">
        <f ca="1">IF(C470="n/a",C446,IFERROR(IF((OFFSET($C446,0,$A446))&lt;0,
MIN(0,C446-(OFFSET($C446,0,$A446)/(OFFSET($C441,-$A445,$A446)))),
MAX(0,C446-(OFFSET($C446,0,$A446)/(OFFSET($C441,-$A445,$A446))))),0))</f>
        <v>0</v>
      </c>
      <c r="E446" s="1343">
        <f t="shared" ref="E446" ca="1" si="603">IF(D470="n/a",D446,IFERROR(IF((OFFSET($C446,0,$A446))&lt;0,
MIN(0,D446-(OFFSET($C446,0,$A446)/(OFFSET($C441,-$A445,$A446)))),
MAX(0,D446-(OFFSET($C446,0,$A446)/(OFFSET($C441,-$A445,$A446))))),0))</f>
        <v>0</v>
      </c>
      <c r="F446" s="1343">
        <f t="shared" ref="F446:F447" ca="1" si="604">IF(E470="n/a",E446,IFERROR(IF((OFFSET($C446,0,$A446))&lt;0,
MIN(0,E446-(OFFSET($C446,0,$A446)/(OFFSET($C441,-$A445,$A446)))),
MAX(0,E446-(OFFSET($C446,0,$A446)/(OFFSET($C441,-$A445,$A446))))),0))</f>
        <v>0</v>
      </c>
      <c r="G446" s="1343">
        <f t="shared" ref="G446:G448" ca="1" si="605">IF(F470="n/a",F446,IFERROR(IF((OFFSET($C446,0,$A446))&lt;0,
MIN(0,F446-(OFFSET($C446,0,$A446)/(OFFSET($C441,-$A445,$A446)))),
MAX(0,F446-(OFFSET($C446,0,$A446)/(OFFSET($C441,-$A445,$A446))))),0))</f>
        <v>0</v>
      </c>
      <c r="H446" s="1343">
        <f t="shared" ref="H446:H449" ca="1" si="606">IF(G470="n/a",G446,IFERROR(IF((OFFSET($C446,0,$A446))&lt;0,
MIN(0,G446-(OFFSET($C446,0,$A446)/(OFFSET($C441,-$A445,$A446)))),
MAX(0,G446-(OFFSET($C446,0,$A446)/(OFFSET($C441,-$A445,$A446))))),0))</f>
        <v>0</v>
      </c>
      <c r="I446" s="1343">
        <f t="shared" ref="I446:I450" ca="1" si="607">IF(H470="n/a",H446,IFERROR(IF((OFFSET($C446,0,$A446))&lt;0,
MIN(0,H446-(OFFSET($C446,0,$A446)/(OFFSET($C441,-$A445,$A446)))),
MAX(0,H446-(OFFSET($C446,0,$A446)/(OFFSET($C441,-$A445,$A446))))),0))</f>
        <v>0</v>
      </c>
      <c r="J446" s="1343">
        <f t="shared" ref="J446:J451" ca="1" si="608">IF(I470="n/a",I446,IFERROR(IF((OFFSET($C446,0,$A446))&lt;0,
MIN(0,I446-(OFFSET($C446,0,$A446)/(OFFSET($C441,-$A445,$A446)))),
MAX(0,I446-(OFFSET($C446,0,$A446)/(OFFSET($C441,-$A445,$A446))))),0))</f>
        <v>0</v>
      </c>
      <c r="K446" s="1343">
        <f t="shared" ref="K446:K452" ca="1" si="609">IF(J470="n/a",J446,IFERROR(IF((OFFSET($C446,0,$A446))&lt;0,
MIN(0,J446-(OFFSET($C446,0,$A446)/(OFFSET($C441,-$A445,$A446)))),
MAX(0,J446-(OFFSET($C446,0,$A446)/(OFFSET($C441,-$A445,$A446))))),0))</f>
        <v>0</v>
      </c>
      <c r="L446" s="1343">
        <f t="shared" ref="L446:L453" ca="1" si="610">IF(K470="n/a",K446,IFERROR(IF((OFFSET($C446,0,$A446))&lt;0,
MIN(0,K446-(OFFSET($C446,0,$A446)/(OFFSET($C441,-$A445,$A446)))),
MAX(0,K446-(OFFSET($C446,0,$A446)/(OFFSET($C441,-$A445,$A446))))),0))</f>
        <v>0</v>
      </c>
      <c r="M446" s="1343">
        <f t="shared" ref="M446:M454" ca="1" si="611">IF(L470="n/a",L446,IFERROR(IF((OFFSET($C446,0,$A446))&lt;0,
MIN(0,L446-(OFFSET($C446,0,$A446)/(OFFSET($C441,-$A445,$A446)))),
MAX(0,L446-(OFFSET($C446,0,$A446)/(OFFSET($C441,-$A445,$A446))))),0))</f>
        <v>0</v>
      </c>
      <c r="N446" s="1343">
        <f t="shared" ref="N446:N455" ca="1" si="612">IF(M470="n/a",M446,IFERROR(IF((OFFSET($C446,0,$A446))&lt;0,
MIN(0,M446-(OFFSET($C446,0,$A446)/(OFFSET($C441,-$A445,$A446)))),
MAX(0,M446-(OFFSET($C446,0,$A446)/(OFFSET($C441,-$A445,$A446))))),0))</f>
        <v>0</v>
      </c>
      <c r="O446" s="1343">
        <f t="shared" ref="O446:O456" ca="1" si="613">IF(N470="n/a",N446,IFERROR(IF((OFFSET($C446,0,$A446))&lt;0,
MIN(0,N446-(OFFSET($C446,0,$A446)/(OFFSET($C441,-$A445,$A446)))),
MAX(0,N446-(OFFSET($C446,0,$A446)/(OFFSET($C441,-$A445,$A446))))),0))</f>
        <v>0</v>
      </c>
      <c r="P446" s="1343">
        <f t="shared" ref="P446:P457" ca="1" si="614">IF(O470="n/a",O446,IFERROR(IF((OFFSET($C446,0,$A446))&lt;0,
MIN(0,O446-(OFFSET($C446,0,$A446)/(OFFSET($C441,-$A445,$A446)))),
MAX(0,O446-(OFFSET($C446,0,$A446)/(OFFSET($C441,-$A445,$A446))))),0))</f>
        <v>0</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2010-11</v>
      </c>
      <c r="C447" s="1344"/>
      <c r="D447" s="1345">
        <f>D441</f>
        <v>0</v>
      </c>
      <c r="E447" s="1343">
        <f ca="1">IF(D471="n/a",D447,IFERROR(IF((OFFSET($C447,0,$A447))&lt;0,
MIN(0,D447-(OFFSET($C447,0,$A447)/(OFFSET($C442,-$A446,$A447)))),
MAX(0,D447-(OFFSET($C447,0,$A447)/(OFFSET($C442,-$A446,$A447))))),0))</f>
        <v>0</v>
      </c>
      <c r="F447" s="1343">
        <f t="shared" ca="1" si="604"/>
        <v>0</v>
      </c>
      <c r="G447" s="1343">
        <f t="shared" ca="1" si="605"/>
        <v>0</v>
      </c>
      <c r="H447" s="1343">
        <f t="shared" ca="1" si="606"/>
        <v>0</v>
      </c>
      <c r="I447" s="1343">
        <f t="shared" ca="1" si="607"/>
        <v>0</v>
      </c>
      <c r="J447" s="1343">
        <f t="shared" ca="1" si="608"/>
        <v>0</v>
      </c>
      <c r="K447" s="1343">
        <f t="shared" ca="1" si="609"/>
        <v>0</v>
      </c>
      <c r="L447" s="1343">
        <f t="shared" ca="1" si="610"/>
        <v>0</v>
      </c>
      <c r="M447" s="1343">
        <f t="shared" ca="1" si="611"/>
        <v>0</v>
      </c>
      <c r="N447" s="1343">
        <f t="shared" ca="1" si="612"/>
        <v>0</v>
      </c>
      <c r="O447" s="1343">
        <f t="shared" ca="1" si="613"/>
        <v>0</v>
      </c>
      <c r="P447" s="1343">
        <f t="shared" ca="1" si="614"/>
        <v>0</v>
      </c>
      <c r="Q447" s="1343">
        <f t="shared" ca="1" si="615"/>
        <v>0</v>
      </c>
      <c r="R447" s="1343">
        <f t="shared" ca="1" si="616"/>
        <v>0</v>
      </c>
      <c r="S447" s="1343">
        <f t="shared" ca="1" si="617"/>
        <v>0</v>
      </c>
      <c r="T447" s="1343">
        <f t="shared" ca="1" si="618"/>
        <v>0</v>
      </c>
      <c r="U447" s="1343">
        <f t="shared" ca="1" si="619"/>
        <v>0</v>
      </c>
      <c r="V447" s="1343">
        <f t="shared" ca="1" si="620"/>
        <v>0</v>
      </c>
      <c r="W447" s="1343">
        <f t="shared" ca="1" si="621"/>
        <v>0</v>
      </c>
      <c r="X447" s="170"/>
      <c r="Y447" s="170"/>
      <c r="Z447" s="170"/>
      <c r="AA447" s="170"/>
      <c r="AB447" s="170"/>
    </row>
    <row r="448" spans="1:28" ht="12.75" hidden="1" customHeight="1" outlineLevel="1">
      <c r="A448" s="223">
        <v>2</v>
      </c>
      <c r="B448" s="210" t="str">
        <f t="shared" ca="1" si="622"/>
        <v>Depreciated Net Capex 2011-12</v>
      </c>
      <c r="C448" s="1346"/>
      <c r="D448" s="1347"/>
      <c r="E448" s="1345">
        <f>E441</f>
        <v>0</v>
      </c>
      <c r="F448" s="1343">
        <f ca="1">IF(E472="n/a",E448,IFERROR(IF((OFFSET($C448,0,$A448))&lt;0,
MIN(0,E448-(OFFSET($C448,0,$A448)/(OFFSET($C443,-$A447,$A448)))),
MAX(0,E448-(OFFSET($C448,0,$A448)/(OFFSET($C443,-$A447,$A448))))),0))</f>
        <v>0</v>
      </c>
      <c r="G448" s="1343">
        <f t="shared" ca="1" si="605"/>
        <v>0</v>
      </c>
      <c r="H448" s="1343">
        <f t="shared" ca="1" si="606"/>
        <v>0</v>
      </c>
      <c r="I448" s="1343">
        <f t="shared" ca="1" si="607"/>
        <v>0</v>
      </c>
      <c r="J448" s="1343">
        <f t="shared" ca="1" si="608"/>
        <v>0</v>
      </c>
      <c r="K448" s="1343">
        <f t="shared" ca="1" si="609"/>
        <v>0</v>
      </c>
      <c r="L448" s="1343">
        <f t="shared" ca="1" si="610"/>
        <v>0</v>
      </c>
      <c r="M448" s="1343">
        <f t="shared" ca="1" si="611"/>
        <v>0</v>
      </c>
      <c r="N448" s="1343">
        <f t="shared" ca="1" si="612"/>
        <v>0</v>
      </c>
      <c r="O448" s="1343">
        <f t="shared" ca="1" si="613"/>
        <v>0</v>
      </c>
      <c r="P448" s="1343">
        <f t="shared" ca="1" si="614"/>
        <v>0</v>
      </c>
      <c r="Q448" s="1343">
        <f t="shared" ca="1" si="615"/>
        <v>0</v>
      </c>
      <c r="R448" s="1343">
        <f t="shared" ca="1" si="616"/>
        <v>0</v>
      </c>
      <c r="S448" s="1343">
        <f t="shared" ca="1" si="617"/>
        <v>0</v>
      </c>
      <c r="T448" s="1343">
        <f t="shared" ca="1" si="618"/>
        <v>0</v>
      </c>
      <c r="U448" s="1343">
        <f t="shared" ca="1" si="619"/>
        <v>0</v>
      </c>
      <c r="V448" s="1343">
        <f t="shared" ca="1" si="620"/>
        <v>0</v>
      </c>
      <c r="W448" s="1343">
        <f t="shared" ca="1" si="621"/>
        <v>0</v>
      </c>
      <c r="X448" s="226"/>
      <c r="Y448" s="170"/>
      <c r="Z448" s="170"/>
      <c r="AA448" s="170"/>
      <c r="AB448" s="170"/>
    </row>
    <row r="449" spans="1:28" ht="12.75" hidden="1" customHeight="1" outlineLevel="1">
      <c r="A449" s="223">
        <v>3</v>
      </c>
      <c r="B449" s="210" t="str">
        <f t="shared" ca="1" si="622"/>
        <v>Depreciated Net Capex 2012-13</v>
      </c>
      <c r="C449" s="1346"/>
      <c r="D449" s="1346"/>
      <c r="E449" s="1347"/>
      <c r="F449" s="1348">
        <f>F441</f>
        <v>0</v>
      </c>
      <c r="G449" s="1343">
        <f ca="1">IF(F473="n/a",F449,IFERROR(IF((OFFSET($C449,0,$A449))&lt;0,
MIN(0,F449-(OFFSET($C449,0,$A449)/(OFFSET($C444,-$A448,$A449)))),
MAX(0,F449-(OFFSET($C449,0,$A449)/(OFFSET($C444,-$A448,$A449))))),0))</f>
        <v>0</v>
      </c>
      <c r="H449" s="1343">
        <f t="shared" ca="1" si="606"/>
        <v>0</v>
      </c>
      <c r="I449" s="1343">
        <f t="shared" ca="1" si="607"/>
        <v>0</v>
      </c>
      <c r="J449" s="1343">
        <f t="shared" ca="1" si="608"/>
        <v>0</v>
      </c>
      <c r="K449" s="1343">
        <f t="shared" ca="1" si="609"/>
        <v>0</v>
      </c>
      <c r="L449" s="1343">
        <f t="shared" ca="1" si="610"/>
        <v>0</v>
      </c>
      <c r="M449" s="1343">
        <f t="shared" ca="1" si="611"/>
        <v>0</v>
      </c>
      <c r="N449" s="1343">
        <f t="shared" ca="1" si="612"/>
        <v>0</v>
      </c>
      <c r="O449" s="1343">
        <f t="shared" ca="1" si="613"/>
        <v>0</v>
      </c>
      <c r="P449" s="1343">
        <f t="shared" ca="1" si="614"/>
        <v>0</v>
      </c>
      <c r="Q449" s="1343">
        <f t="shared" ca="1" si="615"/>
        <v>0</v>
      </c>
      <c r="R449" s="1343">
        <f t="shared" ca="1" si="616"/>
        <v>0</v>
      </c>
      <c r="S449" s="1343">
        <f t="shared" ca="1" si="617"/>
        <v>0</v>
      </c>
      <c r="T449" s="1343">
        <f t="shared" ca="1" si="618"/>
        <v>0</v>
      </c>
      <c r="U449" s="1343">
        <f t="shared" ca="1" si="619"/>
        <v>0</v>
      </c>
      <c r="V449" s="1343">
        <f t="shared" ca="1" si="620"/>
        <v>0</v>
      </c>
      <c r="W449" s="1343">
        <f t="shared" ca="1" si="621"/>
        <v>0</v>
      </c>
      <c r="X449" s="226"/>
      <c r="Y449" s="226"/>
      <c r="Z449" s="170"/>
      <c r="AA449" s="170"/>
      <c r="AB449" s="170"/>
    </row>
    <row r="450" spans="1:28" ht="12.75" hidden="1" customHeight="1" outlineLevel="1">
      <c r="A450" s="223">
        <v>4</v>
      </c>
      <c r="B450" s="210" t="str">
        <f t="shared" ca="1" si="622"/>
        <v>Depreciated Net Capex 2013-14</v>
      </c>
      <c r="C450" s="1346"/>
      <c r="D450" s="1346"/>
      <c r="E450" s="1346"/>
      <c r="F450" s="1347"/>
      <c r="G450" s="1348">
        <f>G441</f>
        <v>0</v>
      </c>
      <c r="H450" s="1343">
        <f ca="1">IF(G474="n/a",G450,IFERROR(IF((OFFSET($C450,0,$A450))&lt;0,
MIN(0,G450-(OFFSET($C450,0,$A450)/(OFFSET($C445,-$A449,$A450)))),
MAX(0,G450-(OFFSET($C450,0,$A450)/(OFFSET($C445,-$A449,$A450))))),0))</f>
        <v>0</v>
      </c>
      <c r="I450" s="1343">
        <f t="shared" ca="1" si="607"/>
        <v>0</v>
      </c>
      <c r="J450" s="1343">
        <f t="shared" ca="1" si="608"/>
        <v>0</v>
      </c>
      <c r="K450" s="1343">
        <f t="shared" ca="1" si="609"/>
        <v>0</v>
      </c>
      <c r="L450" s="1343">
        <f t="shared" ca="1" si="610"/>
        <v>0</v>
      </c>
      <c r="M450" s="1343">
        <f t="shared" ca="1" si="611"/>
        <v>0</v>
      </c>
      <c r="N450" s="1343">
        <f t="shared" ca="1" si="612"/>
        <v>0</v>
      </c>
      <c r="O450" s="1343">
        <f t="shared" ca="1" si="613"/>
        <v>0</v>
      </c>
      <c r="P450" s="1343">
        <f t="shared" ca="1" si="614"/>
        <v>0</v>
      </c>
      <c r="Q450" s="1343">
        <f t="shared" ca="1" si="615"/>
        <v>0</v>
      </c>
      <c r="R450" s="1343">
        <f t="shared" ca="1" si="616"/>
        <v>0</v>
      </c>
      <c r="S450" s="1343">
        <f t="shared" ca="1" si="617"/>
        <v>0</v>
      </c>
      <c r="T450" s="1343">
        <f t="shared" ca="1" si="618"/>
        <v>0</v>
      </c>
      <c r="U450" s="1343">
        <f t="shared" ca="1" si="619"/>
        <v>0</v>
      </c>
      <c r="V450" s="1343">
        <f t="shared" ca="1" si="620"/>
        <v>0</v>
      </c>
      <c r="W450" s="1343">
        <f t="shared" ca="1" si="621"/>
        <v>0</v>
      </c>
      <c r="X450" s="226"/>
      <c r="Y450" s="226"/>
      <c r="Z450" s="226"/>
      <c r="AA450" s="170"/>
      <c r="AB450" s="170"/>
    </row>
    <row r="451" spans="1:28" ht="12.75" hidden="1" customHeight="1" outlineLevel="1">
      <c r="A451" s="223">
        <v>5</v>
      </c>
      <c r="B451" s="210" t="str">
        <f t="shared" ca="1" si="622"/>
        <v>Depreciated Net Capex 2014-15</v>
      </c>
      <c r="C451" s="1346"/>
      <c r="D451" s="1346"/>
      <c r="E451" s="1346"/>
      <c r="F451" s="1346"/>
      <c r="G451" s="1347"/>
      <c r="H451" s="1348">
        <f>H441</f>
        <v>0</v>
      </c>
      <c r="I451" s="1343">
        <f ca="1">IF(H475="n/a",H451,IFERROR(IF((OFFSET($C451,0,$A451))&lt;0,
MIN(0,H451-(OFFSET($C451,0,$A451)/(OFFSET($C446,-$A450,$A451)))),
MAX(0,H451-(OFFSET($C451,0,$A451)/(OFFSET($C446,-$A450,$A451))))),0))</f>
        <v>0</v>
      </c>
      <c r="J451" s="1343">
        <f t="shared" ca="1" si="608"/>
        <v>0</v>
      </c>
      <c r="K451" s="1343">
        <f t="shared" ca="1" si="609"/>
        <v>0</v>
      </c>
      <c r="L451" s="1343">
        <f t="shared" ca="1" si="610"/>
        <v>0</v>
      </c>
      <c r="M451" s="1343">
        <f t="shared" ca="1" si="611"/>
        <v>0</v>
      </c>
      <c r="N451" s="1343">
        <f t="shared" ca="1" si="612"/>
        <v>0</v>
      </c>
      <c r="O451" s="1343">
        <f t="shared" ca="1" si="613"/>
        <v>0</v>
      </c>
      <c r="P451" s="1343">
        <f t="shared" ca="1" si="614"/>
        <v>0</v>
      </c>
      <c r="Q451" s="1343">
        <f t="shared" ca="1" si="615"/>
        <v>0</v>
      </c>
      <c r="R451" s="1343">
        <f t="shared" ca="1" si="616"/>
        <v>0</v>
      </c>
      <c r="S451" s="1343">
        <f t="shared" ca="1" si="617"/>
        <v>0</v>
      </c>
      <c r="T451" s="1343">
        <f t="shared" ca="1" si="618"/>
        <v>0</v>
      </c>
      <c r="U451" s="1343">
        <f t="shared" ca="1" si="619"/>
        <v>0</v>
      </c>
      <c r="V451" s="1343">
        <f t="shared" ca="1" si="620"/>
        <v>0</v>
      </c>
      <c r="W451" s="1343">
        <f t="shared" ca="1" si="621"/>
        <v>0</v>
      </c>
      <c r="X451" s="226"/>
      <c r="Y451" s="226"/>
      <c r="Z451" s="226"/>
      <c r="AA451" s="170"/>
      <c r="AB451" s="170"/>
    </row>
    <row r="452" spans="1:28" ht="12.75" hidden="1" customHeight="1" outlineLevel="1">
      <c r="A452" s="223">
        <v>6</v>
      </c>
      <c r="B452" s="210" t="str">
        <f t="shared" ca="1" si="622"/>
        <v>Depreciated Net Capex 2015-16</v>
      </c>
      <c r="C452" s="1346"/>
      <c r="D452" s="1346"/>
      <c r="E452" s="1346"/>
      <c r="F452" s="1346"/>
      <c r="G452" s="1346"/>
      <c r="H452" s="1347"/>
      <c r="I452" s="1348">
        <f>I441</f>
        <v>0</v>
      </c>
      <c r="J452" s="1343">
        <f ca="1">IF(I476="n/a",I452,IFERROR(IF((OFFSET($C452,0,$A452))&lt;0,
MIN(0,I452-(OFFSET($C452,0,$A452)/(OFFSET($C447,-$A451,$A452)))),
MAX(0,I452-(OFFSET($C452,0,$A452)/(OFFSET($C447,-$A451,$A452))))),0))</f>
        <v>0</v>
      </c>
      <c r="K452" s="1343">
        <f t="shared" ca="1" si="609"/>
        <v>0</v>
      </c>
      <c r="L452" s="1343">
        <f t="shared" ca="1" si="610"/>
        <v>0</v>
      </c>
      <c r="M452" s="1343">
        <f t="shared" ca="1" si="611"/>
        <v>0</v>
      </c>
      <c r="N452" s="1343">
        <f t="shared" ca="1" si="612"/>
        <v>0</v>
      </c>
      <c r="O452" s="1343">
        <f t="shared" ca="1" si="613"/>
        <v>0</v>
      </c>
      <c r="P452" s="1343">
        <f t="shared" ca="1" si="614"/>
        <v>0</v>
      </c>
      <c r="Q452" s="1343">
        <f t="shared" ca="1" si="615"/>
        <v>0</v>
      </c>
      <c r="R452" s="1343">
        <f t="shared" ca="1" si="616"/>
        <v>0</v>
      </c>
      <c r="S452" s="1343">
        <f t="shared" ca="1" si="617"/>
        <v>0</v>
      </c>
      <c r="T452" s="1343">
        <f t="shared" ca="1" si="618"/>
        <v>0</v>
      </c>
      <c r="U452" s="1343">
        <f t="shared" ca="1" si="619"/>
        <v>0</v>
      </c>
      <c r="V452" s="1343">
        <f t="shared" ca="1" si="620"/>
        <v>0</v>
      </c>
      <c r="W452" s="1343">
        <f t="shared" ca="1" si="621"/>
        <v>0</v>
      </c>
      <c r="X452" s="226"/>
      <c r="Y452" s="226"/>
      <c r="Z452" s="226"/>
      <c r="AA452" s="170"/>
      <c r="AB452" s="170"/>
    </row>
    <row r="453" spans="1:28" ht="12.75" hidden="1" customHeight="1" outlineLevel="1">
      <c r="A453" s="223">
        <v>7</v>
      </c>
      <c r="B453" s="210" t="str">
        <f t="shared" ca="1" si="622"/>
        <v>Depreciated Net Capex 2016-17</v>
      </c>
      <c r="C453" s="1346"/>
      <c r="D453" s="1346"/>
      <c r="E453" s="1346"/>
      <c r="F453" s="1346"/>
      <c r="G453" s="1346"/>
      <c r="H453" s="1346"/>
      <c r="I453" s="1347"/>
      <c r="J453" s="1348">
        <f>J441</f>
        <v>0</v>
      </c>
      <c r="K453" s="1343">
        <f ca="1">IF(J477="n/a",J453,IFERROR(IF((OFFSET($C453,0,$A453))&lt;0,
MIN(0,J453-(OFFSET($C453,0,$A453)/(OFFSET($C448,-$A452,$A453)))),
MAX(0,J453-(OFFSET($C453,0,$A453)/(OFFSET($C448,-$A452,$A453))))),0))</f>
        <v>0</v>
      </c>
      <c r="L453" s="1343">
        <f t="shared" ca="1" si="610"/>
        <v>0</v>
      </c>
      <c r="M453" s="1343">
        <f t="shared" ca="1" si="611"/>
        <v>0</v>
      </c>
      <c r="N453" s="1343">
        <f t="shared" ca="1" si="612"/>
        <v>0</v>
      </c>
      <c r="O453" s="1343">
        <f t="shared" ca="1" si="613"/>
        <v>0</v>
      </c>
      <c r="P453" s="1343">
        <f t="shared" ca="1" si="614"/>
        <v>0</v>
      </c>
      <c r="Q453" s="1343">
        <f t="shared" ca="1" si="615"/>
        <v>0</v>
      </c>
      <c r="R453" s="1343">
        <f t="shared" ca="1" si="616"/>
        <v>0</v>
      </c>
      <c r="S453" s="1343">
        <f t="shared" ca="1" si="617"/>
        <v>0</v>
      </c>
      <c r="T453" s="1343">
        <f t="shared" ca="1" si="618"/>
        <v>0</v>
      </c>
      <c r="U453" s="1343">
        <f t="shared" ca="1" si="619"/>
        <v>0</v>
      </c>
      <c r="V453" s="1343">
        <f t="shared" ca="1" si="620"/>
        <v>0</v>
      </c>
      <c r="W453" s="1343">
        <f t="shared" ca="1" si="621"/>
        <v>0</v>
      </c>
      <c r="X453" s="226"/>
      <c r="Y453" s="226"/>
      <c r="Z453" s="226"/>
      <c r="AA453" s="170"/>
      <c r="AB453" s="170"/>
    </row>
    <row r="454" spans="1:28" ht="12.75" hidden="1" customHeight="1" outlineLevel="1">
      <c r="A454" s="223">
        <v>8</v>
      </c>
      <c r="B454" s="210" t="str">
        <f t="shared" ca="1" si="622"/>
        <v>Depreciated Net Capex 2017-18</v>
      </c>
      <c r="C454" s="1346"/>
      <c r="D454" s="1346"/>
      <c r="E454" s="1346"/>
      <c r="F454" s="1346"/>
      <c r="G454" s="1346"/>
      <c r="H454" s="1346"/>
      <c r="I454" s="1346"/>
      <c r="J454" s="1347"/>
      <c r="K454" s="1348">
        <f>K441</f>
        <v>0</v>
      </c>
      <c r="L454" s="1343">
        <f ca="1">IF(K478="n/a",K454,IFERROR(IF((OFFSET($C454,0,$A454))&lt;0,
MIN(0,K454-(OFFSET($C454,0,$A454)/(OFFSET($C449,-$A453,$A454)))),
MAX(0,K454-(OFFSET($C454,0,$A454)/(OFFSET($C449,-$A453,$A454))))),0))</f>
        <v>0</v>
      </c>
      <c r="M454" s="1343">
        <f t="shared" ca="1" si="611"/>
        <v>0</v>
      </c>
      <c r="N454" s="1343">
        <f t="shared" ca="1" si="612"/>
        <v>0</v>
      </c>
      <c r="O454" s="1343">
        <f t="shared" ca="1" si="613"/>
        <v>0</v>
      </c>
      <c r="P454" s="1343">
        <f t="shared" ca="1" si="614"/>
        <v>0</v>
      </c>
      <c r="Q454" s="1343">
        <f t="shared" ca="1" si="615"/>
        <v>0</v>
      </c>
      <c r="R454" s="1343">
        <f t="shared" ca="1" si="616"/>
        <v>0</v>
      </c>
      <c r="S454" s="1343">
        <f t="shared" ca="1" si="617"/>
        <v>0</v>
      </c>
      <c r="T454" s="1343">
        <f t="shared" ca="1" si="618"/>
        <v>0</v>
      </c>
      <c r="U454" s="1343">
        <f t="shared" ca="1" si="619"/>
        <v>0</v>
      </c>
      <c r="V454" s="1343">
        <f t="shared" ca="1" si="620"/>
        <v>0</v>
      </c>
      <c r="W454" s="1343">
        <f t="shared" ca="1" si="621"/>
        <v>0</v>
      </c>
      <c r="X454" s="226"/>
      <c r="Y454" s="226"/>
      <c r="Z454" s="226"/>
      <c r="AA454" s="170"/>
      <c r="AB454" s="170"/>
    </row>
    <row r="455" spans="1:28" ht="12.75" hidden="1" customHeight="1" outlineLevel="1">
      <c r="A455" s="223">
        <v>9</v>
      </c>
      <c r="B455" s="210" t="str">
        <f t="shared" ca="1" si="622"/>
        <v>Depreciated Net Capex 2018-19</v>
      </c>
      <c r="C455" s="1346"/>
      <c r="D455" s="1346"/>
      <c r="E455" s="1346"/>
      <c r="F455" s="1346"/>
      <c r="G455" s="1346"/>
      <c r="H455" s="1346"/>
      <c r="I455" s="1346"/>
      <c r="J455" s="1346"/>
      <c r="K455" s="1347"/>
      <c r="L455" s="1348">
        <f>L441</f>
        <v>0</v>
      </c>
      <c r="M455" s="1343">
        <f ca="1">IF(L479="n/a",L455,IFERROR(IF((OFFSET($C455,0,$A455))&lt;0,
MIN(0,L455-(OFFSET($C455,0,$A455)/(OFFSET($C450,-$A454,$A455)))),
MAX(0,L455-(OFFSET($C455,0,$A455)/(OFFSET($C450,-$A454,$A455))))),0))</f>
        <v>0</v>
      </c>
      <c r="N455" s="1343">
        <f t="shared" ca="1" si="612"/>
        <v>0</v>
      </c>
      <c r="O455" s="1343">
        <f t="shared" ca="1" si="613"/>
        <v>0</v>
      </c>
      <c r="P455" s="1343">
        <f t="shared" ca="1" si="614"/>
        <v>0</v>
      </c>
      <c r="Q455" s="1343">
        <f t="shared" ca="1" si="615"/>
        <v>0</v>
      </c>
      <c r="R455" s="1343">
        <f t="shared" ca="1" si="616"/>
        <v>0</v>
      </c>
      <c r="S455" s="1343">
        <f t="shared" ca="1" si="617"/>
        <v>0</v>
      </c>
      <c r="T455" s="1343">
        <f t="shared" ca="1" si="618"/>
        <v>0</v>
      </c>
      <c r="U455" s="1343">
        <f t="shared" ca="1" si="619"/>
        <v>0</v>
      </c>
      <c r="V455" s="1343">
        <f t="shared" ca="1" si="620"/>
        <v>0</v>
      </c>
      <c r="W455" s="1343">
        <f t="shared" ca="1" si="621"/>
        <v>0</v>
      </c>
      <c r="X455" s="226"/>
      <c r="Y455" s="226"/>
      <c r="Z455" s="226"/>
      <c r="AA455" s="170"/>
      <c r="AB455" s="170"/>
    </row>
    <row r="456" spans="1:28" ht="12.75" hidden="1" customHeight="1" outlineLevel="1">
      <c r="A456" s="223">
        <v>10</v>
      </c>
      <c r="B456" s="210" t="str">
        <f t="shared" ca="1" si="622"/>
        <v>Depreciated Net Capex 2019-20</v>
      </c>
      <c r="C456" s="1346"/>
      <c r="D456" s="1346"/>
      <c r="E456" s="1346"/>
      <c r="F456" s="1346"/>
      <c r="G456" s="1346"/>
      <c r="H456" s="1346"/>
      <c r="I456" s="1346"/>
      <c r="J456" s="1346"/>
      <c r="K456" s="1346"/>
      <c r="L456" s="1347"/>
      <c r="M456" s="1348">
        <f>M441</f>
        <v>0</v>
      </c>
      <c r="N456" s="1343">
        <f ca="1">IF(M480="n/a",M456,IFERROR(IF((OFFSET($C456,0,$A456))&lt;0,
MIN(0,M456-(OFFSET($C456,0,$A456)/(OFFSET($C451,-$A455,$A456)))),
MAX(0,M456-(OFFSET($C456,0,$A456)/(OFFSET($C451,-$A455,$A456))))),0))</f>
        <v>0</v>
      </c>
      <c r="O456" s="1343">
        <f t="shared" ca="1" si="613"/>
        <v>0</v>
      </c>
      <c r="P456" s="1343">
        <f t="shared" ca="1" si="614"/>
        <v>0</v>
      </c>
      <c r="Q456" s="1343">
        <f t="shared" ca="1" si="615"/>
        <v>0</v>
      </c>
      <c r="R456" s="1343">
        <f t="shared" ca="1" si="616"/>
        <v>0</v>
      </c>
      <c r="S456" s="1343">
        <f t="shared" ca="1" si="617"/>
        <v>0</v>
      </c>
      <c r="T456" s="1343">
        <f t="shared" ca="1" si="618"/>
        <v>0</v>
      </c>
      <c r="U456" s="1343">
        <f t="shared" ca="1" si="619"/>
        <v>0</v>
      </c>
      <c r="V456" s="1343">
        <f t="shared" ca="1" si="620"/>
        <v>0</v>
      </c>
      <c r="W456" s="1343">
        <f t="shared" ca="1" si="621"/>
        <v>0</v>
      </c>
      <c r="X456" s="226"/>
      <c r="Y456" s="226"/>
      <c r="Z456" s="226"/>
      <c r="AA456" s="170"/>
      <c r="AB456" s="170"/>
    </row>
    <row r="457" spans="1:28" ht="12.75" hidden="1" customHeight="1" outlineLevel="1">
      <c r="A457" s="223">
        <v>11</v>
      </c>
      <c r="B457" s="210" t="str">
        <f t="shared" ca="1" si="622"/>
        <v>Depreciated Net Capex 2020-21</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2021-22</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2022-23</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2023-24</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2024-25</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2025-26</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2026-27</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2027-28</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2028-29</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2029-30</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0</v>
      </c>
      <c r="D470" s="1343">
        <f t="shared" ref="D470" ca="1" si="641">IF(C470="n/a","n/a",MAX(0,C470-1))</f>
        <v>0</v>
      </c>
      <c r="E470" s="1343">
        <f t="shared" ref="E470:E471" ca="1" si="642">IF(D470="n/a","n/a",MAX(0,D470-1))</f>
        <v>0</v>
      </c>
      <c r="F470" s="1343">
        <f t="shared" ref="F470:F472" ca="1" si="643">IF(E470="n/a","n/a",MAX(0,E470-1))</f>
        <v>0</v>
      </c>
      <c r="G470" s="1343">
        <f t="shared" ref="G470:G473" ca="1" si="644">IF(F470="n/a","n/a",MAX(0,F470-1))</f>
        <v>0</v>
      </c>
      <c r="H470" s="1343">
        <f t="shared" ref="H470:H474" ca="1" si="645">IF(G470="n/a","n/a",MAX(0,G470-1))</f>
        <v>0</v>
      </c>
      <c r="I470" s="1343">
        <f t="shared" ref="I470:I475" ca="1" si="646">IF(H470="n/a","n/a",MAX(0,H470-1))</f>
        <v>0</v>
      </c>
      <c r="J470" s="1343">
        <f t="shared" ref="J470:J476" ca="1" si="647">IF(I470="n/a","n/a",MAX(0,I470-1))</f>
        <v>0</v>
      </c>
      <c r="K470" s="1343">
        <f t="shared" ref="K470:K477" ca="1" si="648">IF(J470="n/a","n/a",MAX(0,J470-1))</f>
        <v>0</v>
      </c>
      <c r="L470" s="1343">
        <f t="shared" ref="L470:L478" ca="1" si="649">IF(K470="n/a","n/a",MAX(0,K470-1))</f>
        <v>0</v>
      </c>
      <c r="M470" s="1343">
        <f t="shared" ref="M470:M479" ca="1" si="650">IF(L470="n/a","n/a",MAX(0,L470-1))</f>
        <v>0</v>
      </c>
      <c r="N470" s="1343">
        <f t="shared" ref="N470:N480" ca="1" si="651">IF(M470="n/a","n/a",MAX(0,M470-1))</f>
        <v>0</v>
      </c>
      <c r="O470" s="1343">
        <f t="shared" ref="O470:O481" ca="1" si="652">IF(N470="n/a","n/a",MAX(0,N470-1))</f>
        <v>0</v>
      </c>
      <c r="P470" s="1343">
        <f t="shared" ref="P470:P482" ca="1" si="653">IF(O470="n/a","n/a",MAX(0,O470-1))</f>
        <v>0</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2010-11</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2011-12</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2012-13</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2013-14</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2014-15</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2015-16</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2016-17</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2017-18</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2018-19</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2019-20</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2020-21</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2021-22</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2022-23</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2023-24</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2024-25</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2025-26</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2026-27</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2027-28</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2028-29</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2029-30</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0</v>
      </c>
      <c r="D492" s="1351">
        <f ca="1">(IF(OR($C442&lt;&gt;"n/a",D442&lt;&gt;"n/a"),IF(SUM(D445:D467)=0,0,IF((SUMPRODUCT(D445:D467,D469:D491)/SUM(D445:D467))&lt;0,1,(SUMPRODUCT(D445:D467,D469:D491)/SUM(D445:D467)))),"n/a"))</f>
        <v>0</v>
      </c>
      <c r="E492" s="1351">
        <f t="shared" ref="E492:W492" ca="1" si="662">(IF(OR($C442&lt;&gt;"n/a",E442&lt;&gt;"n/a"),IF(SUM(E445:E467)=0,0,IF((SUMPRODUCT(E445:E467,E469:E491)/SUM(E445:E467))&lt;0,1,(SUMPRODUCT(E445:E467,E469:E491)/SUM(E445:E467)))),"n/a"))</f>
        <v>0</v>
      </c>
      <c r="F492" s="1351">
        <f t="shared" ca="1" si="662"/>
        <v>0</v>
      </c>
      <c r="G492" s="1351">
        <f t="shared" ca="1" si="662"/>
        <v>0</v>
      </c>
      <c r="H492" s="1351">
        <f t="shared" ca="1" si="662"/>
        <v>0</v>
      </c>
      <c r="I492" s="1351">
        <f t="shared" ca="1" si="662"/>
        <v>0</v>
      </c>
      <c r="J492" s="1351">
        <f t="shared" ca="1" si="662"/>
        <v>0</v>
      </c>
      <c r="K492" s="1351">
        <f t="shared" ca="1" si="662"/>
        <v>0</v>
      </c>
      <c r="L492" s="1351">
        <f t="shared" ca="1" si="662"/>
        <v>0</v>
      </c>
      <c r="M492" s="1351">
        <f t="shared" ca="1" si="662"/>
        <v>0</v>
      </c>
      <c r="N492" s="1351">
        <f t="shared" ca="1" si="662"/>
        <v>0</v>
      </c>
      <c r="O492" s="1351">
        <f t="shared" ca="1" si="662"/>
        <v>0</v>
      </c>
      <c r="P492" s="1351">
        <f t="shared" ca="1" si="662"/>
        <v>0</v>
      </c>
      <c r="Q492" s="1351">
        <f t="shared" ca="1" si="662"/>
        <v>0</v>
      </c>
      <c r="R492" s="1351">
        <f t="shared" ca="1" si="662"/>
        <v>0</v>
      </c>
      <c r="S492" s="1351">
        <f t="shared" ca="1" si="662"/>
        <v>0</v>
      </c>
      <c r="T492" s="1351">
        <f t="shared" ca="1" si="662"/>
        <v>0</v>
      </c>
      <c r="U492" s="1351">
        <f t="shared" ca="1" si="662"/>
        <v>0</v>
      </c>
      <c r="V492" s="1351">
        <f t="shared" ca="1" si="662"/>
        <v>0</v>
      </c>
      <c r="W492" s="1351">
        <f t="shared" ca="1" si="662"/>
        <v>0</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0</v>
      </c>
      <c r="D495" s="1361">
        <f>'Capital base remaining lives'!D500</f>
        <v>0</v>
      </c>
      <c r="E495" s="1361">
        <f>'Capital base remaining lives'!E500</f>
        <v>0</v>
      </c>
      <c r="F495" s="1361">
        <f>'Capital base remaining lives'!F500</f>
        <v>0</v>
      </c>
      <c r="G495" s="1361">
        <f>'Capital base remaining lives'!G500</f>
        <v>0</v>
      </c>
      <c r="H495" s="1361">
        <f>'Capital base remaining lives'!H500</f>
        <v>0</v>
      </c>
      <c r="I495" s="1361">
        <f>'Capital base remaining lives'!I500</f>
        <v>0</v>
      </c>
      <c r="J495" s="1361">
        <f>'Capital base remaining lives'!J500</f>
        <v>0</v>
      </c>
      <c r="K495" s="1361">
        <f>'Capital base remaining lives'!K500</f>
        <v>0</v>
      </c>
      <c r="L495" s="1361">
        <f>'Capital base remaining lives'!L500</f>
        <v>0</v>
      </c>
      <c r="M495" s="1361">
        <f>'Capital base remaining lives'!M500</f>
        <v>1.9144029999999999E-2</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0</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0</v>
      </c>
      <c r="D500" s="1343">
        <f ca="1">IF(C524="n/a",C500,IFERROR(IF((OFFSET($C500,0,$A500))&lt;0,
MIN(0,C500-(OFFSET($C500,0,$A500)/(OFFSET($C495,-$A499,$A500)))),
MAX(0,C500-(OFFSET($C500,0,$A500)/(OFFSET($C495,-$A499,$A500))))),0))</f>
        <v>0</v>
      </c>
      <c r="E500" s="1343">
        <f t="shared" ref="E500" ca="1" si="682">IF(D524="n/a",D500,IFERROR(IF((OFFSET($C500,0,$A500))&lt;0,
MIN(0,D500-(OFFSET($C500,0,$A500)/(OFFSET($C495,-$A499,$A500)))),
MAX(0,D500-(OFFSET($C500,0,$A500)/(OFFSET($C495,-$A499,$A500))))),0))</f>
        <v>0</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2010-11</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2011-12</v>
      </c>
      <c r="C502" s="1346"/>
      <c r="D502" s="1347"/>
      <c r="E502" s="1345">
        <f>E495</f>
        <v>0</v>
      </c>
      <c r="F502" s="1343">
        <f ca="1">IF(E526="n/a",E502,IFERROR(IF((OFFSET($C502,0,$A502))&lt;0,
MIN(0,E502-(OFFSET($C502,0,$A502)/(OFFSET($C497,-$A501,$A502)))),
MAX(0,E502-(OFFSET($C502,0,$A502)/(OFFSET($C497,-$A501,$A502))))),0))</f>
        <v>0</v>
      </c>
      <c r="G502" s="1343">
        <f t="shared" ca="1" si="684"/>
        <v>0</v>
      </c>
      <c r="H502" s="1343">
        <f t="shared" ca="1" si="685"/>
        <v>0</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2012-13</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2013-14</v>
      </c>
      <c r="C504" s="1346"/>
      <c r="D504" s="1346"/>
      <c r="E504" s="1346"/>
      <c r="F504" s="1347"/>
      <c r="G504" s="1348">
        <f>G495</f>
        <v>0</v>
      </c>
      <c r="H504" s="1343">
        <f ca="1">IF(G528="n/a",G504,IFERROR(IF((OFFSET($C504,0,$A504))&lt;0,
MIN(0,G504-(OFFSET($C504,0,$A504)/(OFFSET($C499,-$A503,$A504)))),
MAX(0,G504-(OFFSET($C504,0,$A504)/(OFFSET($C499,-$A503,$A504))))),0))</f>
        <v>0</v>
      </c>
      <c r="I504" s="1343">
        <f t="shared" ca="1" si="686"/>
        <v>0</v>
      </c>
      <c r="J504" s="1343">
        <f t="shared" ca="1" si="687"/>
        <v>0</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2014-15</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2015-16</v>
      </c>
      <c r="C506" s="1346"/>
      <c r="D506" s="1346"/>
      <c r="E506" s="1346"/>
      <c r="F506" s="1346"/>
      <c r="G506" s="1346"/>
      <c r="H506" s="1347"/>
      <c r="I506" s="1348">
        <f>I495</f>
        <v>0</v>
      </c>
      <c r="J506" s="1343">
        <f ca="1">IF(I530="n/a",I506,IFERROR(IF((OFFSET($C506,0,$A506))&lt;0,
MIN(0,I506-(OFFSET($C506,0,$A506)/(OFFSET($C501,-$A505,$A506)))),
MAX(0,I506-(OFFSET($C506,0,$A506)/(OFFSET($C501,-$A505,$A506))))),0))</f>
        <v>0</v>
      </c>
      <c r="K506" s="1343">
        <f t="shared" ca="1" si="688"/>
        <v>0</v>
      </c>
      <c r="L506" s="1343">
        <f t="shared" ca="1" si="689"/>
        <v>0</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2016-17</v>
      </c>
      <c r="C507" s="1346"/>
      <c r="D507" s="1346"/>
      <c r="E507" s="1346"/>
      <c r="F507" s="1346"/>
      <c r="G507" s="1346"/>
      <c r="H507" s="1346"/>
      <c r="I507" s="1347"/>
      <c r="J507" s="1348">
        <f>J495</f>
        <v>0</v>
      </c>
      <c r="K507" s="1343">
        <f ca="1">IF(J531="n/a",J507,IFERROR(IF((OFFSET($C507,0,$A507))&lt;0,
MIN(0,J507-(OFFSET($C507,0,$A507)/(OFFSET($C502,-$A506,$A507)))),
MAX(0,J507-(OFFSET($C507,0,$A507)/(OFFSET($C502,-$A506,$A507))))),0))</f>
        <v>0</v>
      </c>
      <c r="L507" s="1343">
        <f t="shared" ca="1" si="689"/>
        <v>0</v>
      </c>
      <c r="M507" s="1343">
        <f t="shared" ca="1" si="690"/>
        <v>0</v>
      </c>
      <c r="N507" s="1343">
        <f t="shared" ca="1" si="691"/>
        <v>0</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2017-18</v>
      </c>
      <c r="C508" s="1346"/>
      <c r="D508" s="1346"/>
      <c r="E508" s="1346"/>
      <c r="F508" s="1346"/>
      <c r="G508" s="1346"/>
      <c r="H508" s="1346"/>
      <c r="I508" s="1346"/>
      <c r="J508" s="1347"/>
      <c r="K508" s="1348">
        <f>K495</f>
        <v>0</v>
      </c>
      <c r="L508" s="1343">
        <f ca="1">IF(K532="n/a",K508,IFERROR(IF((OFFSET($C508,0,$A508))&lt;0,
MIN(0,K508-(OFFSET($C508,0,$A508)/(OFFSET($C503,-$A507,$A508)))),
MAX(0,K508-(OFFSET($C508,0,$A508)/(OFFSET($C503,-$A507,$A508))))),0))</f>
        <v>0</v>
      </c>
      <c r="M508" s="1343">
        <f t="shared" ca="1" si="690"/>
        <v>0</v>
      </c>
      <c r="N508" s="1343">
        <f t="shared" ca="1" si="691"/>
        <v>0</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2018-19</v>
      </c>
      <c r="C509" s="1346"/>
      <c r="D509" s="1346"/>
      <c r="E509" s="1346"/>
      <c r="F509" s="1346"/>
      <c r="G509" s="1346"/>
      <c r="H509" s="1346"/>
      <c r="I509" s="1346"/>
      <c r="J509" s="1346"/>
      <c r="K509" s="1347"/>
      <c r="L509" s="1348">
        <f>L495</f>
        <v>0</v>
      </c>
      <c r="M509" s="1343">
        <f ca="1">IF(L533="n/a",L509,IFERROR(IF((OFFSET($C509,0,$A509))&lt;0,
MIN(0,L509-(OFFSET($C509,0,$A509)/(OFFSET($C504,-$A508,$A509)))),
MAX(0,L509-(OFFSET($C509,0,$A509)/(OFFSET($C504,-$A508,$A509))))),0))</f>
        <v>0</v>
      </c>
      <c r="N509" s="1343">
        <f t="shared" ca="1" si="691"/>
        <v>0</v>
      </c>
      <c r="O509" s="1343">
        <f t="shared" ca="1" si="692"/>
        <v>0</v>
      </c>
      <c r="P509" s="1343">
        <f t="shared" ca="1" si="693"/>
        <v>0</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2019-20</v>
      </c>
      <c r="C510" s="1346"/>
      <c r="D510" s="1346"/>
      <c r="E510" s="1346"/>
      <c r="F510" s="1346"/>
      <c r="G510" s="1346"/>
      <c r="H510" s="1346"/>
      <c r="I510" s="1346"/>
      <c r="J510" s="1346"/>
      <c r="K510" s="1346"/>
      <c r="L510" s="1347"/>
      <c r="M510" s="1348">
        <f>M495</f>
        <v>1.9144029999999999E-2</v>
      </c>
      <c r="N510" s="1343">
        <f ca="1">IF(M534="n/a",M510,IFERROR(IF((OFFSET($C510,0,$A510))&lt;0,
MIN(0,M510-(OFFSET($C510,0,$A510)/(OFFSET($C505,-$A509,$A510)))),
MAX(0,M510-(OFFSET($C510,0,$A510)/(OFFSET($C505,-$A509,$A510))))),0))</f>
        <v>1.43580225E-2</v>
      </c>
      <c r="O510" s="1343">
        <f t="shared" ca="1" si="692"/>
        <v>9.5720149999999997E-3</v>
      </c>
      <c r="P510" s="1343">
        <f t="shared" ca="1" si="693"/>
        <v>4.7860074999999998E-3</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2020-21</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2021-22</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2022-23</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2023-24</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2024-25</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2025-26</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2026-27</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2027-28</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2028-29</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2029-30</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0</v>
      </c>
      <c r="D524" s="1343">
        <f t="shared" ref="D524" ca="1" si="720">IF(C524="n/a","n/a",MAX(0,C524-1))</f>
        <v>0</v>
      </c>
      <c r="E524" s="1343">
        <f t="shared" ref="E524:E525" ca="1" si="721">IF(D524="n/a","n/a",MAX(0,D524-1))</f>
        <v>0</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2010-11</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2011-12</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2012-13</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2013-14</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2014-15</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2015-16</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2016-17</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2017-18</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2018-19</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2019-20</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2020-21</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2021-22</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2022-23</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2023-24</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2024-25</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2025-26</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2026-27</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2027-28</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2028-29</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2029-30</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0</v>
      </c>
      <c r="D546" s="1351">
        <f ca="1">(IF(OR($C496&lt;&gt;"n/a",D496&lt;&gt;"n/a"),IF(SUM(D499:D521)=0,0,IF((SUMPRODUCT(D499:D521,D523:D545)/SUM(D499:D521))&lt;0,1,(SUMPRODUCT(D499:D521,D523:D545)/SUM(D499:D521)))),"n/a"))</f>
        <v>0</v>
      </c>
      <c r="E546" s="1351">
        <f t="shared" ref="E546:W546" ca="1" si="741">(IF(OR($C496&lt;&gt;"n/a",E496&lt;&gt;"n/a"),IF(SUM(E499:E521)=0,0,IF((SUMPRODUCT(E499:E521,E523:E545)/SUM(E499:E521))&lt;0,1,(SUMPRODUCT(E499:E521,E523:E545)/SUM(E499:E521)))),"n/a"))</f>
        <v>0</v>
      </c>
      <c r="F546" s="1351">
        <f t="shared" ca="1" si="741"/>
        <v>0</v>
      </c>
      <c r="G546" s="1351">
        <f t="shared" ca="1" si="741"/>
        <v>0</v>
      </c>
      <c r="H546" s="1351">
        <f t="shared" ca="1" si="741"/>
        <v>0</v>
      </c>
      <c r="I546" s="1351">
        <f t="shared" ca="1" si="741"/>
        <v>0</v>
      </c>
      <c r="J546" s="1351">
        <f t="shared" ca="1" si="741"/>
        <v>0</v>
      </c>
      <c r="K546" s="1351">
        <f t="shared" ca="1" si="741"/>
        <v>0</v>
      </c>
      <c r="L546" s="1351">
        <f t="shared" ca="1" si="741"/>
        <v>0</v>
      </c>
      <c r="M546" s="1351">
        <f t="shared" ca="1" si="741"/>
        <v>4</v>
      </c>
      <c r="N546" s="1351">
        <f t="shared" ca="1" si="741"/>
        <v>3</v>
      </c>
      <c r="O546" s="1351">
        <f t="shared" ca="1" si="741"/>
        <v>2</v>
      </c>
      <c r="P546" s="1351">
        <f t="shared" ca="1" si="741"/>
        <v>1</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0</v>
      </c>
      <c r="E549" s="1361">
        <f>'Capital base remaining lives'!E554</f>
        <v>0</v>
      </c>
      <c r="F549" s="1361">
        <f>'Capital base remaining lives'!F554</f>
        <v>0</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0</v>
      </c>
      <c r="E550" s="1362">
        <f>IF(LEFT(E$6,4)&lt;=LEFT('RFM input'!$G$60,4),"enter input",IF(LEFT(E$6,4)&gt;LEFT('RFM input'!$Q$60,4),0,
IF(MATCH(E$6,'RFM input'!$H$60:$Q$60,0),INDEX('RFM input'!$Y$7:$Y$56,$A549,1,1))))</f>
        <v>0</v>
      </c>
      <c r="F550" s="1362">
        <f>IF(LEFT(F$6,4)&lt;=LEFT('RFM input'!$G$60,4),"enter input",IF(LEFT(F$6,4)&gt;LEFT('RFM input'!$Q$60,4),0,
IF(MATCH(F$6,'RFM input'!$H$60:$Q$60,0),INDEX('RFM input'!$Y$7:$Y$56,$A549,1,1))))</f>
        <v>0</v>
      </c>
      <c r="G550" s="1362">
        <f>IF(LEFT(G$6,4)&lt;=LEFT('RFM input'!$G$60,4),"enter input",IF(LEFT(G$6,4)&gt;LEFT('RFM input'!$Q$60,4),0,
IF(MATCH(G$6,'RFM input'!$H$60:$Q$60,0),INDEX('RFM input'!$Y$7:$Y$56,$A549,1,1))))</f>
        <v>0</v>
      </c>
      <c r="H550" s="1362">
        <f>IF(LEFT(H$6,4)&lt;=LEFT('RFM input'!$G$60,4),"enter input",IF(LEFT(H$6,4)&gt;LEFT('RFM input'!$Q$60,4),0,
IF(MATCH(H$6,'RFM input'!$H$60:$Q$60,0),INDEX('RFM input'!$Y$7:$Y$56,$A549,1,1))))</f>
        <v>0</v>
      </c>
      <c r="I550" s="1362">
        <f>IF(LEFT(I$6,4)&lt;=LEFT('RFM input'!$G$60,4),"enter input",IF(LEFT(I$6,4)&gt;LEFT('RFM input'!$Q$60,4),0,
IF(MATCH(I$6,'RFM input'!$H$60:$Q$60,0),INDEX('RFM input'!$Y$7:$Y$56,$A549,1,1))))</f>
        <v>0</v>
      </c>
      <c r="J550" s="1362">
        <f>IF(LEFT(J$6,4)&lt;=LEFT('RFM input'!$G$60,4),"enter input",IF(LEFT(J$6,4)&gt;LEFT('RFM input'!$Q$60,4),0,
IF(MATCH(J$6,'RFM input'!$H$60:$Q$60,0),INDEX('RFM input'!$Y$7:$Y$56,$A549,1,1))))</f>
        <v>0</v>
      </c>
      <c r="K550" s="1362">
        <f>IF(LEFT(K$6,4)&lt;=LEFT('RFM input'!$G$60,4),"enter input",IF(LEFT(K$6,4)&gt;LEFT('RFM input'!$Q$60,4),0,
IF(MATCH(K$6,'RFM input'!$H$60:$Q$60,0),INDEX('RFM input'!$Y$7:$Y$56,$A549,1,1))))</f>
        <v>0</v>
      </c>
      <c r="L550" s="1362">
        <f>IF(LEFT(L$6,4)&lt;=LEFT('RFM input'!$G$60,4),"enter input",IF(LEFT(L$6,4)&gt;LEFT('RFM input'!$Q$60,4),0,
IF(MATCH(L$6,'RFM input'!$H$60:$Q$60,0),INDEX('RFM input'!$Y$7:$Y$56,$A549,1,1))))</f>
        <v>0</v>
      </c>
      <c r="M550" s="1362">
        <f>IF(LEFT(M$6,4)&lt;=LEFT('RFM input'!$G$60,4),"enter input",IF(LEFT(M$6,4)&gt;LEFT('RFM input'!$Q$60,4),0,
IF(MATCH(M$6,'RFM input'!$H$60:$Q$60,0),INDEX('RFM input'!$Y$7:$Y$56,$A549,1,1))))</f>
        <v>0</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2010-11</v>
      </c>
      <c r="C555" s="1344"/>
      <c r="D555" s="1345">
        <f>D549</f>
        <v>0</v>
      </c>
      <c r="E555" s="1343">
        <f ca="1">IF(D579="n/a",D555,IFERROR(IF((OFFSET($C555,0,$A555))&lt;0,
MIN(0,D555-(OFFSET($C555,0,$A555)/(OFFSET($C550,-$A554,$A555)))),
MAX(0,D555-(OFFSET($C555,0,$A555)/(OFFSET($C550,-$A554,$A555))))),0))</f>
        <v>0</v>
      </c>
      <c r="F555" s="1343">
        <f t="shared" ca="1" si="762"/>
        <v>0</v>
      </c>
      <c r="G555" s="1343">
        <f t="shared" ca="1" si="763"/>
        <v>0</v>
      </c>
      <c r="H555" s="1343">
        <f t="shared" ca="1" si="764"/>
        <v>0</v>
      </c>
      <c r="I555" s="1343">
        <f t="shared" ca="1" si="765"/>
        <v>0</v>
      </c>
      <c r="J555" s="1343">
        <f t="shared" ca="1" si="766"/>
        <v>0</v>
      </c>
      <c r="K555" s="1343">
        <f t="shared" ca="1" si="767"/>
        <v>0</v>
      </c>
      <c r="L555" s="1343">
        <f t="shared" ca="1" si="768"/>
        <v>0</v>
      </c>
      <c r="M555" s="1343">
        <f t="shared" ca="1" si="769"/>
        <v>0</v>
      </c>
      <c r="N555" s="1343">
        <f t="shared" ca="1" si="770"/>
        <v>0</v>
      </c>
      <c r="O555" s="1343">
        <f t="shared" ca="1" si="771"/>
        <v>0</v>
      </c>
      <c r="P555" s="1343">
        <f t="shared" ca="1" si="772"/>
        <v>0</v>
      </c>
      <c r="Q555" s="1343">
        <f t="shared" ca="1" si="773"/>
        <v>0</v>
      </c>
      <c r="R555" s="1343">
        <f t="shared" ca="1" si="774"/>
        <v>0</v>
      </c>
      <c r="S555" s="1343">
        <f t="shared" ca="1" si="775"/>
        <v>0</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2011-12</v>
      </c>
      <c r="C556" s="1346"/>
      <c r="D556" s="1347"/>
      <c r="E556" s="1345">
        <f>E549</f>
        <v>0</v>
      </c>
      <c r="F556" s="1343">
        <f ca="1">IF(E580="n/a",E556,IFERROR(IF((OFFSET($C556,0,$A556))&lt;0,
MIN(0,E556-(OFFSET($C556,0,$A556)/(OFFSET($C551,-$A555,$A556)))),
MAX(0,E556-(OFFSET($C556,0,$A556)/(OFFSET($C551,-$A555,$A556))))),0))</f>
        <v>0</v>
      </c>
      <c r="G556" s="1343">
        <f t="shared" ca="1" si="763"/>
        <v>0</v>
      </c>
      <c r="H556" s="1343">
        <f t="shared" ca="1" si="764"/>
        <v>0</v>
      </c>
      <c r="I556" s="1343">
        <f t="shared" ca="1" si="765"/>
        <v>0</v>
      </c>
      <c r="J556" s="1343">
        <f t="shared" ca="1" si="766"/>
        <v>0</v>
      </c>
      <c r="K556" s="1343">
        <f t="shared" ca="1" si="767"/>
        <v>0</v>
      </c>
      <c r="L556" s="1343">
        <f t="shared" ca="1" si="768"/>
        <v>0</v>
      </c>
      <c r="M556" s="1343">
        <f t="shared" ca="1" si="769"/>
        <v>0</v>
      </c>
      <c r="N556" s="1343">
        <f t="shared" ca="1" si="770"/>
        <v>0</v>
      </c>
      <c r="O556" s="1343">
        <f t="shared" ca="1" si="771"/>
        <v>0</v>
      </c>
      <c r="P556" s="1343">
        <f t="shared" ca="1" si="772"/>
        <v>0</v>
      </c>
      <c r="Q556" s="1343">
        <f t="shared" ca="1" si="773"/>
        <v>0</v>
      </c>
      <c r="R556" s="1343">
        <f t="shared" ca="1" si="774"/>
        <v>0</v>
      </c>
      <c r="S556" s="1343">
        <f t="shared" ca="1" si="775"/>
        <v>0</v>
      </c>
      <c r="T556" s="1343">
        <f t="shared" ca="1" si="776"/>
        <v>0</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2012-13</v>
      </c>
      <c r="C557" s="1346"/>
      <c r="D557" s="1346"/>
      <c r="E557" s="1347"/>
      <c r="F557" s="1348">
        <f>F549</f>
        <v>0</v>
      </c>
      <c r="G557" s="1343">
        <f ca="1">IF(F581="n/a",F557,IFERROR(IF((OFFSET($C557,0,$A557))&lt;0,
MIN(0,F557-(OFFSET($C557,0,$A557)/(OFFSET($C552,-$A556,$A557)))),
MAX(0,F557-(OFFSET($C557,0,$A557)/(OFFSET($C552,-$A556,$A557))))),0))</f>
        <v>0</v>
      </c>
      <c r="H557" s="1343">
        <f t="shared" ca="1" si="764"/>
        <v>0</v>
      </c>
      <c r="I557" s="1343">
        <f t="shared" ca="1" si="765"/>
        <v>0</v>
      </c>
      <c r="J557" s="1343">
        <f t="shared" ca="1" si="766"/>
        <v>0</v>
      </c>
      <c r="K557" s="1343">
        <f t="shared" ca="1" si="767"/>
        <v>0</v>
      </c>
      <c r="L557" s="1343">
        <f t="shared" ca="1" si="768"/>
        <v>0</v>
      </c>
      <c r="M557" s="1343">
        <f t="shared" ca="1" si="769"/>
        <v>0</v>
      </c>
      <c r="N557" s="1343">
        <f t="shared" ca="1" si="770"/>
        <v>0</v>
      </c>
      <c r="O557" s="1343">
        <f t="shared" ca="1" si="771"/>
        <v>0</v>
      </c>
      <c r="P557" s="1343">
        <f t="shared" ca="1" si="772"/>
        <v>0</v>
      </c>
      <c r="Q557" s="1343">
        <f t="shared" ca="1" si="773"/>
        <v>0</v>
      </c>
      <c r="R557" s="1343">
        <f t="shared" ca="1" si="774"/>
        <v>0</v>
      </c>
      <c r="S557" s="1343">
        <f t="shared" ca="1" si="775"/>
        <v>0</v>
      </c>
      <c r="T557" s="1343">
        <f t="shared" ca="1" si="776"/>
        <v>0</v>
      </c>
      <c r="U557" s="1343">
        <f t="shared" ca="1" si="777"/>
        <v>0</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2013-14</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2014-15</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2015-16</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2016-17</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2017-18</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2018-19</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2019-20</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2020-21</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2021-22</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2022-23</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2023-24</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2024-25</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2025-26</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2026-27</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2027-28</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2028-29</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2029-30</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2010-11</v>
      </c>
      <c r="C579" s="1344"/>
      <c r="D579" s="1348">
        <f>D550</f>
        <v>0</v>
      </c>
      <c r="E579" s="1343">
        <f t="shared" si="800"/>
        <v>0</v>
      </c>
      <c r="F579" s="1343">
        <f t="shared" si="801"/>
        <v>0</v>
      </c>
      <c r="G579" s="1343">
        <f t="shared" si="802"/>
        <v>0</v>
      </c>
      <c r="H579" s="1343">
        <f t="shared" si="803"/>
        <v>0</v>
      </c>
      <c r="I579" s="1343">
        <f t="shared" si="804"/>
        <v>0</v>
      </c>
      <c r="J579" s="1343">
        <f t="shared" si="805"/>
        <v>0</v>
      </c>
      <c r="K579" s="1343">
        <f t="shared" si="806"/>
        <v>0</v>
      </c>
      <c r="L579" s="1343">
        <f t="shared" si="807"/>
        <v>0</v>
      </c>
      <c r="M579" s="1343">
        <f t="shared" si="808"/>
        <v>0</v>
      </c>
      <c r="N579" s="1343">
        <f t="shared" si="809"/>
        <v>0</v>
      </c>
      <c r="O579" s="1343">
        <f t="shared" si="810"/>
        <v>0</v>
      </c>
      <c r="P579" s="1343">
        <f t="shared" si="811"/>
        <v>0</v>
      </c>
      <c r="Q579" s="1343">
        <f t="shared" si="812"/>
        <v>0</v>
      </c>
      <c r="R579" s="1343">
        <f t="shared" si="813"/>
        <v>0</v>
      </c>
      <c r="S579" s="1343">
        <f t="shared" si="814"/>
        <v>0</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2011-12</v>
      </c>
      <c r="C580" s="1349"/>
      <c r="D580" s="1344"/>
      <c r="E580" s="1348">
        <f>E550</f>
        <v>0</v>
      </c>
      <c r="F580" s="1343">
        <f t="shared" si="801"/>
        <v>0</v>
      </c>
      <c r="G580" s="1343">
        <f t="shared" si="802"/>
        <v>0</v>
      </c>
      <c r="H580" s="1343">
        <f t="shared" si="803"/>
        <v>0</v>
      </c>
      <c r="I580" s="1343">
        <f t="shared" si="804"/>
        <v>0</v>
      </c>
      <c r="J580" s="1343">
        <f t="shared" si="805"/>
        <v>0</v>
      </c>
      <c r="K580" s="1343">
        <f t="shared" si="806"/>
        <v>0</v>
      </c>
      <c r="L580" s="1343">
        <f t="shared" si="807"/>
        <v>0</v>
      </c>
      <c r="M580" s="1343">
        <f t="shared" si="808"/>
        <v>0</v>
      </c>
      <c r="N580" s="1343">
        <f t="shared" si="809"/>
        <v>0</v>
      </c>
      <c r="O580" s="1343">
        <f t="shared" si="810"/>
        <v>0</v>
      </c>
      <c r="P580" s="1343">
        <f t="shared" si="811"/>
        <v>0</v>
      </c>
      <c r="Q580" s="1343">
        <f t="shared" si="812"/>
        <v>0</v>
      </c>
      <c r="R580" s="1343">
        <f t="shared" si="813"/>
        <v>0</v>
      </c>
      <c r="S580" s="1343">
        <f t="shared" si="814"/>
        <v>0</v>
      </c>
      <c r="T580" s="1343">
        <f t="shared" si="815"/>
        <v>0</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2012-13</v>
      </c>
      <c r="C581" s="1349"/>
      <c r="D581" s="1349"/>
      <c r="E581" s="1344"/>
      <c r="F581" s="1348">
        <f>F550</f>
        <v>0</v>
      </c>
      <c r="G581" s="1343">
        <f t="shared" si="802"/>
        <v>0</v>
      </c>
      <c r="H581" s="1343">
        <f t="shared" si="803"/>
        <v>0</v>
      </c>
      <c r="I581" s="1343">
        <f t="shared" si="804"/>
        <v>0</v>
      </c>
      <c r="J581" s="1343">
        <f t="shared" si="805"/>
        <v>0</v>
      </c>
      <c r="K581" s="1343">
        <f t="shared" si="806"/>
        <v>0</v>
      </c>
      <c r="L581" s="1343">
        <f t="shared" si="807"/>
        <v>0</v>
      </c>
      <c r="M581" s="1343">
        <f t="shared" si="808"/>
        <v>0</v>
      </c>
      <c r="N581" s="1343">
        <f t="shared" si="809"/>
        <v>0</v>
      </c>
      <c r="O581" s="1343">
        <f t="shared" si="810"/>
        <v>0</v>
      </c>
      <c r="P581" s="1343">
        <f t="shared" si="811"/>
        <v>0</v>
      </c>
      <c r="Q581" s="1343">
        <f t="shared" si="812"/>
        <v>0</v>
      </c>
      <c r="R581" s="1343">
        <f t="shared" si="813"/>
        <v>0</v>
      </c>
      <c r="S581" s="1343">
        <f t="shared" si="814"/>
        <v>0</v>
      </c>
      <c r="T581" s="1343">
        <f t="shared" si="815"/>
        <v>0</v>
      </c>
      <c r="U581" s="1343">
        <f t="shared" si="816"/>
        <v>0</v>
      </c>
      <c r="V581" s="1343">
        <f t="shared" si="817"/>
        <v>0</v>
      </c>
      <c r="W581" s="1343">
        <f t="shared" si="818"/>
        <v>0</v>
      </c>
      <c r="X581" s="170"/>
      <c r="Y581" s="170"/>
      <c r="Z581" s="170"/>
      <c r="AA581" s="170"/>
      <c r="AB581" s="170"/>
    </row>
    <row r="582" spans="1:28" ht="12.75" hidden="1" customHeight="1" outlineLevel="1">
      <c r="A582" s="278"/>
      <c r="B582" s="210" t="str">
        <f t="shared" ca="1" si="819"/>
        <v>RL Capex 2013-14</v>
      </c>
      <c r="C582" s="1349"/>
      <c r="D582" s="1349"/>
      <c r="E582" s="1349"/>
      <c r="F582" s="1344"/>
      <c r="G582" s="1348">
        <f>G550</f>
        <v>0</v>
      </c>
      <c r="H582" s="1343">
        <f t="shared" si="803"/>
        <v>0</v>
      </c>
      <c r="I582" s="1343">
        <f t="shared" si="804"/>
        <v>0</v>
      </c>
      <c r="J582" s="1343">
        <f t="shared" si="805"/>
        <v>0</v>
      </c>
      <c r="K582" s="1343">
        <f t="shared" si="806"/>
        <v>0</v>
      </c>
      <c r="L582" s="1343">
        <f t="shared" si="807"/>
        <v>0</v>
      </c>
      <c r="M582" s="1343">
        <f t="shared" si="808"/>
        <v>0</v>
      </c>
      <c r="N582" s="1343">
        <f t="shared" si="809"/>
        <v>0</v>
      </c>
      <c r="O582" s="1343">
        <f t="shared" si="810"/>
        <v>0</v>
      </c>
      <c r="P582" s="1343">
        <f t="shared" si="811"/>
        <v>0</v>
      </c>
      <c r="Q582" s="1343">
        <f t="shared" si="812"/>
        <v>0</v>
      </c>
      <c r="R582" s="1343">
        <f t="shared" si="813"/>
        <v>0</v>
      </c>
      <c r="S582" s="1343">
        <f t="shared" si="814"/>
        <v>0</v>
      </c>
      <c r="T582" s="1343">
        <f t="shared" si="815"/>
        <v>0</v>
      </c>
      <c r="U582" s="1343">
        <f t="shared" si="816"/>
        <v>0</v>
      </c>
      <c r="V582" s="1343">
        <f t="shared" si="817"/>
        <v>0</v>
      </c>
      <c r="W582" s="1343">
        <f t="shared" si="818"/>
        <v>0</v>
      </c>
      <c r="X582" s="170"/>
      <c r="Y582" s="170"/>
      <c r="Z582" s="170"/>
      <c r="AA582" s="170"/>
      <c r="AB582" s="170"/>
    </row>
    <row r="583" spans="1:28" ht="12.75" hidden="1" customHeight="1" outlineLevel="1">
      <c r="A583" s="278"/>
      <c r="B583" s="210" t="str">
        <f t="shared" ca="1" si="819"/>
        <v>RL Capex 2014-15</v>
      </c>
      <c r="C583" s="1349"/>
      <c r="D583" s="1349"/>
      <c r="E583" s="1349"/>
      <c r="F583" s="1349"/>
      <c r="G583" s="1344"/>
      <c r="H583" s="1348">
        <f>H550</f>
        <v>0</v>
      </c>
      <c r="I583" s="1343">
        <f t="shared" si="804"/>
        <v>0</v>
      </c>
      <c r="J583" s="1343">
        <f t="shared" si="805"/>
        <v>0</v>
      </c>
      <c r="K583" s="1343">
        <f t="shared" si="806"/>
        <v>0</v>
      </c>
      <c r="L583" s="1343">
        <f t="shared" si="807"/>
        <v>0</v>
      </c>
      <c r="M583" s="1343">
        <f t="shared" si="808"/>
        <v>0</v>
      </c>
      <c r="N583" s="1343">
        <f t="shared" si="809"/>
        <v>0</v>
      </c>
      <c r="O583" s="1343">
        <f t="shared" si="810"/>
        <v>0</v>
      </c>
      <c r="P583" s="1343">
        <f t="shared" si="811"/>
        <v>0</v>
      </c>
      <c r="Q583" s="1343">
        <f t="shared" si="812"/>
        <v>0</v>
      </c>
      <c r="R583" s="1343">
        <f t="shared" si="813"/>
        <v>0</v>
      </c>
      <c r="S583" s="1343">
        <f t="shared" si="814"/>
        <v>0</v>
      </c>
      <c r="T583" s="1343">
        <f t="shared" si="815"/>
        <v>0</v>
      </c>
      <c r="U583" s="1343">
        <f t="shared" si="816"/>
        <v>0</v>
      </c>
      <c r="V583" s="1343">
        <f t="shared" si="817"/>
        <v>0</v>
      </c>
      <c r="W583" s="1343">
        <f t="shared" si="818"/>
        <v>0</v>
      </c>
      <c r="X583" s="170"/>
      <c r="Y583" s="170"/>
      <c r="Z583" s="170"/>
      <c r="AA583" s="170"/>
      <c r="AB583" s="170"/>
    </row>
    <row r="584" spans="1:28" ht="12.75" hidden="1" customHeight="1" outlineLevel="1">
      <c r="A584" s="278"/>
      <c r="B584" s="210" t="str">
        <f t="shared" ca="1" si="819"/>
        <v>RL Capex 2015-16</v>
      </c>
      <c r="C584" s="1349"/>
      <c r="D584" s="1349"/>
      <c r="E584" s="1349"/>
      <c r="F584" s="1349"/>
      <c r="G584" s="1349"/>
      <c r="H584" s="1344"/>
      <c r="I584" s="1348">
        <f>I550</f>
        <v>0</v>
      </c>
      <c r="J584" s="1343">
        <f t="shared" si="805"/>
        <v>0</v>
      </c>
      <c r="K584" s="1343">
        <f t="shared" si="806"/>
        <v>0</v>
      </c>
      <c r="L584" s="1343">
        <f t="shared" si="807"/>
        <v>0</v>
      </c>
      <c r="M584" s="1343">
        <f t="shared" si="808"/>
        <v>0</v>
      </c>
      <c r="N584" s="1343">
        <f t="shared" si="809"/>
        <v>0</v>
      </c>
      <c r="O584" s="1343">
        <f t="shared" si="810"/>
        <v>0</v>
      </c>
      <c r="P584" s="1343">
        <f t="shared" si="811"/>
        <v>0</v>
      </c>
      <c r="Q584" s="1343">
        <f t="shared" si="812"/>
        <v>0</v>
      </c>
      <c r="R584" s="1343">
        <f t="shared" si="813"/>
        <v>0</v>
      </c>
      <c r="S584" s="1343">
        <f t="shared" si="814"/>
        <v>0</v>
      </c>
      <c r="T584" s="1343">
        <f t="shared" si="815"/>
        <v>0</v>
      </c>
      <c r="U584" s="1343">
        <f t="shared" si="816"/>
        <v>0</v>
      </c>
      <c r="V584" s="1343">
        <f t="shared" si="817"/>
        <v>0</v>
      </c>
      <c r="W584" s="1343">
        <f t="shared" si="818"/>
        <v>0</v>
      </c>
      <c r="X584" s="170"/>
      <c r="Y584" s="170"/>
      <c r="Z584" s="170"/>
      <c r="AA584" s="170"/>
      <c r="AB584" s="170"/>
    </row>
    <row r="585" spans="1:28" ht="12.75" hidden="1" customHeight="1" outlineLevel="1">
      <c r="A585" s="278"/>
      <c r="B585" s="210" t="str">
        <f t="shared" ca="1" si="819"/>
        <v>RL Capex 2016-17</v>
      </c>
      <c r="C585" s="1349"/>
      <c r="D585" s="1349"/>
      <c r="E585" s="1349"/>
      <c r="F585" s="1349"/>
      <c r="G585" s="1349"/>
      <c r="H585" s="1349"/>
      <c r="I585" s="1344"/>
      <c r="J585" s="1348">
        <f>J550</f>
        <v>0</v>
      </c>
      <c r="K585" s="1343">
        <f t="shared" si="806"/>
        <v>0</v>
      </c>
      <c r="L585" s="1343">
        <f t="shared" si="807"/>
        <v>0</v>
      </c>
      <c r="M585" s="1343">
        <f t="shared" si="808"/>
        <v>0</v>
      </c>
      <c r="N585" s="1343">
        <f t="shared" si="809"/>
        <v>0</v>
      </c>
      <c r="O585" s="1343">
        <f t="shared" si="810"/>
        <v>0</v>
      </c>
      <c r="P585" s="1343">
        <f t="shared" si="811"/>
        <v>0</v>
      </c>
      <c r="Q585" s="1343">
        <f t="shared" si="812"/>
        <v>0</v>
      </c>
      <c r="R585" s="1343">
        <f t="shared" si="813"/>
        <v>0</v>
      </c>
      <c r="S585" s="1343">
        <f t="shared" si="814"/>
        <v>0</v>
      </c>
      <c r="T585" s="1343">
        <f t="shared" si="815"/>
        <v>0</v>
      </c>
      <c r="U585" s="1343">
        <f t="shared" si="816"/>
        <v>0</v>
      </c>
      <c r="V585" s="1343">
        <f t="shared" si="817"/>
        <v>0</v>
      </c>
      <c r="W585" s="1343">
        <f t="shared" si="818"/>
        <v>0</v>
      </c>
      <c r="X585" s="170"/>
      <c r="Y585" s="170"/>
      <c r="Z585" s="170"/>
      <c r="AA585" s="170"/>
      <c r="AB585" s="170"/>
    </row>
    <row r="586" spans="1:28" ht="12.75" hidden="1" customHeight="1" outlineLevel="1">
      <c r="A586" s="278"/>
      <c r="B586" s="210" t="str">
        <f t="shared" ca="1" si="819"/>
        <v>RL Capex 2017-18</v>
      </c>
      <c r="C586" s="1349"/>
      <c r="D586" s="1349"/>
      <c r="E586" s="1349"/>
      <c r="F586" s="1349"/>
      <c r="G586" s="1349"/>
      <c r="H586" s="1349"/>
      <c r="I586" s="1349"/>
      <c r="J586" s="1344"/>
      <c r="K586" s="1348">
        <f>K550</f>
        <v>0</v>
      </c>
      <c r="L586" s="1343">
        <f t="shared" si="807"/>
        <v>0</v>
      </c>
      <c r="M586" s="1343">
        <f t="shared" si="808"/>
        <v>0</v>
      </c>
      <c r="N586" s="1343">
        <f t="shared" si="809"/>
        <v>0</v>
      </c>
      <c r="O586" s="1343">
        <f t="shared" si="810"/>
        <v>0</v>
      </c>
      <c r="P586" s="1343">
        <f t="shared" si="811"/>
        <v>0</v>
      </c>
      <c r="Q586" s="1343">
        <f t="shared" si="812"/>
        <v>0</v>
      </c>
      <c r="R586" s="1343">
        <f t="shared" si="813"/>
        <v>0</v>
      </c>
      <c r="S586" s="1343">
        <f t="shared" si="814"/>
        <v>0</v>
      </c>
      <c r="T586" s="1343">
        <f t="shared" si="815"/>
        <v>0</v>
      </c>
      <c r="U586" s="1343">
        <f t="shared" si="816"/>
        <v>0</v>
      </c>
      <c r="V586" s="1343">
        <f t="shared" si="817"/>
        <v>0</v>
      </c>
      <c r="W586" s="1343">
        <f t="shared" si="818"/>
        <v>0</v>
      </c>
      <c r="X586" s="170"/>
      <c r="Y586" s="170"/>
      <c r="Z586" s="170"/>
      <c r="AA586" s="170"/>
      <c r="AB586" s="170"/>
    </row>
    <row r="587" spans="1:28" ht="12.75" hidden="1" customHeight="1" outlineLevel="1">
      <c r="A587" s="278"/>
      <c r="B587" s="210" t="str">
        <f t="shared" ca="1" si="819"/>
        <v>RL Capex 2018-19</v>
      </c>
      <c r="C587" s="1349"/>
      <c r="D587" s="1349"/>
      <c r="E587" s="1349"/>
      <c r="F587" s="1349"/>
      <c r="G587" s="1349"/>
      <c r="H587" s="1349"/>
      <c r="I587" s="1349"/>
      <c r="J587" s="1349"/>
      <c r="K587" s="1344"/>
      <c r="L587" s="1348">
        <f>L550</f>
        <v>0</v>
      </c>
      <c r="M587" s="1343">
        <f t="shared" si="808"/>
        <v>0</v>
      </c>
      <c r="N587" s="1343">
        <f t="shared" si="809"/>
        <v>0</v>
      </c>
      <c r="O587" s="1343">
        <f t="shared" si="810"/>
        <v>0</v>
      </c>
      <c r="P587" s="1343">
        <f t="shared" si="811"/>
        <v>0</v>
      </c>
      <c r="Q587" s="1343">
        <f t="shared" si="812"/>
        <v>0</v>
      </c>
      <c r="R587" s="1343">
        <f t="shared" si="813"/>
        <v>0</v>
      </c>
      <c r="S587" s="1343">
        <f t="shared" si="814"/>
        <v>0</v>
      </c>
      <c r="T587" s="1343">
        <f t="shared" si="815"/>
        <v>0</v>
      </c>
      <c r="U587" s="1343">
        <f t="shared" si="816"/>
        <v>0</v>
      </c>
      <c r="V587" s="1343">
        <f t="shared" si="817"/>
        <v>0</v>
      </c>
      <c r="W587" s="1343">
        <f t="shared" si="818"/>
        <v>0</v>
      </c>
      <c r="X587" s="170"/>
      <c r="Y587" s="170"/>
      <c r="Z587" s="170"/>
      <c r="AA587" s="170"/>
      <c r="AB587" s="170"/>
    </row>
    <row r="588" spans="1:28" ht="12.75" hidden="1" customHeight="1" outlineLevel="1">
      <c r="A588" s="278"/>
      <c r="B588" s="210" t="str">
        <f t="shared" ca="1" si="819"/>
        <v>RL Capex 2019-20</v>
      </c>
      <c r="C588" s="1349"/>
      <c r="D588" s="1349"/>
      <c r="E588" s="1349"/>
      <c r="F588" s="1349"/>
      <c r="G588" s="1349"/>
      <c r="H588" s="1349"/>
      <c r="I588" s="1349"/>
      <c r="J588" s="1349"/>
      <c r="K588" s="1349"/>
      <c r="L588" s="1344"/>
      <c r="M588" s="1348">
        <f>M550</f>
        <v>0</v>
      </c>
      <c r="N588" s="1343">
        <f t="shared" si="809"/>
        <v>0</v>
      </c>
      <c r="O588" s="1343">
        <f t="shared" si="810"/>
        <v>0</v>
      </c>
      <c r="P588" s="1343">
        <f t="shared" si="811"/>
        <v>0</v>
      </c>
      <c r="Q588" s="1343">
        <f t="shared" si="812"/>
        <v>0</v>
      </c>
      <c r="R588" s="1343">
        <f t="shared" si="813"/>
        <v>0</v>
      </c>
      <c r="S588" s="1343">
        <f t="shared" si="814"/>
        <v>0</v>
      </c>
      <c r="T588" s="1343">
        <f t="shared" si="815"/>
        <v>0</v>
      </c>
      <c r="U588" s="1343">
        <f t="shared" si="816"/>
        <v>0</v>
      </c>
      <c r="V588" s="1343">
        <f t="shared" si="817"/>
        <v>0</v>
      </c>
      <c r="W588" s="1343">
        <f t="shared" si="818"/>
        <v>0</v>
      </c>
      <c r="X588" s="170"/>
      <c r="Y588" s="170"/>
      <c r="Z588" s="170"/>
      <c r="AA588" s="170"/>
      <c r="AB588" s="170"/>
    </row>
    <row r="589" spans="1:28" ht="12.75" hidden="1" customHeight="1" outlineLevel="1">
      <c r="A589" s="278"/>
      <c r="B589" s="210" t="str">
        <f t="shared" ca="1" si="819"/>
        <v>RL Capex 2020-21</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2021-22</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2022-23</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2023-24</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2024-25</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2025-26</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2026-27</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2027-28</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2028-29</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2029-30</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0</v>
      </c>
      <c r="E600" s="1351">
        <f t="shared" ref="E600:W600" ca="1" si="820">(IF(OR($C550&lt;&gt;"n/a",E550&lt;&gt;"n/a"),IF(SUM(E553:E575)=0,0,IF((SUMPRODUCT(E553:E575,E577:E599)/SUM(E553:E575))&lt;0,1,(SUMPRODUCT(E553:E575,E577:E599)/SUM(E553:E575)))),"n/a"))</f>
        <v>0</v>
      </c>
      <c r="F600" s="1351">
        <f t="shared" ca="1" si="820"/>
        <v>0</v>
      </c>
      <c r="G600" s="1351">
        <f t="shared" ca="1" si="820"/>
        <v>0</v>
      </c>
      <c r="H600" s="1351">
        <f t="shared" ca="1" si="820"/>
        <v>0</v>
      </c>
      <c r="I600" s="1351">
        <f t="shared" ca="1" si="820"/>
        <v>0</v>
      </c>
      <c r="J600" s="1351">
        <f t="shared" ca="1" si="820"/>
        <v>0</v>
      </c>
      <c r="K600" s="1351">
        <f t="shared" ca="1" si="820"/>
        <v>0</v>
      </c>
      <c r="L600" s="1351">
        <f t="shared" ca="1" si="820"/>
        <v>0</v>
      </c>
      <c r="M600" s="1351">
        <f t="shared" ca="1" si="820"/>
        <v>0</v>
      </c>
      <c r="N600" s="1351">
        <f t="shared" ca="1" si="820"/>
        <v>0</v>
      </c>
      <c r="O600" s="1351">
        <f t="shared" ca="1" si="820"/>
        <v>0</v>
      </c>
      <c r="P600" s="1351">
        <f t="shared" ca="1" si="820"/>
        <v>0</v>
      </c>
      <c r="Q600" s="1351">
        <f t="shared" ca="1" si="820"/>
        <v>0</v>
      </c>
      <c r="R600" s="1351">
        <f t="shared" ca="1" si="820"/>
        <v>0</v>
      </c>
      <c r="S600" s="1351">
        <f t="shared" ca="1" si="820"/>
        <v>0</v>
      </c>
      <c r="T600" s="1351">
        <f t="shared" ca="1" si="820"/>
        <v>0</v>
      </c>
      <c r="U600" s="1351">
        <f t="shared" ca="1" si="820"/>
        <v>0</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5.5656811501243936E-2</v>
      </c>
      <c r="D603" s="1361">
        <f>'Capital base remaining lives'!D608</f>
        <v>8.0454426465054588E-2</v>
      </c>
      <c r="E603" s="1361">
        <f>'Capital base remaining lives'!E608</f>
        <v>3.527518373419028E-2</v>
      </c>
      <c r="F603" s="1361">
        <f>'Capital base remaining lives'!F608</f>
        <v>2.3241850460258093E-2</v>
      </c>
      <c r="G603" s="1361">
        <f>'Capital base remaining lives'!G608</f>
        <v>1.9210645653691481E-2</v>
      </c>
      <c r="H603" s="1361">
        <f>'Capital base remaining lives'!H608</f>
        <v>9.5409406028951219E-2</v>
      </c>
      <c r="I603" s="1361">
        <f>'Capital base remaining lives'!I608</f>
        <v>0.11705133940547846</v>
      </c>
      <c r="J603" s="1361">
        <f>'Capital base remaining lives'!J608</f>
        <v>5.0470198177664523E-2</v>
      </c>
      <c r="K603" s="1361">
        <f>'Capital base remaining lives'!K608</f>
        <v>8.5639415146838205E-2</v>
      </c>
      <c r="L603" s="1361">
        <f>'Capital base remaining lives'!L608</f>
        <v>0.11806738991739381</v>
      </c>
      <c r="M603" s="1361">
        <f>'Capital base remaining lives'!M608</f>
        <v>0.10529788768889591</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3.9358261096430307</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5.5656811501243936E-2</v>
      </c>
      <c r="D608" s="1343">
        <f ca="1">IF(C632="n/a",C608,IFERROR(IF((OFFSET($C608,0,$A608))&lt;0,
MIN(0,C608-(OFFSET($C608,0,$A608)/(OFFSET($C603,-$A607,$A608)))),
MAX(0,C608-(OFFSET($C608,0,$A608)/(OFFSET($C603,-$A607,$A608))))),0))</f>
        <v>4.1515736679650292E-2</v>
      </c>
      <c r="E608" s="1343">
        <f t="shared" ref="E608" ca="1" si="840">IF(D632="n/a",D608,IFERROR(IF((OFFSET($C608,0,$A608))&lt;0,
MIN(0,D608-(OFFSET($C608,0,$A608)/(OFFSET($C603,-$A607,$A608)))),
MAX(0,D608-(OFFSET($C608,0,$A608)/(OFFSET($C603,-$A607,$A608))))),0))</f>
        <v>2.7374661858056648E-2</v>
      </c>
      <c r="F608" s="1343">
        <f t="shared" ref="F608:F609" ca="1" si="841">IF(E632="n/a",E608,IFERROR(IF((OFFSET($C608,0,$A608))&lt;0,
MIN(0,E608-(OFFSET($C608,0,$A608)/(OFFSET($C603,-$A607,$A608)))),
MAX(0,E608-(OFFSET($C608,0,$A608)/(OFFSET($C603,-$A607,$A608))))),0))</f>
        <v>1.3233587036463003E-2</v>
      </c>
      <c r="G608" s="1343">
        <f t="shared" ref="G608:G610" ca="1" si="842">IF(F632="n/a",F608,IFERROR(IF((OFFSET($C608,0,$A608))&lt;0,
MIN(0,F608-(OFFSET($C608,0,$A608)/(OFFSET($C603,-$A607,$A608)))),
MAX(0,F608-(OFFSET($C608,0,$A608)/(OFFSET($C603,-$A607,$A608))))),0))</f>
        <v>0</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2010-11</v>
      </c>
      <c r="C609" s="1344"/>
      <c r="D609" s="1345">
        <f>D603</f>
        <v>8.0454426465054588E-2</v>
      </c>
      <c r="E609" s="1343">
        <f ca="1">IF(D633="n/a",D609,IFERROR(IF((OFFSET($C609,0,$A609))&lt;0,
MIN(0,D609-(OFFSET($C609,0,$A609)/(OFFSET($C604,-$A608,$A609)))),
MAX(0,D609-(OFFSET($C609,0,$A609)/(OFFSET($C604,-$A608,$A609))))),0))</f>
        <v>6.4363541172043667E-2</v>
      </c>
      <c r="F609" s="1343">
        <f t="shared" ca="1" si="841"/>
        <v>4.8272655879032747E-2</v>
      </c>
      <c r="G609" s="1343">
        <f t="shared" ca="1" si="842"/>
        <v>3.2181770586021827E-2</v>
      </c>
      <c r="H609" s="1343">
        <f t="shared" ca="1" si="843"/>
        <v>1.609088529301091E-2</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2011-12</v>
      </c>
      <c r="C610" s="1346"/>
      <c r="D610" s="1347"/>
      <c r="E610" s="1345">
        <f>E603</f>
        <v>3.527518373419028E-2</v>
      </c>
      <c r="F610" s="1343">
        <f ca="1">IF(E634="n/a",E610,IFERROR(IF((OFFSET($C610,0,$A610))&lt;0,
MIN(0,E610-(OFFSET($C610,0,$A610)/(OFFSET($C605,-$A609,$A610)))),
MAX(0,E610-(OFFSET($C610,0,$A610)/(OFFSET($C605,-$A609,$A610))))),0))</f>
        <v>2.8220146987352222E-2</v>
      </c>
      <c r="G610" s="1343">
        <f t="shared" ca="1" si="842"/>
        <v>2.1165110240514165E-2</v>
      </c>
      <c r="H610" s="1343">
        <f t="shared" ca="1" si="843"/>
        <v>1.4110073493676109E-2</v>
      </c>
      <c r="I610" s="1343">
        <f t="shared" ca="1" si="844"/>
        <v>7.0550367468380538E-3</v>
      </c>
      <c r="J610" s="1343">
        <f t="shared" ca="1" si="845"/>
        <v>0</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2012-13</v>
      </c>
      <c r="C611" s="1346"/>
      <c r="D611" s="1346"/>
      <c r="E611" s="1347"/>
      <c r="F611" s="1348">
        <f>F603</f>
        <v>2.3241850460258093E-2</v>
      </c>
      <c r="G611" s="1343">
        <f ca="1">IF(F635="n/a",F611,IFERROR(IF((OFFSET($C611,0,$A611))&lt;0,
MIN(0,F611-(OFFSET($C611,0,$A611)/(OFFSET($C606,-$A610,$A611)))),
MAX(0,F611-(OFFSET($C611,0,$A611)/(OFFSET($C606,-$A610,$A611))))),0))</f>
        <v>1.8593480368206475E-2</v>
      </c>
      <c r="H611" s="1343">
        <f t="shared" ca="1" si="843"/>
        <v>1.3945110276154856E-2</v>
      </c>
      <c r="I611" s="1343">
        <f t="shared" ca="1" si="844"/>
        <v>9.2967401841032374E-3</v>
      </c>
      <c r="J611" s="1343">
        <f t="shared" ca="1" si="845"/>
        <v>4.6483700920516187E-3</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2013-14</v>
      </c>
      <c r="C612" s="1346"/>
      <c r="D612" s="1346"/>
      <c r="E612" s="1346"/>
      <c r="F612" s="1347"/>
      <c r="G612" s="1348">
        <f>G603</f>
        <v>1.9210645653691481E-2</v>
      </c>
      <c r="H612" s="1343">
        <f ca="1">IF(G636="n/a",G612,IFERROR(IF((OFFSET($C612,0,$A612))&lt;0,
MIN(0,G612-(OFFSET($C612,0,$A612)/(OFFSET($C607,-$A611,$A612)))),
MAX(0,G612-(OFFSET($C612,0,$A612)/(OFFSET($C607,-$A611,$A612))))),0))</f>
        <v>1.5368516522953185E-2</v>
      </c>
      <c r="I612" s="1343">
        <f t="shared" ca="1" si="844"/>
        <v>1.1526387392214888E-2</v>
      </c>
      <c r="J612" s="1343">
        <f t="shared" ca="1" si="845"/>
        <v>7.6842582614765915E-3</v>
      </c>
      <c r="K612" s="1343">
        <f t="shared" ca="1" si="846"/>
        <v>3.8421291307382953E-3</v>
      </c>
      <c r="L612" s="1343">
        <f t="shared" ca="1" si="847"/>
        <v>0</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2014-15</v>
      </c>
      <c r="C613" s="1346"/>
      <c r="D613" s="1346"/>
      <c r="E613" s="1346"/>
      <c r="F613" s="1346"/>
      <c r="G613" s="1347"/>
      <c r="H613" s="1348">
        <f>H603</f>
        <v>9.5409406028951219E-2</v>
      </c>
      <c r="I613" s="1343">
        <f ca="1">IF(H637="n/a",H613,IFERROR(IF((OFFSET($C613,0,$A613))&lt;0,
MIN(0,H613-(OFFSET($C613,0,$A613)/(OFFSET($C608,-$A612,$A613)))),
MAX(0,H613-(OFFSET($C613,0,$A613)/(OFFSET($C608,-$A612,$A613))))),0))</f>
        <v>7.6327524823160978E-2</v>
      </c>
      <c r="J613" s="1343">
        <f t="shared" ca="1" si="845"/>
        <v>5.7245643617370737E-2</v>
      </c>
      <c r="K613" s="1343">
        <f t="shared" ca="1" si="846"/>
        <v>3.8163762411580496E-2</v>
      </c>
      <c r="L613" s="1343">
        <f t="shared" ca="1" si="847"/>
        <v>1.9081881205790251E-2</v>
      </c>
      <c r="M613" s="1343">
        <f t="shared" ca="1" si="848"/>
        <v>6.9388939039072284E-18</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2015-16</v>
      </c>
      <c r="C614" s="1346"/>
      <c r="D614" s="1346"/>
      <c r="E614" s="1346"/>
      <c r="F614" s="1346"/>
      <c r="G614" s="1346"/>
      <c r="H614" s="1347"/>
      <c r="I614" s="1348">
        <f>I603</f>
        <v>0.11705133940547846</v>
      </c>
      <c r="J614" s="1343">
        <f ca="1">IF(I638="n/a",I614,IFERROR(IF((OFFSET($C614,0,$A614))&lt;0,
MIN(0,I614-(OFFSET($C614,0,$A614)/(OFFSET($C609,-$A613,$A614)))),
MAX(0,I614-(OFFSET($C614,0,$A614)/(OFFSET($C609,-$A613,$A614))))),0))</f>
        <v>9.3641071524382766E-2</v>
      </c>
      <c r="K614" s="1343">
        <f t="shared" ca="1" si="846"/>
        <v>7.0230803643287071E-2</v>
      </c>
      <c r="L614" s="1343">
        <f t="shared" ca="1" si="847"/>
        <v>4.6820535762191376E-2</v>
      </c>
      <c r="M614" s="1343">
        <f t="shared" ca="1" si="848"/>
        <v>2.3410267881095684E-2</v>
      </c>
      <c r="N614" s="1343">
        <f t="shared" ca="1" si="849"/>
        <v>0</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2016-17</v>
      </c>
      <c r="C615" s="1346"/>
      <c r="D615" s="1346"/>
      <c r="E615" s="1346"/>
      <c r="F615" s="1346"/>
      <c r="G615" s="1346"/>
      <c r="H615" s="1346"/>
      <c r="I615" s="1347"/>
      <c r="J615" s="1348">
        <f>J603</f>
        <v>5.0470198177664523E-2</v>
      </c>
      <c r="K615" s="1343">
        <f ca="1">IF(J639="n/a",J615,IFERROR(IF((OFFSET($C615,0,$A615))&lt;0,
MIN(0,J615-(OFFSET($C615,0,$A615)/(OFFSET($C610,-$A614,$A615)))),
MAX(0,J615-(OFFSET($C615,0,$A615)/(OFFSET($C610,-$A614,$A615))))),0))</f>
        <v>4.037615854213162E-2</v>
      </c>
      <c r="L615" s="1343">
        <f t="shared" ca="1" si="847"/>
        <v>3.0282118906598716E-2</v>
      </c>
      <c r="M615" s="1343">
        <f t="shared" ca="1" si="848"/>
        <v>2.0188079271065813E-2</v>
      </c>
      <c r="N615" s="1343">
        <f t="shared" ca="1" si="849"/>
        <v>1.0094039635532908E-2</v>
      </c>
      <c r="O615" s="1343">
        <f t="shared" ca="1" si="850"/>
        <v>3.4694469519536142E-18</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2017-18</v>
      </c>
      <c r="C616" s="1346"/>
      <c r="D616" s="1346"/>
      <c r="E616" s="1346"/>
      <c r="F616" s="1346"/>
      <c r="G616" s="1346"/>
      <c r="H616" s="1346"/>
      <c r="I616" s="1346"/>
      <c r="J616" s="1347"/>
      <c r="K616" s="1348">
        <f>K603</f>
        <v>8.5639415146838205E-2</v>
      </c>
      <c r="L616" s="1343">
        <f ca="1">IF(K640="n/a",K616,IFERROR(IF((OFFSET($C616,0,$A616))&lt;0,
MIN(0,K616-(OFFSET($C616,0,$A616)/(OFFSET($C611,-$A615,$A616)))),
MAX(0,K616-(OFFSET($C616,0,$A616)/(OFFSET($C611,-$A615,$A616))))),0))</f>
        <v>6.8511532117470561E-2</v>
      </c>
      <c r="M616" s="1343">
        <f t="shared" ca="1" si="848"/>
        <v>5.1383649088102917E-2</v>
      </c>
      <c r="N616" s="1343">
        <f t="shared" ca="1" si="849"/>
        <v>3.4255766058735274E-2</v>
      </c>
      <c r="O616" s="1343">
        <f t="shared" ca="1" si="850"/>
        <v>1.7127883029367633E-2</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2018-19</v>
      </c>
      <c r="C617" s="1346"/>
      <c r="D617" s="1346"/>
      <c r="E617" s="1346"/>
      <c r="F617" s="1346"/>
      <c r="G617" s="1346"/>
      <c r="H617" s="1346"/>
      <c r="I617" s="1346"/>
      <c r="J617" s="1346"/>
      <c r="K617" s="1347"/>
      <c r="L617" s="1348">
        <f>L603</f>
        <v>0.11806738991739381</v>
      </c>
      <c r="M617" s="1343">
        <f ca="1">IF(L641="n/a",L617,IFERROR(IF((OFFSET($C617,0,$A617))&lt;0,
MIN(0,L617-(OFFSET($C617,0,$A617)/(OFFSET($C612,-$A616,$A617)))),
MAX(0,L617-(OFFSET($C617,0,$A617)/(OFFSET($C612,-$A616,$A617))))),0))</f>
        <v>9.4453911933915044E-2</v>
      </c>
      <c r="N617" s="1343">
        <f t="shared" ca="1" si="849"/>
        <v>7.084043395043628E-2</v>
      </c>
      <c r="O617" s="1343">
        <f t="shared" ca="1" si="850"/>
        <v>4.7226955966957515E-2</v>
      </c>
      <c r="P617" s="1343">
        <f t="shared" ca="1" si="851"/>
        <v>2.3613477983478754E-2</v>
      </c>
      <c r="Q617" s="1343">
        <f t="shared" ca="1" si="852"/>
        <v>0</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2019-20</v>
      </c>
      <c r="C618" s="1346"/>
      <c r="D618" s="1346"/>
      <c r="E618" s="1346"/>
      <c r="F618" s="1346"/>
      <c r="G618" s="1346"/>
      <c r="H618" s="1346"/>
      <c r="I618" s="1346"/>
      <c r="J618" s="1346"/>
      <c r="K618" s="1346"/>
      <c r="L618" s="1347"/>
      <c r="M618" s="1348">
        <f>M603</f>
        <v>0.10529788768889591</v>
      </c>
      <c r="N618" s="1343">
        <f ca="1">IF(M642="n/a",M618,IFERROR(IF((OFFSET($C618,0,$A618))&lt;0,
MIN(0,M618-(OFFSET($C618,0,$A618)/(OFFSET($C613,-$A617,$A618)))),
MAX(0,M618-(OFFSET($C618,0,$A618)/(OFFSET($C613,-$A617,$A618))))),0))</f>
        <v>8.4238310151116727E-2</v>
      </c>
      <c r="O618" s="1343">
        <f t="shared" ca="1" si="850"/>
        <v>6.3178732613337549E-2</v>
      </c>
      <c r="P618" s="1343">
        <f t="shared" ca="1" si="851"/>
        <v>4.211915507555837E-2</v>
      </c>
      <c r="Q618" s="1343">
        <f t="shared" ca="1" si="852"/>
        <v>2.1059577537779189E-2</v>
      </c>
      <c r="R618" s="1343">
        <f t="shared" ca="1" si="853"/>
        <v>6.9388939039072284E-18</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2020-21</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2021-22</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2022-23</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2023-24</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2024-25</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2025-26</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2026-27</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2027-28</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2028-29</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2029-30</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3.9358261096430307</v>
      </c>
      <c r="D632" s="1343">
        <f t="shared" ref="D632" ca="1" si="878">IF(C632="n/a","n/a",MAX(0,C632-1))</f>
        <v>2.9358261096430307</v>
      </c>
      <c r="E632" s="1343">
        <f t="shared" ref="E632:E633" ca="1" si="879">IF(D632="n/a","n/a",MAX(0,D632-1))</f>
        <v>1.9358261096430307</v>
      </c>
      <c r="F632" s="1343">
        <f t="shared" ref="F632:F634" ca="1" si="880">IF(E632="n/a","n/a",MAX(0,E632-1))</f>
        <v>0.9358261096430307</v>
      </c>
      <c r="G632" s="1343">
        <f t="shared" ref="G632:G635" ca="1" si="881">IF(F632="n/a","n/a",MAX(0,F632-1))</f>
        <v>0</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2010-11</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2011-12</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2012-13</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2013-14</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2014-15</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2015-16</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2016-17</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2017-18</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2018-19</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2019-20</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2020-21</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2021-22</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2022-23</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2023-24</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2024-25</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2025-26</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2026-27</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2027-28</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2028-29</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2029-30</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3.9358261096430307</v>
      </c>
      <c r="D654" s="1351">
        <f ca="1">(IF(OR($C604&lt;&gt;"n/a",D604&lt;&gt;"n/a"),IF(SUM(D607:D629)=0,0,IF((SUMPRODUCT(D607:D629,D631:D653)/SUM(D607:D629))&lt;0,1,(SUMPRODUCT(D607:D629,D631:D653)/SUM(D607:D629)))),"n/a"))</f>
        <v>4.2974044021618614</v>
      </c>
      <c r="E654" s="1351">
        <f t="shared" ref="E654:W654" ca="1" si="899">(IF(OR($C604&lt;&gt;"n/a",E604&lt;&gt;"n/a"),IF(SUM(E607:E629)=0,0,IF((SUMPRODUCT(E607:E629,E631:E653)/SUM(E607:E629))&lt;0,1,(SUMPRODUCT(E607:E629,E631:E653)/SUM(E607:E629)))),"n/a"))</f>
        <v>3.8328453474753732</v>
      </c>
      <c r="F654" s="1351">
        <f t="shared" ca="1" si="899"/>
        <v>3.4194756235834149</v>
      </c>
      <c r="G654" s="1351">
        <f t="shared" ca="1" si="899"/>
        <v>3.2724380338536467</v>
      </c>
      <c r="H654" s="1351">
        <f t="shared" ca="1" si="899"/>
        <v>4.0320898837849084</v>
      </c>
      <c r="I654" s="1351">
        <f t="shared" ca="1" si="899"/>
        <v>4.2972396485436262</v>
      </c>
      <c r="J654" s="1351">
        <f t="shared" ca="1" si="899"/>
        <v>3.831114466546758</v>
      </c>
      <c r="K654" s="1351">
        <f t="shared" ca="1" si="899"/>
        <v>3.6959302798918472</v>
      </c>
      <c r="L654" s="1351">
        <f t="shared" ca="1" si="899"/>
        <v>3.7768401737710868</v>
      </c>
      <c r="M654" s="1351">
        <f t="shared" ca="1" si="899"/>
        <v>3.8076476997874948</v>
      </c>
      <c r="N654" s="1351">
        <f t="shared" ca="1" si="899"/>
        <v>3.1493991951093254</v>
      </c>
      <c r="O654" s="1351">
        <f t="shared" ca="1" si="899"/>
        <v>2.3610880570718744</v>
      </c>
      <c r="P654" s="1351">
        <f t="shared" ca="1" si="899"/>
        <v>1.6407647634886231</v>
      </c>
      <c r="Q654" s="1351">
        <f t="shared" ca="1" si="899"/>
        <v>1</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8.5842237822920997E-2</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2010-11</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2011-12</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2012-13</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2013-14</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2014-15</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2015-16</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2016-17</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2017-18</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2018-19</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2019-20</v>
      </c>
      <c r="C672" s="1346"/>
      <c r="D672" s="1346"/>
      <c r="E672" s="1346"/>
      <c r="F672" s="1346"/>
      <c r="G672" s="1346"/>
      <c r="H672" s="1346"/>
      <c r="I672" s="1346"/>
      <c r="J672" s="1346"/>
      <c r="K672" s="1346"/>
      <c r="L672" s="1347"/>
      <c r="M672" s="1348">
        <f>M657</f>
        <v>8.5842237822920997E-2</v>
      </c>
      <c r="N672" s="1343">
        <f ca="1">IF(M696="n/a",M672,IFERROR(IF((OFFSET($C672,0,$A672))&lt;0,
MIN(0,M672-(OFFSET($C672,0,$A672)/(OFFSET($C667,-$A671,$A672)))),
MAX(0,M672-(OFFSET($C672,0,$A672)/(OFFSET($C667,-$A671,$A672))))),0))</f>
        <v>6.8673790258336795E-2</v>
      </c>
      <c r="O672" s="1343">
        <f t="shared" ca="1" si="929"/>
        <v>5.1505342693752593E-2</v>
      </c>
      <c r="P672" s="1343">
        <f t="shared" ca="1" si="930"/>
        <v>3.433689512916839E-2</v>
      </c>
      <c r="Q672" s="1343">
        <f t="shared" ca="1" si="931"/>
        <v>1.7168447564584192E-2</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2020-21</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2021-22</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2022-23</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2023-24</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2024-25</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2025-26</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2026-27</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2027-28</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2028-29</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2029-30</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2010-11</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2011-12</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2012-13</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2013-14</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2014-15</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2015-16</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2016-17</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2017-18</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2018-19</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2019-20</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2020-21</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2021-22</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2022-23</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2023-24</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2024-25</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2025-26</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2026-27</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2027-28</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2028-29</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2029-30</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5</v>
      </c>
      <c r="N708" s="1351">
        <f t="shared" ca="1" si="978"/>
        <v>4</v>
      </c>
      <c r="O708" s="1351">
        <f t="shared" ca="1" si="978"/>
        <v>3</v>
      </c>
      <c r="P708" s="1351">
        <f t="shared" ca="1" si="978"/>
        <v>2</v>
      </c>
      <c r="Q708" s="1351">
        <f t="shared" ca="1" si="978"/>
        <v>1</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1.6114047680000005</v>
      </c>
      <c r="D711" s="1361">
        <f>'Capital base remaining lives'!D716</f>
        <v>0</v>
      </c>
      <c r="E711" s="1361">
        <f>'Capital base remaining lives'!E716</f>
        <v>0</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3.0000354374029006</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1.6114047680000005</v>
      </c>
      <c r="D716" s="1343">
        <f ca="1">IF(C740="n/a",C716,IFERROR(IF((OFFSET($C716,0,$A716))&lt;0,
MIN(0,C716-(OFFSET($C716,0,$A716)/(OFFSET($C711,-$A715,$A716)))),
MAX(0,C716-(OFFSET($C716,0,$A716)/(OFFSET($C711,-$A715,$A716))))),0))</f>
        <v>1.0742761901472746</v>
      </c>
      <c r="E716" s="1343">
        <f t="shared" ref="E716" ca="1" si="998">IF(D740="n/a",D716,IFERROR(IF((OFFSET($C716,0,$A716))&lt;0,
MIN(0,D716-(OFFSET($C716,0,$A716)/(OFFSET($C711,-$A715,$A716)))),
MAX(0,D716-(OFFSET($C716,0,$A716)/(OFFSET($C711,-$A715,$A716))))),0))</f>
        <v>0.53714761229454866</v>
      </c>
      <c r="F716" s="1343">
        <f t="shared" ref="F716:F717" ca="1" si="999">IF(E740="n/a",E716,IFERROR(IF((OFFSET($C716,0,$A716))&lt;0,
MIN(0,E716-(OFFSET($C716,0,$A716)/(OFFSET($C711,-$A715,$A716)))),
MAX(0,E716-(OFFSET($C716,0,$A716)/(OFFSET($C711,-$A715,$A716))))),0))</f>
        <v>1.9034441822718406E-5</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2010-11</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2011-12</v>
      </c>
      <c r="C718" s="1346"/>
      <c r="D718" s="1347"/>
      <c r="E718" s="1345">
        <f>E711</f>
        <v>0</v>
      </c>
      <c r="F718" s="1343">
        <f ca="1">IF(E742="n/a",E718,IFERROR(IF((OFFSET($C718,0,$A718))&lt;0,
MIN(0,E718-(OFFSET($C718,0,$A718)/(OFFSET($C713,-$A717,$A718)))),
MAX(0,E718-(OFFSET($C718,0,$A718)/(OFFSET($C713,-$A717,$A718))))),0))</f>
        <v>0</v>
      </c>
      <c r="G718" s="1343">
        <f t="shared" ca="1" si="1000"/>
        <v>0</v>
      </c>
      <c r="H718" s="1343">
        <f t="shared" ca="1" si="1001"/>
        <v>0</v>
      </c>
      <c r="I718" s="1343">
        <f t="shared" ca="1" si="1002"/>
        <v>0</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2012-13</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2013-14</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2014-15</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2015-16</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2016-17</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2017-18</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2018-19</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2019-20</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2020-21</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2021-22</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2022-23</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2023-24</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2024-25</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2025-26</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2026-27</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2027-28</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2028-29</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2029-30</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3.0000354374029006</v>
      </c>
      <c r="D740" s="1343">
        <f t="shared" ref="D740" ca="1" si="1036">IF(C740="n/a","n/a",MAX(0,C740-1))</f>
        <v>2.0000354374029006</v>
      </c>
      <c r="E740" s="1343">
        <f t="shared" ref="E740:E741" ca="1" si="1037">IF(D740="n/a","n/a",MAX(0,D740-1))</f>
        <v>1.0000354374029006</v>
      </c>
      <c r="F740" s="1343">
        <f t="shared" ref="F740:F742" ca="1" si="1038">IF(E740="n/a","n/a",MAX(0,E740-1))</f>
        <v>3.5437402900573289E-5</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2010-11</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2011-12</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2012-13</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2013-14</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2014-15</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2015-16</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2016-17</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2017-18</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2018-19</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2019-20</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2020-21</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2021-22</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2022-23</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2023-24</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2024-25</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2025-26</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2026-27</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2027-28</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2028-29</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2029-30</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3.0000354374029006</v>
      </c>
      <c r="D762" s="1351">
        <f ca="1">(IF(OR($C712&lt;&gt;"n/a",D712&lt;&gt;"n/a"),IF(SUM(D715:D737)=0,0,IF((SUMPRODUCT(D715:D737,D739:D761)/SUM(D715:D737))&lt;0,1,(SUMPRODUCT(D715:D737,D739:D761)/SUM(D715:D737)))),"n/a"))</f>
        <v>2.0000354374029006</v>
      </c>
      <c r="E762" s="1351">
        <f t="shared" ref="E762:W762" ca="1" si="1057">(IF(OR($C712&lt;&gt;"n/a",E712&lt;&gt;"n/a"),IF(SUM(E715:E737)=0,0,IF((SUMPRODUCT(E715:E737,E739:E761)/SUM(E715:E737))&lt;0,1,(SUMPRODUCT(E715:E737,E739:E761)/SUM(E715:E737)))),"n/a"))</f>
        <v>1.0000354374029006</v>
      </c>
      <c r="F762" s="1351">
        <f t="shared" ca="1" si="1057"/>
        <v>3.5437402900573289E-5</v>
      </c>
      <c r="G762" s="1351">
        <f t="shared" ca="1" si="1057"/>
        <v>0</v>
      </c>
      <c r="H762" s="1351">
        <f t="shared" ca="1" si="1057"/>
        <v>0</v>
      </c>
      <c r="I762" s="1351">
        <f t="shared" ca="1" si="1057"/>
        <v>0</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2010-11</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2011-12</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2012-13</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2013-14</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2014-15</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2015-16</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2016-17</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2017-18</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2018-19</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2019-20</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2020-21</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2021-22</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2022-23</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2023-24</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2024-25</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2025-26</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2026-27</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2027-28</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2028-29</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2029-30</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2010-11</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2011-12</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2012-13</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2013-14</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2014-15</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2015-16</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2016-17</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2017-18</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2018-19</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2019-20</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2020-21</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2021-22</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2022-23</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2023-24</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2024-25</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2025-26</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2026-27</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2027-28</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2028-29</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2029-30</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2010-11</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2011-12</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2012-13</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2013-14</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2014-15</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2015-16</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2016-17</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2017-18</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2018-19</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2019-20</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2020-21</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2021-22</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2022-23</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2023-24</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2024-25</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2025-26</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2026-27</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2027-28</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2028-29</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2029-30</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2010-11</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2011-12</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2012-13</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2013-14</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2014-15</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2015-16</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2016-17</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2017-18</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2018-19</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2019-20</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2020-21</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2021-22</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2022-23</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2023-24</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2024-25</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2025-26</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2026-27</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2027-28</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2028-29</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2029-30</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2010-11</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2011-12</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2012-13</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2013-14</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2014-15</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2015-16</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2016-17</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2017-18</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2018-19</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2019-20</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2020-21</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2021-22</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2022-23</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2023-24</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2024-25</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2025-26</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2026-27</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2027-28</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2028-29</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2029-30</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2010-11</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2011-12</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2012-13</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2013-14</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2014-15</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2015-16</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2016-17</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2017-18</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2018-19</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2019-20</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2020-21</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2021-22</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2022-23</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2023-24</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2024-25</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2025-26</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2026-27</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2027-28</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2028-29</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2029-30</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2010-11</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2011-12</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2012-13</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2013-14</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2014-15</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2015-16</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2016-17</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2017-18</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2018-19</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2019-20</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2020-21</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2021-22</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2022-23</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2023-24</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2024-25</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2025-26</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2026-27</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2027-28</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2028-29</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2029-30</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2010-11</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2011-12</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2012-13</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2013-14</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2014-15</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2015-16</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2016-17</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2017-18</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2018-19</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2019-20</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2020-21</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2021-22</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2022-23</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2023-24</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2024-25</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2025-26</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2026-27</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2027-28</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2028-29</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2029-30</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2010-11</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2011-12</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2012-13</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2013-14</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2014-15</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2015-16</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2016-17</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2017-18</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2018-19</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2019-20</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2020-21</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2021-22</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2022-23</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2023-24</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2024-25</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2025-26</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2026-27</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2027-28</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2028-29</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2029-30</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2010-11</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2011-12</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2012-13</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2013-14</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2014-15</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2015-16</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2016-17</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2017-18</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2018-19</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2019-20</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2020-21</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2021-22</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2022-23</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2023-24</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2024-25</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2025-26</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2026-27</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2027-28</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2028-29</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2029-30</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2010-11</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2011-12</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2012-13</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2013-14</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2014-15</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2015-16</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2016-17</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2017-18</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2018-19</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2019-20</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2020-21</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2021-22</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2022-23</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2023-24</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2024-25</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2025-26</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2026-27</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2027-28</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2028-29</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2029-30</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2010-11</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2011-12</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2012-13</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2013-14</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2014-15</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2015-16</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2016-17</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2017-18</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2018-19</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2019-20</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2020-21</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2021-22</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2022-23</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2023-24</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2024-25</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2025-26</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2026-27</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2027-28</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2028-29</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2029-30</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2010-11</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2011-12</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2012-13</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2013-14</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2014-15</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2015-16</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2016-17</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2017-18</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2018-19</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2019-20</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2020-21</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2021-22</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2022-23</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2023-24</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2024-25</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2025-26</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2026-27</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2027-28</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2028-29</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2029-30</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2010-11</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2011-12</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2012-13</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2013-14</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2014-15</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2015-16</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2016-17</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2017-18</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2018-19</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2019-20</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2020-21</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2021-22</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2022-23</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2023-24</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2024-25</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2025-26</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2026-27</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2027-28</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2028-29</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2029-30</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2010-11</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2011-12</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2012-13</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2013-14</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2014-15</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2015-16</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2016-17</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2017-18</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2018-19</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2019-20</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2020-21</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2021-22</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2022-23</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2023-24</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2024-25</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2025-26</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2026-27</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2027-28</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2028-29</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2029-30</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2010-11</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2011-12</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2012-13</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2013-14</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2014-15</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2015-16</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2016-17</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2017-18</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2018-19</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2019-20</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2020-21</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2021-22</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2022-23</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2023-24</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2024-25</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2025-26</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2026-27</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2027-28</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2028-29</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2029-30</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2010-11</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2011-12</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2012-13</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2013-14</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2014-15</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2015-16</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2016-17</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2017-18</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2018-19</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2019-20</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2020-21</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2021-22</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2022-23</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2023-24</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2024-25</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2025-26</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2026-27</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2027-28</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2028-29</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2029-30</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2010-11</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2011-12</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2012-13</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2013-14</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2014-15</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2015-16</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2016-17</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2017-18</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2018-19</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2019-20</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2020-21</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2021-22</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2022-23</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2023-24</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2024-25</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2025-26</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2026-27</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2027-28</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2028-29</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2029-30</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2010-11</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2011-12</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2012-13</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2013-14</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2014-15</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2015-16</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2016-17</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2017-18</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2018-19</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2019-20</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2020-21</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2021-22</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2022-23</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2023-24</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2024-25</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2025-26</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2026-27</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2027-28</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2028-29</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2029-30</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2010-11</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2011-12</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2012-13</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2013-14</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2014-15</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2015-16</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2016-17</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2017-18</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2018-19</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2019-20</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2020-21</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2021-22</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2022-23</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2023-24</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2024-25</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2025-26</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2026-27</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2027-28</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2028-29</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2029-30</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2010-11</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2011-12</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2012-13</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2013-14</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2014-15</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2015-16</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2016-17</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2017-18</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2018-19</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2019-20</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2020-21</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2021-22</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2022-23</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2023-24</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2024-25</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2025-26</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2026-27</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2027-28</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2028-29</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2029-30</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2010-11</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2011-12</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2012-13</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2013-14</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2014-15</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2015-16</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2016-17</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2017-18</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2018-19</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2019-20</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2020-21</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2021-22</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2022-23</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2023-24</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2024-25</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2025-26</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2026-27</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2027-28</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2028-29</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2029-30</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2010-11</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2011-12</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2012-13</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2013-14</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2014-15</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2015-16</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2016-17</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2017-18</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2018-19</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2019-20</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2020-21</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2021-22</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2022-23</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2023-24</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2024-25</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2025-26</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2026-27</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2027-28</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2028-29</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2029-30</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2010-11</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2011-12</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2012-13</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2013-14</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2014-15</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2015-16</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2016-17</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2017-18</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2018-19</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2019-20</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2020-21</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2021-22</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2022-23</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2023-24</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2024-25</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2025-26</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2026-27</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2027-28</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2028-29</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2029-30</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2010-11</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2011-12</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2012-13</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2013-14</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2014-15</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2015-16</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2016-17</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2017-18</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2018-19</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2019-20</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2020-21</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2021-22</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2022-23</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2023-24</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2024-25</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2025-26</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2026-27</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2027-28</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2028-29</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2029-30</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2010-11</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2011-12</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2012-13</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2013-14</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2014-15</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2015-16</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2016-17</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2017-18</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2018-19</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2019-20</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2020-21</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2021-22</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2022-23</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2023-24</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2024-25</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2025-26</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2026-27</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2027-28</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2028-29</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2029-30</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2010-11</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2011-12</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2012-13</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2013-14</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2014-15</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2015-16</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2016-17</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2017-18</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2018-19</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2019-20</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2020-21</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2021-22</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2022-23</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2023-24</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2024-25</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2025-26</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2026-27</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2027-28</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2028-29</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2029-30</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2010-11</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2011-12</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2012-13</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2013-14</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2014-15</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2015-16</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2016-17</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2017-18</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2018-19</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2019-20</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2020-21</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2021-22</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2022-23</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2023-24</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2024-25</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2025-26</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2026-27</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2027-28</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2028-29</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2029-30</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2010-11</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2011-12</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2012-13</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2013-14</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2014-15</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2015-16</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2016-17</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2017-18</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2018-19</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2019-20</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2020-21</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2021-22</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2022-23</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2023-24</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2024-25</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2025-26</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2026-27</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2027-28</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2028-29</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2029-30</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2010-11</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2011-12</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2012-13</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2013-14</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2014-15</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2015-16</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2016-17</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2017-18</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2018-19</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2019-20</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2020-21</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2021-22</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2022-23</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2023-24</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2024-25</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2025-26</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2026-27</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2027-28</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2028-29</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2029-30</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2010-11</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2011-12</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2012-13</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2013-14</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2014-15</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2015-16</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2016-17</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2017-18</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2018-19</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2019-20</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2020-21</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2021-22</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2022-23</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2023-24</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2024-25</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2025-26</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2026-27</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2027-28</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2028-29</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2029-30</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2010-11</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2011-12</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2012-13</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2013-14</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2014-15</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2015-16</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2016-17</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2017-18</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2018-19</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2019-20</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2020-21</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2021-22</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2022-23</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2023-24</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2024-25</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2025-26</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2026-27</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2027-28</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2028-29</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2029-30</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2010-11</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2011-12</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2012-13</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2013-14</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2014-15</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2015-16</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2016-17</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2017-18</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2018-19</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2019-20</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2020-21</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2021-22</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2022-23</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2023-24</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2024-25</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2025-26</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2026-27</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2027-28</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2028-29</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2029-30</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2010-11</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2011-12</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2012-13</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2013-14</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2014-15</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2015-16</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2016-17</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2017-18</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2018-19</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2019-20</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2020-21</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2021-22</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2022-23</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2023-24</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2024-25</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2025-26</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2026-27</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2027-28</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2028-29</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2029-30</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2010-11</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2011-12</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2012-13</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2013-14</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2014-15</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2015-16</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2016-17</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2017-18</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2018-19</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2019-20</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2020-21</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2021-22</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2022-23</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2023-24</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2024-25</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2025-26</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2026-27</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2027-28</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2028-29</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2029-30</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2010-11</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2011-12</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2012-13</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2013-14</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2014-15</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2015-16</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2016-17</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2017-18</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2018-19</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2019-20</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2020-21</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2021-22</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2022-23</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2023-24</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2024-25</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2025-26</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2026-27</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2027-28</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2028-29</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2029-30</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2010-11</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2011-12</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2012-13</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2013-14</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2014-15</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2015-16</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2016-17</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2017-18</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2018-19</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2019-20</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2020-21</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2021-22</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2022-23</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2023-24</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2024-25</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2025-26</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2026-27</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2027-28</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2028-29</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2029-30</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2010-11</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2011-12</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2012-13</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2013-14</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2014-15</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2015-16</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2016-17</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2017-18</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2018-19</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2019-20</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2020-21</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2021-22</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2022-23</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2023-24</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2024-25</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2025-26</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2026-27</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2027-28</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2028-29</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2029-30</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2010-11</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2011-12</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2012-13</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2013-14</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2014-15</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2015-16</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2016-17</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2017-18</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2018-19</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2019-20</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2020-21</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2021-22</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2022-23</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2023-24</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2024-25</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2025-26</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2026-27</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2027-28</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2028-29</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2029-30</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2010-11</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2011-12</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2012-13</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2013-14</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2014-15</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2015-16</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2016-17</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2017-18</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2018-19</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2019-20</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2020-21</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2021-22</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2022-23</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2023-24</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2024-25</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2025-26</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2026-27</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2027-28</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2028-29</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2029-30</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2010-11</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2011-12</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2012-13</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2013-14</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2014-15</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2015-16</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2016-17</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2017-18</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2018-19</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2019-20</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2020-21</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2021-22</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2022-23</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2023-24</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2024-25</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2025-26</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2026-27</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2027-28</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2028-29</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2029-30</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2010-11</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2011-12</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2012-13</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2013-14</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2014-15</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2015-16</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2016-17</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2017-18</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2018-19</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2019-20</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2020-21</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2021-22</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2022-23</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2023-24</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2024-25</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2025-26</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2026-27</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2027-28</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2028-29</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2029-30</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2010-11</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2011-12</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2012-13</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2013-14</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2014-15</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2015-16</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2016-17</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2017-18</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2018-19</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2019-20</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2020-21</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2021-22</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2022-23</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2023-24</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2024-25</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2025-26</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2026-27</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2027-28</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2028-29</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2029-30</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2010-11</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2011-12</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2012-13</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2013-14</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2014-15</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2015-16</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2016-17</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2017-18</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2018-19</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2019-20</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2020-21</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2021-22</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2022-23</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2023-24</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2024-25</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2025-26</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2026-27</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2027-28</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2028-29</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2029-30</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2010-11</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2011-12</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2012-13</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2013-14</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2014-15</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2015-16</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2016-17</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2017-18</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2018-19</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2019-20</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2020-21</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2021-22</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2022-23</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2023-24</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2024-25</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2025-26</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2026-27</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2027-28</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2028-29</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2029-30</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2010-11</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2011-12</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2012-13</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2013-14</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2014-15</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2015-16</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2016-17</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2017-18</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2018-19</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2019-20</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2020-21</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2021-22</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2022-23</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2023-24</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2024-25</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2025-26</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2026-27</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2027-28</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2028-29</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2029-30</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2010-11</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2011-12</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2012-13</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2013-14</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2014-15</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2015-16</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2016-17</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2017-18</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2018-19</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2019-20</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2020-21</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2021-22</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2022-23</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2023-24</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2024-25</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2025-26</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2026-27</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2027-28</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2028-29</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2029-30</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2010-11</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2011-12</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2012-13</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2013-14</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2014-15</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2015-16</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2016-17</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2017-18</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2018-19</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2019-20</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2020-21</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2021-22</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2022-23</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2023-24</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2024-25</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2025-26</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2026-27</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2027-28</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2028-29</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2029-30</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2010-11</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2011-12</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2012-13</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2013-14</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2014-15</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2015-16</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2016-17</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2017-18</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2018-19</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2019-20</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2020-21</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2021-22</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2022-23</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2023-24</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2024-25</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2025-26</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2026-27</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2027-28</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2028-29</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2029-30</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2010-11</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2011-12</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2012-13</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2013-14</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2014-15</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2015-16</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2016-17</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2017-18</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2018-19</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2019-20</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2020-21</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2021-22</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2022-23</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2023-24</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2024-25</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2025-26</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2026-27</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2027-28</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2028-29</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2029-30</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2010-11</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2011-12</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2012-13</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2013-14</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2014-15</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2015-16</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2016-17</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2017-18</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2018-19</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2019-20</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2020-21</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2021-22</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2022-23</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2023-24</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2024-25</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2025-26</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2026-27</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2027-28</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2028-29</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2029-30</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2010-11</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2011-12</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2012-13</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2013-14</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2014-15</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2015-16</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2016-17</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2017-18</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2018-19</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2019-20</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2020-21</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2021-22</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2022-23</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2023-24</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2024-25</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2025-26</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2026-27</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2027-28</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2028-29</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2029-30</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2010-11</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2011-12</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2012-13</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2013-14</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2014-15</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2015-16</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2016-17</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2017-18</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2018-19</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2019-20</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2020-21</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2021-22</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2022-23</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2023-24</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2024-25</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2025-26</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2026-27</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2027-28</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2028-29</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2029-30</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2010-11</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2011-12</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2012-13</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2013-14</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2014-15</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2015-16</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2016-17</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2017-18</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2018-19</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2019-20</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2020-21</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2021-22</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2022-23</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2023-24</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2024-25</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2025-26</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2026-27</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2027-28</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2028-29</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2029-30</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2010-11</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2011-12</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2012-13</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2013-14</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2014-15</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2015-16</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2016-17</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2017-18</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2018-19</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2019-20</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2020-21</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2021-22</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2022-23</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2023-24</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2024-25</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2025-26</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2026-27</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2027-28</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2028-29</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2029-30</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2010-11</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2011-12</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2012-13</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2013-14</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2014-15</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2015-16</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2016-17</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2017-18</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2018-19</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2019-20</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2020-21</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2021-22</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2022-23</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2023-24</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2024-25</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2025-26</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2026-27</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2027-28</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2028-29</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2029-30</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2010-11</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2011-12</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2012-13</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2013-14</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2014-15</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2015-16</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2016-17</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2017-18</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2018-19</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2019-20</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2020-21</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2021-22</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2022-23</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2023-24</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2024-25</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2025-26</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2026-27</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2027-28</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2028-29</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2029-30</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2010-11</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2011-12</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2012-13</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2013-14</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2014-15</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2015-16</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2016-17</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2017-18</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2018-19</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2019-20</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2020-21</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2021-22</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2022-23</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2023-24</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2024-25</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2025-26</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2026-27</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2027-28</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2028-29</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2029-30</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2010-11</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2011-12</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2012-13</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2013-14</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2014-15</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2015-16</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2016-17</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2017-18</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2018-19</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2019-20</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2020-21</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2021-22</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2022-23</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2023-24</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2024-25</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2025-26</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2026-27</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2027-28</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2028-29</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2029-30</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2010-11</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2011-12</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2012-13</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2013-14</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2014-15</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2015-16</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2016-17</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2017-18</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2018-19</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2019-20</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2020-21</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2021-22</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2022-23</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2023-24</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2024-25</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2025-26</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2026-27</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2027-28</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2028-29</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2029-30</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2010-11</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2011-12</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2012-13</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2013-14</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2014-15</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2015-16</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2016-17</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2017-18</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2018-19</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2019-20</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2020-21</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2021-22</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2022-23</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2023-24</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2024-25</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2025-26</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2026-27</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2027-28</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2028-29</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2029-30</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2010-11</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2011-12</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2012-13</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2013-14</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2014-15</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2015-16</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2016-17</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2017-18</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2018-19</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2019-20</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2020-21</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2021-22</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2022-23</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2023-24</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2024-25</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2025-26</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2026-27</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2027-28</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2028-29</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2029-30</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2010-11</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2011-12</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2012-13</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2013-14</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2014-15</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2015-16</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2016-17</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2017-18</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2018-19</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2019-20</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2020-21</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2021-22</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2022-23</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2023-24</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2024-25</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2025-26</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2026-27</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2027-28</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2028-29</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2029-30</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2010-11</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2011-12</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2012-13</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2013-14</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2014-15</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2015-16</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2016-17</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2017-18</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2018-19</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2019-20</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2020-21</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2021-22</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2022-23</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2023-24</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2024-25</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2025-26</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2026-27</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2027-28</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2028-29</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2029-30</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2010-11</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2011-12</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2012-13</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2013-14</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2014-15</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2015-16</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2016-17</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2017-18</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2018-19</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2019-20</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2020-21</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2021-22</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2022-23</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2023-24</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2024-25</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2025-26</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2026-27</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2027-28</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2028-29</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2029-30</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2010-11</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2011-12</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2012-13</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2013-14</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2014-15</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2015-16</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2016-17</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2017-18</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2018-19</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2019-20</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2020-21</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2021-22</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2022-23</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2023-24</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2024-25</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2025-26</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2026-27</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2027-28</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2028-29</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2029-30</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2010-11</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2011-12</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2012-13</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2013-14</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2014-15</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2015-16</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2016-17</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2017-18</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2018-19</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2019-20</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2020-21</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2021-22</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2022-23</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2023-24</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2024-25</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2025-26</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2026-27</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2027-28</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2028-29</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2029-30</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2010-11</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2011-12</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2012-13</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2013-14</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2014-15</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2015-16</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2016-17</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2017-18</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2018-19</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2019-20</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2020-21</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2021-22</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2022-23</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2023-24</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2024-25</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2025-26</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2026-27</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2027-28</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2028-29</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2029-30</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2010-11</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2011-12</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2012-13</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2013-14</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2014-15</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2015-16</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2016-17</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2017-18</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2018-19</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2019-20</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2020-21</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2021-22</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2022-23</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2023-24</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2024-25</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2025-26</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2026-27</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2027-28</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2028-29</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2029-30</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2010-11</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2011-12</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2012-13</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2013-14</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2014-15</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2015-16</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2016-17</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2017-18</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2018-19</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2019-20</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2020-21</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2021-22</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2022-23</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2023-24</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2024-25</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2025-26</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2026-27</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2027-28</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2028-29</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2029-30</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2010-11</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2011-12</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2012-13</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2013-14</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2014-15</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2015-16</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2016-17</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2017-18</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2018-19</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2019-20</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2020-21</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2021-22</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2022-23</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2023-24</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2024-25</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2025-26</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2026-27</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2027-28</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2028-29</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2029-30</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2010-11</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2011-12</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2012-13</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2013-14</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2014-15</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2015-16</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2016-17</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2017-18</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2018-19</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2019-20</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2020-21</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2021-22</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2022-23</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2023-24</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2024-25</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2025-26</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2026-27</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2027-28</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2028-29</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2029-30</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Z64"/>
  <sheetViews>
    <sheetView zoomScaleNormal="100"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Central West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2020-21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1" t="str">
        <f>Asset1</f>
        <v>Pipelines</v>
      </c>
      <c r="H7" s="1512"/>
      <c r="I7" s="1512"/>
      <c r="J7" s="1364">
        <f>HLOOKUP(IF('RFM input'!$AA$7="",5,'RFM input'!$AA$7),'Total capital base roll forward'!$I$528:$Q$579,A7,FALSE)</f>
        <v>35.570239049861343</v>
      </c>
      <c r="K7" s="1365">
        <f>HLOOKUP(IF('RFM input'!$AA$7="",5,'RFM input'!$AA$7),'Total capital base roll forward'!$I$1104:$Q$1155,A7,FALSE)</f>
        <v>35.570239049861343</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60.280867550888452</v>
      </c>
      <c r="M7" s="1366"/>
      <c r="N7" s="1367">
        <f>HLOOKUP(IF('RFM input'!$AA$7="",5,'RFM input'!$AA$7),'TAB roll forward'!$J$2:$R$57,B7,FALSE)</f>
        <v>0.627889131006794</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6.9690459817574659</v>
      </c>
      <c r="P7" s="163"/>
      <c r="Q7" s="165" t="str">
        <f>HLOOKUP(IF('RFM input'!AA7="",5,'RFM input'!AA7),'TAB roll forward'!I2:R4,3,FALSE)</f>
        <v>2020-21</v>
      </c>
      <c r="R7" s="164"/>
      <c r="S7" s="29"/>
      <c r="T7" s="87"/>
      <c r="U7" s="87"/>
      <c r="V7" s="87"/>
      <c r="W7" s="87"/>
      <c r="X7" s="29"/>
      <c r="Y7" s="29"/>
      <c r="Z7" s="29"/>
    </row>
    <row r="8" spans="1:26">
      <c r="A8" s="295">
        <f>A7+1</f>
        <v>4</v>
      </c>
      <c r="B8" s="295">
        <f>B7+1</f>
        <v>8</v>
      </c>
      <c r="C8" s="295"/>
      <c r="D8" s="295"/>
      <c r="E8" s="1508" t="str">
        <f>'RFM input'!E8</f>
        <v>Asset Class 2</v>
      </c>
      <c r="F8" s="1509"/>
      <c r="G8" s="1506" t="str">
        <f>Asset2</f>
        <v>Compressors</v>
      </c>
      <c r="H8" s="1507"/>
      <c r="I8" s="1507"/>
      <c r="J8" s="1368">
        <f>HLOOKUP(IF('RFM input'!$AA$7="",5,'RFM input'!$AA$7),'Total capital base roll forward'!$I$528:$Q$579,A8,FALSE)</f>
        <v>0</v>
      </c>
      <c r="K8" s="1369">
        <f>HLOOKUP(IF('RFM input'!$AA$7="",5,'RFM input'!$AA$7),'Total capital base roll forward'!$I$1104:$Q$1155,A8,FALSE)</f>
        <v>0</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0"/>
      <c r="N8" s="270">
        <f>HLOOKUP(IF('RFM input'!$AA$7="",5,'RFM input'!$AA$7),'TAB roll forward'!$J$2:$R$57,B8,FALSE)</f>
        <v>0</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06" t="str">
        <f>Asset3</f>
        <v>City Gates, supply regulators and valve stations</v>
      </c>
      <c r="H9" s="1507"/>
      <c r="I9" s="1507"/>
      <c r="J9" s="1368">
        <f>HLOOKUP(IF('RFM input'!$AA$7="",5,'RFM input'!$AA$7),'Total capital base roll forward'!$I$528:$Q$579,A9,FALSE)</f>
        <v>0</v>
      </c>
      <c r="K9" s="1369">
        <f>HLOOKUP(IF('RFM input'!$AA$7="",5,'RFM input'!$AA$7),'Total capital base roll forward'!$I$1104:$Q$1155,A9,FALSE)</f>
        <v>0</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0"/>
      <c r="N9" s="270">
        <f>HLOOKUP(IF('RFM input'!$AA$7="",5,'RFM input'!$AA$7),'TAB roll forward'!$J$2:$R$57,B9,FALSE)</f>
        <v>0</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06" t="str">
        <f>Asset4</f>
        <v>Metering</v>
      </c>
      <c r="H10" s="1507"/>
      <c r="I10" s="1507"/>
      <c r="J10" s="1368">
        <f>HLOOKUP(IF('RFM input'!$AA$7="",5,'RFM input'!$AA$7),'Total capital base roll forward'!$I$528:$Q$579,A10,FALSE)</f>
        <v>0.41329166203718309</v>
      </c>
      <c r="K10" s="1369">
        <f>HLOOKUP(IF('RFM input'!$AA$7="",5,'RFM input'!$AA$7),'Total capital base roll forward'!$I$1104:$Q$1155,A10,FALSE)</f>
        <v>0.41329166203718309</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36.169966813206685</v>
      </c>
      <c r="M10" s="1370"/>
      <c r="N10" s="270">
        <f>HLOOKUP(IF('RFM input'!$AA$7="",5,'RFM input'!$AA$7),'TAB roll forward'!$J$2:$R$57,B10,FALSE)</f>
        <v>0.12650385001127484</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6.1826454279260332</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06" t="str">
        <f>Asset5</f>
        <v>Odourant plants</v>
      </c>
      <c r="H11" s="1507"/>
      <c r="I11" s="1507"/>
      <c r="J11" s="1368">
        <f>HLOOKUP(IF('RFM input'!$AA$7="",5,'RFM input'!$AA$7),'Total capital base roll forward'!$I$528:$Q$579,A11,FALSE)</f>
        <v>0.29154238575854929</v>
      </c>
      <c r="K11" s="1369">
        <f>HLOOKUP(IF('RFM input'!$AA$7="",5,'RFM input'!$AA$7),'Total capital base roll forward'!$I$1104:$Q$1155,A11,FALSE)</f>
        <v>0.29154238575854929</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72</v>
      </c>
      <c r="M11" s="1370"/>
      <c r="N11" s="270">
        <f>HLOOKUP(IF('RFM input'!$AA$7="",5,'RFM input'!$AA$7),'TAB roll forward'!$J$2:$R$57,B11,FALSE)</f>
        <v>0.16413618000000008</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06" t="str">
        <f>Asset6</f>
        <v>SCADA (Communications)</v>
      </c>
      <c r="H12" s="1507"/>
      <c r="I12" s="1507"/>
      <c r="J12" s="1368">
        <f>HLOOKUP(IF('RFM input'!$AA$7="",5,'RFM input'!$AA$7),'Total capital base roll forward'!$I$528:$Q$579,A12,FALSE)</f>
        <v>0.23794516572582028</v>
      </c>
      <c r="K12" s="1369">
        <f>HLOOKUP(IF('RFM input'!$AA$7="",5,'RFM input'!$AA$7),'Total capital base roll forward'!$I$1104:$Q$1155,A12,FALSE)</f>
        <v>0.23794516572582028</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12.969102789699123</v>
      </c>
      <c r="M12" s="1370"/>
      <c r="N12" s="270">
        <f>HLOOKUP(IF('RFM input'!$AA$7="",5,'RFM input'!$AA$7),'TAB roll forward'!$J$2:$R$57,B12,FALSE)</f>
        <v>0.21086803099999998</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8.023605821026516</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06" t="str">
        <f>Asset7</f>
        <v>Buildings</v>
      </c>
      <c r="H13" s="1507"/>
      <c r="I13" s="1507"/>
      <c r="J13" s="1368">
        <f>HLOOKUP(IF('RFM input'!$AA$7="",5,'RFM input'!$AA$7),'Total capital base roll forward'!$I$528:$Q$579,A13,FALSE)</f>
        <v>0</v>
      </c>
      <c r="K13" s="1369">
        <f>HLOOKUP(IF('RFM input'!$AA$7="",5,'RFM input'!$AA$7),'Total capital base roll forward'!$I$1104:$Q$1155,A13,FALSE)</f>
        <v>0</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0"/>
      <c r="N13" s="270">
        <f>HLOOKUP(IF('RFM input'!$AA$7="",5,'RFM input'!$AA$7),'TAB roll forward'!$J$2:$R$57,B13,FALSE)</f>
        <v>0</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06" t="str">
        <f>Asset8</f>
        <v>Land and easements</v>
      </c>
      <c r="H14" s="1507"/>
      <c r="I14" s="1507"/>
      <c r="J14" s="1368">
        <f>HLOOKUP(IF('RFM input'!$AA$7="",5,'RFM input'!$AA$7),'Total capital base roll forward'!$I$528:$Q$579,A14,FALSE)</f>
        <v>0</v>
      </c>
      <c r="K14" s="1369">
        <f>HLOOKUP(IF('RFM input'!$AA$7="",5,'RFM input'!$AA$7),'Total capital base roll forward'!$I$1104:$Q$1155,A14,FALSE)</f>
        <v>0</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0</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06" t="str">
        <f>Asset9</f>
        <v>Other depreciable pipeline assets</v>
      </c>
      <c r="H15" s="1507"/>
      <c r="I15" s="1507"/>
      <c r="J15" s="1368">
        <f>HLOOKUP(IF('RFM input'!$AA$7="",5,'RFM input'!$AA$7),'Total capital base roll forward'!$I$528:$Q$579,A15,FALSE)</f>
        <v>0</v>
      </c>
      <c r="K15" s="1369">
        <f>HLOOKUP(IF('RFM input'!$AA$7="",5,'RFM input'!$AA$7),'Total capital base roll forward'!$I$1104:$Q$1155,A15,FALSE)</f>
        <v>0</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0"/>
      <c r="N15" s="270">
        <f>HLOOKUP(IF('RFM input'!$AA$7="",5,'RFM input'!$AA$7),'TAB roll forward'!$J$2:$R$57,B15,FALSE)</f>
        <v>0</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06" t="str">
        <f>Asset10</f>
        <v>IT Systems</v>
      </c>
      <c r="H16" s="1507"/>
      <c r="I16" s="1507"/>
      <c r="J16" s="1368">
        <f>HLOOKUP(IF('RFM input'!$AA$7="",5,'RFM input'!$AA$7),'Total capital base roll forward'!$I$528:$Q$579,A16,FALSE)</f>
        <v>1.9324618280232107E-2</v>
      </c>
      <c r="K16" s="1369">
        <f>HLOOKUP(IF('RFM input'!$AA$7="",5,'RFM input'!$AA$7),'Total capital base roll forward'!$I$1104:$Q$1155,A16,FALSE)</f>
        <v>1.9324618280232107E-2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0"/>
      <c r="N16" s="270">
        <f>HLOOKUP(IF('RFM input'!$AA$7="",5,'RFM input'!$AA$7),'TAB roll forward'!$J$2:$R$57,B16,FALSE)</f>
        <v>1.9144029999999999E-2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06" t="str">
        <f>Asset11</f>
        <v>Leased pipeline assets</v>
      </c>
      <c r="H17" s="1507"/>
      <c r="I17" s="1507"/>
      <c r="J17" s="1368">
        <f>HLOOKUP(IF('RFM input'!$AA$7="",5,'RFM input'!$AA$7),'Total capital base roll forward'!$I$528:$Q$579,A17,FALSE)</f>
        <v>0</v>
      </c>
      <c r="K17" s="1369">
        <f>HLOOKUP(IF('RFM input'!$AA$7="",5,'RFM input'!$AA$7),'Total capital base roll forward'!$I$1104:$Q$1155,A17,FALSE)</f>
        <v>0</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0"/>
      <c r="N17" s="270">
        <f>HLOOKUP(IF('RFM input'!$AA$7="",5,'RFM input'!$AA$7),'TAB roll forward'!$J$2:$R$57,B17,FALSE)</f>
        <v>0</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06" t="str">
        <f>Asset12</f>
        <v>Shared supporting assets</v>
      </c>
      <c r="H18" s="1507"/>
      <c r="I18" s="1507"/>
      <c r="J18" s="1368">
        <f>HLOOKUP(IF('RFM input'!$AA$7="",5,'RFM input'!$AA$7),'Total capital base roll forward'!$I$528:$Q$579,A18,FALSE)</f>
        <v>0.29932501287638036</v>
      </c>
      <c r="K18" s="1369">
        <f>HLOOKUP(IF('RFM input'!$AA$7="",5,'RFM input'!$AA$7),'Total capital base roll forward'!$I$1104:$Q$1155,A18,FALSE)</f>
        <v>0.29932501287638036</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3.7745377658074442</v>
      </c>
      <c r="M18" s="1370"/>
      <c r="N18" s="270">
        <f>HLOOKUP(IF('RFM input'!$AA$7="",5,'RFM input'!$AA$7),'TAB roll forward'!$J$2:$R$57,B18,FALSE)</f>
        <v>0.29473379586307541</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3.8076476997874948</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06" t="str">
        <f>Asset13</f>
        <v>Shared leased assets</v>
      </c>
      <c r="H19" s="1507"/>
      <c r="I19" s="1507"/>
      <c r="J19" s="1368">
        <f>HLOOKUP(IF('RFM input'!$AA$7="",5,'RFM input'!$AA$7),'Total capital base roll forward'!$I$528:$Q$579,A19,FALSE)</f>
        <v>8.6651999513626482E-2</v>
      </c>
      <c r="K19" s="1369">
        <f>HLOOKUP(IF('RFM input'!$AA$7="",5,'RFM input'!$AA$7),'Total capital base roll forward'!$I$1104:$Q$1155,A19,FALSE)</f>
        <v>8.6651999513626482E-2</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70"/>
      <c r="N19" s="270">
        <f>HLOOKUP(IF('RFM input'!$AA$7="",5,'RFM input'!$AA$7),'TAB roll forward'!$J$2:$R$57,B19,FALSE)</f>
        <v>8.5842237822920997E-2</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06" t="str">
        <f>Asset14</f>
        <v>PMA - Buyout contract</v>
      </c>
      <c r="H20" s="1507"/>
      <c r="I20" s="1507"/>
      <c r="J20" s="1368">
        <f>HLOOKUP(IF('RFM input'!$AA$7="",5,'RFM input'!$AA$7),'Total capital base roll forward'!$I$528:$Q$579,A20,FALSE)</f>
        <v>-3.6703281991803116E-2</v>
      </c>
      <c r="K20" s="1369">
        <f>HLOOKUP(IF('RFM input'!$AA$7="",5,'RFM input'!$AA$7),'Total capital base roll forward'!$I$1104:$Q$1155,A20,FALSE)</f>
        <v>-3.6703281991803116E-2</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0"/>
      <c r="N20" s="270">
        <f>HLOOKUP(IF('RFM input'!$AA$7="",5,'RFM input'!$AA$7),'TAB roll forward'!$J$2:$R$57,B20,FALSE)</f>
        <v>0</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06">
        <f>Asset15</f>
        <v>0</v>
      </c>
      <c r="H21" s="1507"/>
      <c r="I21" s="1507"/>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06">
        <f>Asset16</f>
        <v>0</v>
      </c>
      <c r="H22" s="1507"/>
      <c r="I22" s="1507"/>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06">
        <f>Asset17</f>
        <v>0</v>
      </c>
      <c r="H23" s="1507"/>
      <c r="I23" s="1507"/>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06">
        <f>Asset18</f>
        <v>0</v>
      </c>
      <c r="H24" s="1507"/>
      <c r="I24" s="1507"/>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06">
        <f>Asset19</f>
        <v>0</v>
      </c>
      <c r="H25" s="1507"/>
      <c r="I25" s="1507"/>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06">
        <f>Asset20</f>
        <v>0</v>
      </c>
      <c r="H26" s="1507"/>
      <c r="I26" s="1507"/>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06">
        <f>Asset21</f>
        <v>0</v>
      </c>
      <c r="H27" s="1507"/>
      <c r="I27" s="1507"/>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06">
        <f>Asset22</f>
        <v>0</v>
      </c>
      <c r="H28" s="1507"/>
      <c r="I28" s="1507"/>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06">
        <f>Asset23</f>
        <v>0</v>
      </c>
      <c r="H29" s="1507"/>
      <c r="I29" s="1507"/>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06">
        <f>Asset24</f>
        <v>0</v>
      </c>
      <c r="H30" s="1507"/>
      <c r="I30" s="1507"/>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06">
        <f>Asset25</f>
        <v>0</v>
      </c>
      <c r="H31" s="1507"/>
      <c r="I31" s="1507"/>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06">
        <f>Asset26</f>
        <v>0</v>
      </c>
      <c r="H32" s="1507"/>
      <c r="I32" s="1507"/>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06">
        <f>Asset27</f>
        <v>0</v>
      </c>
      <c r="H33" s="1507"/>
      <c r="I33" s="1507"/>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06">
        <f>Asset28</f>
        <v>0</v>
      </c>
      <c r="H34" s="1507"/>
      <c r="I34" s="1507"/>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06">
        <f>Asset29</f>
        <v>0</v>
      </c>
      <c r="H35" s="1507"/>
      <c r="I35" s="1507"/>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06">
        <f>Asset30</f>
        <v>0</v>
      </c>
      <c r="H36" s="1507"/>
      <c r="I36" s="1507"/>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06">
        <f>Asset31</f>
        <v>0</v>
      </c>
      <c r="H37" s="1507">
        <f>Asset31</f>
        <v>0</v>
      </c>
      <c r="I37" s="1507">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06">
        <f>Asset32</f>
        <v>0</v>
      </c>
      <c r="H38" s="1507">
        <f>Asset32</f>
        <v>0</v>
      </c>
      <c r="I38" s="1507">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06">
        <f>Asset33</f>
        <v>0</v>
      </c>
      <c r="H39" s="1507">
        <f>Asset33</f>
        <v>0</v>
      </c>
      <c r="I39" s="1507">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06">
        <f>Asset34</f>
        <v>0</v>
      </c>
      <c r="H40" s="1507">
        <f>Asset34</f>
        <v>0</v>
      </c>
      <c r="I40" s="1507">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06">
        <f>Asset35</f>
        <v>0</v>
      </c>
      <c r="H41" s="1507">
        <f>Asset35</f>
        <v>0</v>
      </c>
      <c r="I41" s="1507">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06">
        <f>Asset36</f>
        <v>0</v>
      </c>
      <c r="H42" s="1507">
        <f>Asset36</f>
        <v>0</v>
      </c>
      <c r="I42" s="1507">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06">
        <f>Asset37</f>
        <v>0</v>
      </c>
      <c r="H43" s="1507">
        <f>Asset37</f>
        <v>0</v>
      </c>
      <c r="I43" s="1507">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06">
        <f>Asset38</f>
        <v>0</v>
      </c>
      <c r="H44" s="1507">
        <f>Asset38</f>
        <v>0</v>
      </c>
      <c r="I44" s="1507">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06">
        <f>Asset39</f>
        <v>0</v>
      </c>
      <c r="H45" s="1507">
        <f>Asset39</f>
        <v>0</v>
      </c>
      <c r="I45" s="1507">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06">
        <f>Asset40</f>
        <v>0</v>
      </c>
      <c r="H46" s="1507">
        <f>Asset40</f>
        <v>0</v>
      </c>
      <c r="I46" s="1507">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06">
        <f>Asset41</f>
        <v>0</v>
      </c>
      <c r="H47" s="1507">
        <f>Asset41</f>
        <v>0</v>
      </c>
      <c r="I47" s="1507">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06">
        <f>Asset42</f>
        <v>0</v>
      </c>
      <c r="H48" s="1507">
        <f>Asset42</f>
        <v>0</v>
      </c>
      <c r="I48" s="1507">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06">
        <f>Asset43</f>
        <v>0</v>
      </c>
      <c r="H49" s="1507">
        <f>Asset43</f>
        <v>0</v>
      </c>
      <c r="I49" s="1507">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06">
        <f>Asset44</f>
        <v>0</v>
      </c>
      <c r="H50" s="1507">
        <f>Asset44</f>
        <v>0</v>
      </c>
      <c r="I50" s="1507">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06">
        <f>Asset45</f>
        <v>0</v>
      </c>
      <c r="H51" s="1507">
        <f>Asset45</f>
        <v>0</v>
      </c>
      <c r="I51" s="1507">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06">
        <f>Asset46</f>
        <v>0</v>
      </c>
      <c r="H52" s="1507">
        <f>Asset46</f>
        <v>0</v>
      </c>
      <c r="I52" s="1507">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06" t="str">
        <f>Asset47</f>
        <v>Spare straight-line tax asset class</v>
      </c>
      <c r="H53" s="1507" t="str">
        <f>Asset47</f>
        <v>Spare straight-line tax asset class</v>
      </c>
      <c r="I53" s="1507"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06" t="str">
        <f>Asset48</f>
        <v xml:space="preserve">Buildings </v>
      </c>
      <c r="H54" s="1507" t="str">
        <f>Asset48</f>
        <v xml:space="preserve">Buildings </v>
      </c>
      <c r="I54" s="1507"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06" t="str">
        <f>Asset49</f>
        <v>In-house software</v>
      </c>
      <c r="H55" s="1507" t="str">
        <f>Asset49</f>
        <v>In-house software</v>
      </c>
      <c r="I55" s="1507"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06" t="str">
        <f>Asset50</f>
        <v>Equity raising costs</v>
      </c>
      <c r="H56" s="1507" t="str">
        <f>Asset50</f>
        <v>Equity raising costs</v>
      </c>
      <c r="I56" s="1507"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36.881616612061322</v>
      </c>
      <c r="K57" s="1310">
        <f>SUM(K7:K56)</f>
        <v>36.881616612061322</v>
      </c>
      <c r="L57" s="1371"/>
      <c r="M57" s="1292"/>
      <c r="N57" s="1264">
        <f>SUM(N7:N56)</f>
        <v>1.5291172557040653</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B2:N331"/>
  <sheetViews>
    <sheetView showGridLines="0" zoomScale="80" zoomScaleNormal="80" workbookViewId="0">
      <selection activeCell="D226" sqref="D226:I275"/>
    </sheetView>
  </sheetViews>
  <sheetFormatPr defaultRowHeight="13.2" outlineLevelRow="1"/>
  <cols>
    <col min="2" max="2" width="64" customWidth="1"/>
  </cols>
  <sheetData>
    <row r="2" spans="2:14" ht="15.6">
      <c r="B2" s="351" t="str">
        <f>'DMS input'!$C$16&amp;" - Inputs working"&amp;" - TNSP RFM - version "&amp;Intro!$M$4</f>
        <v>Central West Pipeline - Inputs working - TNSP RFM - version 1</v>
      </c>
    </row>
    <row r="4" spans="2:14" ht="15.6">
      <c r="B4" s="1488" t="s">
        <v>529</v>
      </c>
      <c r="C4" s="1488"/>
      <c r="D4" s="1488"/>
      <c r="E4" s="1513"/>
      <c r="F4" s="1513"/>
      <c r="G4" s="1513"/>
      <c r="H4" s="52"/>
      <c r="I4" s="52"/>
      <c r="J4" s="50"/>
      <c r="K4" s="50"/>
      <c r="L4" s="50"/>
      <c r="M4" s="50"/>
      <c r="N4" s="50"/>
    </row>
    <row r="5" spans="2:14">
      <c r="B5" s="23" t="s">
        <v>2</v>
      </c>
      <c r="C5" s="170"/>
      <c r="D5" s="208" t="str">
        <f>'RFM input'!G$60</f>
        <v>2009-10</v>
      </c>
      <c r="E5" s="208" t="str">
        <f>'RFM input'!H$60</f>
        <v>2010-11</v>
      </c>
      <c r="F5" s="208" t="str">
        <f>'RFM input'!I$60</f>
        <v>2011-12</v>
      </c>
      <c r="G5" s="208" t="str">
        <f>'RFM input'!J$60</f>
        <v>2012-13</v>
      </c>
      <c r="H5" s="208" t="str">
        <f>'RFM input'!K$60</f>
        <v>2013-14</v>
      </c>
      <c r="I5" s="208" t="str">
        <f>'RFM input'!L$60</f>
        <v>2014-15</v>
      </c>
      <c r="J5" s="208" t="str">
        <f>'RFM input'!M$60</f>
        <v>2015-16</v>
      </c>
      <c r="K5" s="208" t="str">
        <f>'RFM input'!N$60</f>
        <v>2016-17</v>
      </c>
      <c r="L5" s="208" t="str">
        <f>'RFM input'!O$60</f>
        <v>2017-18</v>
      </c>
      <c r="M5" s="208" t="str">
        <f>'RFM input'!P$60</f>
        <v>2018-19</v>
      </c>
      <c r="N5" s="208" t="str">
        <f>'RFM input'!Q$60</f>
        <v>2019-20</v>
      </c>
    </row>
    <row r="6" spans="2:14" hidden="1" outlineLevel="1">
      <c r="B6" s="347" t="str">
        <f>'RFM input'!$F$7</f>
        <v>Pipelines</v>
      </c>
      <c r="C6" s="170"/>
      <c r="D6" s="1374"/>
      <c r="E6" s="1375"/>
      <c r="F6" s="1375"/>
      <c r="G6" s="1375"/>
      <c r="H6" s="1375"/>
      <c r="I6" s="1375"/>
      <c r="J6" s="1375"/>
      <c r="K6" s="1375"/>
      <c r="L6" s="1375"/>
      <c r="M6" s="1375"/>
      <c r="N6" s="1375"/>
    </row>
    <row r="7" spans="2:14" hidden="1" outlineLevel="1">
      <c r="B7" s="347" t="str">
        <f>'RFM input'!$F$8</f>
        <v>Compressors</v>
      </c>
      <c r="C7" s="170"/>
      <c r="D7" s="1376"/>
      <c r="E7" s="1284"/>
      <c r="F7" s="1284"/>
      <c r="G7" s="1284"/>
      <c r="H7" s="1284"/>
      <c r="I7" s="1284"/>
      <c r="J7" s="1284"/>
      <c r="K7" s="1284"/>
      <c r="L7" s="1284"/>
      <c r="M7" s="1284"/>
      <c r="N7" s="1284"/>
    </row>
    <row r="8" spans="2:14" hidden="1" outlineLevel="1">
      <c r="B8" s="347" t="str">
        <f>'RFM input'!$F$9</f>
        <v>City Gates, supply regulators and valve stations</v>
      </c>
      <c r="C8" s="170"/>
      <c r="D8" s="1376"/>
      <c r="E8" s="1284"/>
      <c r="F8" s="1284"/>
      <c r="G8" s="1284"/>
      <c r="H8" s="1284"/>
      <c r="I8" s="1284"/>
      <c r="J8" s="1284"/>
      <c r="K8" s="1284"/>
      <c r="L8" s="1284"/>
      <c r="M8" s="1284"/>
      <c r="N8" s="1284"/>
    </row>
    <row r="9" spans="2:14" hidden="1" outlineLevel="1">
      <c r="B9" s="347" t="str">
        <f>'RFM input'!$F$10</f>
        <v>Metering</v>
      </c>
      <c r="C9" s="170"/>
      <c r="D9" s="1376"/>
      <c r="E9" s="1284"/>
      <c r="F9" s="1284"/>
      <c r="G9" s="1284"/>
      <c r="H9" s="1284"/>
      <c r="I9" s="1284"/>
      <c r="J9" s="1284"/>
      <c r="K9" s="1284"/>
      <c r="L9" s="1284"/>
      <c r="M9" s="1284"/>
      <c r="N9" s="1284"/>
    </row>
    <row r="10" spans="2:14" hidden="1" outlineLevel="1">
      <c r="B10" s="347" t="str">
        <f>'RFM input'!$F$11</f>
        <v>Odourant plants</v>
      </c>
      <c r="C10" s="170"/>
      <c r="D10" s="1376"/>
      <c r="E10" s="1284"/>
      <c r="F10" s="1284"/>
      <c r="G10" s="1284"/>
      <c r="H10" s="1284"/>
      <c r="I10" s="1284"/>
      <c r="J10" s="1284"/>
      <c r="K10" s="1284"/>
      <c r="L10" s="1284"/>
      <c r="M10" s="1284"/>
      <c r="N10" s="1284"/>
    </row>
    <row r="11" spans="2:14" hidden="1" outlineLevel="1">
      <c r="B11" s="347" t="str">
        <f>'RFM input'!$F$12</f>
        <v>SCADA (Communications)</v>
      </c>
      <c r="C11" s="170"/>
      <c r="D11" s="1376"/>
      <c r="E11" s="1284"/>
      <c r="F11" s="1284"/>
      <c r="G11" s="1284"/>
      <c r="H11" s="1284"/>
      <c r="I11" s="1284"/>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c r="E53" s="1284"/>
      <c r="F53" s="1284"/>
      <c r="G53" s="1284"/>
      <c r="H53" s="1284"/>
      <c r="I53" s="1284"/>
      <c r="J53" s="1284"/>
      <c r="K53" s="1284"/>
      <c r="L53" s="1284"/>
      <c r="M53" s="1284"/>
      <c r="N53" s="1284"/>
    </row>
    <row r="54" spans="2:14" hidden="1" outlineLevel="1">
      <c r="B54" s="347" t="str">
        <f>'RFM input'!$F$55</f>
        <v>In-house software</v>
      </c>
      <c r="C54" s="202"/>
      <c r="D54" s="1377"/>
      <c r="E54" s="1284"/>
      <c r="F54" s="1284"/>
      <c r="G54" s="1284"/>
      <c r="H54" s="1284"/>
      <c r="I54" s="1284"/>
      <c r="J54" s="1284"/>
      <c r="K54" s="1284"/>
      <c r="L54" s="1284"/>
      <c r="M54" s="1284"/>
      <c r="N54" s="1284"/>
    </row>
    <row r="55" spans="2:14" hidden="1" outlineLevel="1">
      <c r="B55" s="347" t="str">
        <f>'RFM input'!$F$56</f>
        <v>Equity raising costs</v>
      </c>
      <c r="C55" s="202"/>
      <c r="D55" s="1377"/>
      <c r="E55" s="1284"/>
      <c r="F55" s="1284"/>
      <c r="G55" s="1284"/>
      <c r="H55" s="1284"/>
      <c r="I55" s="1284"/>
      <c r="J55" s="1284"/>
      <c r="K55" s="1284"/>
      <c r="L55" s="1284"/>
      <c r="M55" s="1284"/>
      <c r="N55" s="1284"/>
    </row>
    <row r="56" spans="2:14" collapsed="1">
      <c r="B56" s="349" t="s">
        <v>18</v>
      </c>
      <c r="C56" s="170"/>
      <c r="D56" s="350">
        <f>SUM(D6:D55)</f>
        <v>0</v>
      </c>
      <c r="E56" s="350">
        <f t="shared" ref="E56:N56" si="0">SUM(E6:E55)</f>
        <v>0</v>
      </c>
      <c r="F56" s="350">
        <f t="shared" si="0"/>
        <v>0</v>
      </c>
      <c r="G56" s="350">
        <f t="shared" si="0"/>
        <v>0</v>
      </c>
      <c r="H56" s="350">
        <f t="shared" si="0"/>
        <v>0</v>
      </c>
      <c r="I56" s="350">
        <f t="shared" si="0"/>
        <v>0</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8" t="s">
        <v>530</v>
      </c>
      <c r="C59" s="1488"/>
      <c r="D59" s="1488"/>
      <c r="E59" s="1513"/>
      <c r="F59" s="1513"/>
      <c r="G59" s="1513"/>
      <c r="H59" s="52"/>
      <c r="I59" s="52"/>
      <c r="J59" s="50"/>
      <c r="K59" s="50"/>
      <c r="L59" s="50"/>
      <c r="M59" s="50"/>
      <c r="N59" s="50"/>
    </row>
    <row r="60" spans="2:14">
      <c r="B60" s="23" t="s">
        <v>2</v>
      </c>
      <c r="C60" s="170"/>
      <c r="D60" s="208" t="str">
        <f>'RFM input'!G$60</f>
        <v>2009-10</v>
      </c>
      <c r="E60" s="208" t="str">
        <f>'RFM input'!H$60</f>
        <v>2010-11</v>
      </c>
      <c r="F60" s="208" t="str">
        <f>'RFM input'!I$60</f>
        <v>2011-12</v>
      </c>
      <c r="G60" s="208" t="str">
        <f>'RFM input'!J$60</f>
        <v>2012-13</v>
      </c>
      <c r="H60" s="208" t="str">
        <f>'RFM input'!K$60</f>
        <v>2013-14</v>
      </c>
      <c r="I60" s="208" t="str">
        <f>'RFM input'!L$60</f>
        <v>2014-15</v>
      </c>
      <c r="J60" s="208" t="str">
        <f>'RFM input'!M$60</f>
        <v>2015-16</v>
      </c>
      <c r="K60" s="208" t="str">
        <f>'RFM input'!N$60</f>
        <v>2016-17</v>
      </c>
      <c r="L60" s="208" t="str">
        <f>'RFM input'!O$60</f>
        <v>2017-18</v>
      </c>
      <c r="M60" s="208" t="str">
        <f>'RFM input'!P$60</f>
        <v>2018-19</v>
      </c>
      <c r="N60" s="208" t="str">
        <f>'RFM input'!Q$60</f>
        <v>2019-20</v>
      </c>
    </row>
    <row r="61" spans="2:14" hidden="1" outlineLevel="1">
      <c r="B61" s="347" t="str">
        <f>'RFM input'!$F$7</f>
        <v>Pipelines</v>
      </c>
      <c r="C61" s="170"/>
      <c r="D61" s="1374"/>
      <c r="E61" s="1375"/>
      <c r="F61" s="1375"/>
      <c r="G61" s="1375"/>
      <c r="H61" s="1375"/>
      <c r="I61" s="1375"/>
      <c r="J61" s="1375"/>
      <c r="K61" s="1375"/>
      <c r="L61" s="1375"/>
      <c r="M61" s="1375"/>
      <c r="N61" s="1375"/>
    </row>
    <row r="62" spans="2:14" hidden="1" outlineLevel="1">
      <c r="B62" s="347" t="str">
        <f>'RFM input'!$F$8</f>
        <v>Compressors</v>
      </c>
      <c r="C62" s="170"/>
      <c r="D62" s="1376"/>
      <c r="E62" s="1284"/>
      <c r="F62" s="1284"/>
      <c r="G62" s="1284"/>
      <c r="H62" s="1284"/>
      <c r="I62" s="1284"/>
      <c r="J62" s="1284"/>
      <c r="K62" s="1284"/>
      <c r="L62" s="1284"/>
      <c r="M62" s="1284"/>
      <c r="N62" s="1284"/>
    </row>
    <row r="63" spans="2:14" hidden="1" outlineLevel="1">
      <c r="B63" s="347" t="str">
        <f>'RFM input'!$F$9</f>
        <v>City Gates, supply regulators and valve stations</v>
      </c>
      <c r="C63" s="170"/>
      <c r="D63" s="1376"/>
      <c r="E63" s="1284"/>
      <c r="F63" s="1284"/>
      <c r="G63" s="1284"/>
      <c r="H63" s="1284"/>
      <c r="I63" s="1284"/>
      <c r="J63" s="1284"/>
      <c r="K63" s="1284"/>
      <c r="L63" s="1284"/>
      <c r="M63" s="1284"/>
      <c r="N63" s="1284"/>
    </row>
    <row r="64" spans="2:14" hidden="1" outlineLevel="1">
      <c r="B64" s="347" t="str">
        <f>'RFM input'!$F$10</f>
        <v>Metering</v>
      </c>
      <c r="C64" s="170"/>
      <c r="D64" s="1376"/>
      <c r="E64" s="1284"/>
      <c r="F64" s="1284"/>
      <c r="G64" s="1284"/>
      <c r="H64" s="1284"/>
      <c r="I64" s="1284"/>
      <c r="J64" s="1284"/>
      <c r="K64" s="1284"/>
      <c r="L64" s="1284"/>
      <c r="M64" s="1284"/>
      <c r="N64" s="1284"/>
    </row>
    <row r="65" spans="2:14" hidden="1" outlineLevel="1">
      <c r="B65" s="347" t="str">
        <f>'RFM input'!$F$11</f>
        <v>Odourant plants</v>
      </c>
      <c r="C65" s="170"/>
      <c r="D65" s="1376"/>
      <c r="E65" s="1284"/>
      <c r="F65" s="1284"/>
      <c r="G65" s="1284"/>
      <c r="H65" s="1284"/>
      <c r="I65" s="1284"/>
      <c r="J65" s="1284"/>
      <c r="K65" s="1284"/>
      <c r="L65" s="1284"/>
      <c r="M65" s="1284"/>
      <c r="N65" s="1284"/>
    </row>
    <row r="66" spans="2:14" hidden="1" outlineLevel="1">
      <c r="B66" s="347" t="str">
        <f>'RFM input'!$F$12</f>
        <v>SCADA (Communications)</v>
      </c>
      <c r="C66" s="170"/>
      <c r="D66" s="1376"/>
      <c r="E66" s="1284"/>
      <c r="F66" s="1284"/>
      <c r="G66" s="1284"/>
      <c r="H66" s="1284"/>
      <c r="I66" s="1284"/>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c r="E108" s="1284"/>
      <c r="F108" s="1284"/>
      <c r="G108" s="1284"/>
      <c r="H108" s="1284"/>
      <c r="I108" s="1284"/>
      <c r="J108" s="1284"/>
      <c r="K108" s="1284"/>
      <c r="L108" s="1284"/>
      <c r="M108" s="1284"/>
      <c r="N108" s="1284"/>
    </row>
    <row r="109" spans="2:14" hidden="1" outlineLevel="1">
      <c r="B109" s="347" t="str">
        <f>'RFM input'!$F$55</f>
        <v>In-house software</v>
      </c>
      <c r="C109" s="202"/>
      <c r="D109" s="1377"/>
      <c r="E109" s="1284"/>
      <c r="F109" s="1284"/>
      <c r="G109" s="1284"/>
      <c r="H109" s="1284"/>
      <c r="I109" s="1284"/>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0</v>
      </c>
      <c r="E111" s="350">
        <f t="shared" ref="E111" si="1">SUM(E61:E110)</f>
        <v>0</v>
      </c>
      <c r="F111" s="350">
        <f t="shared" ref="F111" si="2">SUM(F61:F110)</f>
        <v>0</v>
      </c>
      <c r="G111" s="350">
        <f t="shared" ref="G111" si="3">SUM(G61:G110)</f>
        <v>0</v>
      </c>
      <c r="H111" s="350">
        <f t="shared" ref="H111" si="4">SUM(H61:H110)</f>
        <v>0</v>
      </c>
      <c r="I111" s="350">
        <f t="shared" ref="I111" si="5">SUM(I61:I110)</f>
        <v>0</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8" t="s">
        <v>531</v>
      </c>
      <c r="C114" s="1488"/>
      <c r="D114" s="1488"/>
      <c r="E114" s="1513"/>
      <c r="F114" s="1513"/>
      <c r="G114" s="1513"/>
      <c r="H114" s="52"/>
      <c r="I114" s="52"/>
      <c r="J114" s="50"/>
      <c r="K114" s="50"/>
      <c r="L114" s="50"/>
      <c r="M114" s="50"/>
      <c r="N114" s="50"/>
    </row>
    <row r="115" spans="2:14">
      <c r="B115" s="211" t="s">
        <v>2</v>
      </c>
      <c r="C115" s="170"/>
      <c r="D115" s="208" t="str">
        <f>'RFM input'!G$60</f>
        <v>2009-10</v>
      </c>
      <c r="E115" s="208" t="str">
        <f>'RFM input'!H$60</f>
        <v>2010-11</v>
      </c>
      <c r="F115" s="208" t="str">
        <f>'RFM input'!I$60</f>
        <v>2011-12</v>
      </c>
      <c r="G115" s="208" t="str">
        <f>'RFM input'!J$60</f>
        <v>2012-13</v>
      </c>
      <c r="H115" s="208" t="str">
        <f>'RFM input'!K$60</f>
        <v>2013-14</v>
      </c>
      <c r="I115" s="208" t="str">
        <f>'RFM input'!L$60</f>
        <v>2014-15</v>
      </c>
      <c r="J115" s="208" t="str">
        <f>'RFM input'!M$60</f>
        <v>2015-16</v>
      </c>
      <c r="K115" s="208" t="str">
        <f>'RFM input'!N$60</f>
        <v>2016-17</v>
      </c>
      <c r="L115" s="208" t="str">
        <f>'RFM input'!O$60</f>
        <v>2017-18</v>
      </c>
      <c r="M115" s="208" t="str">
        <f>'RFM input'!P$60</f>
        <v>2018-19</v>
      </c>
      <c r="N115" s="208" t="str">
        <f>'RFM input'!Q$60</f>
        <v>2019-20</v>
      </c>
    </row>
    <row r="116" spans="2:14" hidden="1" outlineLevel="1">
      <c r="B116" s="349" t="str">
        <f>'RFM input'!$F$7</f>
        <v>Pipelines</v>
      </c>
      <c r="C116" s="170"/>
      <c r="D116" s="1378">
        <f t="shared" ref="D116:I131" si="11">D6+D61</f>
        <v>0</v>
      </c>
      <c r="E116" s="1379">
        <f t="shared" si="11"/>
        <v>0</v>
      </c>
      <c r="F116" s="1379">
        <f t="shared" si="11"/>
        <v>0</v>
      </c>
      <c r="G116" s="1379">
        <f t="shared" si="11"/>
        <v>0</v>
      </c>
      <c r="H116" s="1379">
        <f t="shared" si="11"/>
        <v>0</v>
      </c>
      <c r="I116" s="1379">
        <f>I6+I61</f>
        <v>0</v>
      </c>
      <c r="J116" s="1379"/>
      <c r="K116" s="1379"/>
      <c r="L116" s="1379"/>
      <c r="M116" s="1379"/>
      <c r="N116" s="1379"/>
    </row>
    <row r="117" spans="2:14" hidden="1" outlineLevel="1">
      <c r="B117" s="349" t="str">
        <f>'RFM input'!$F$8</f>
        <v>Compressors</v>
      </c>
      <c r="C117" s="170"/>
      <c r="D117" s="1380">
        <f t="shared" si="11"/>
        <v>0</v>
      </c>
      <c r="E117" s="1381">
        <f t="shared" si="11"/>
        <v>0</v>
      </c>
      <c r="F117" s="1381">
        <f t="shared" si="11"/>
        <v>0</v>
      </c>
      <c r="G117" s="1381">
        <f t="shared" si="11"/>
        <v>0</v>
      </c>
      <c r="H117" s="1381">
        <f t="shared" si="11"/>
        <v>0</v>
      </c>
      <c r="I117" s="1381">
        <f t="shared" si="11"/>
        <v>0</v>
      </c>
      <c r="J117" s="1381"/>
      <c r="K117" s="1381"/>
      <c r="L117" s="1381"/>
      <c r="M117" s="1381"/>
      <c r="N117" s="1381"/>
    </row>
    <row r="118" spans="2:14" hidden="1" outlineLevel="1">
      <c r="B118" s="349" t="str">
        <f>'RFM input'!$F$9</f>
        <v>City Gates, supply regulators and valve stations</v>
      </c>
      <c r="C118" s="170"/>
      <c r="D118" s="1380">
        <f t="shared" si="11"/>
        <v>0</v>
      </c>
      <c r="E118" s="1381">
        <f t="shared" si="11"/>
        <v>0</v>
      </c>
      <c r="F118" s="1381">
        <f t="shared" si="11"/>
        <v>0</v>
      </c>
      <c r="G118" s="1381">
        <f t="shared" si="11"/>
        <v>0</v>
      </c>
      <c r="H118" s="1381">
        <f t="shared" si="11"/>
        <v>0</v>
      </c>
      <c r="I118" s="1381">
        <f t="shared" si="11"/>
        <v>0</v>
      </c>
      <c r="J118" s="1381"/>
      <c r="K118" s="1381"/>
      <c r="L118" s="1381"/>
      <c r="M118" s="1381"/>
      <c r="N118" s="1381"/>
    </row>
    <row r="119" spans="2:14" hidden="1" outlineLevel="1">
      <c r="B119" s="349" t="str">
        <f>'RFM input'!$F$10</f>
        <v>Metering</v>
      </c>
      <c r="C119" s="170"/>
      <c r="D119" s="1380">
        <f t="shared" si="11"/>
        <v>0</v>
      </c>
      <c r="E119" s="1381">
        <f t="shared" si="11"/>
        <v>0</v>
      </c>
      <c r="F119" s="1381">
        <f t="shared" si="11"/>
        <v>0</v>
      </c>
      <c r="G119" s="1381">
        <f t="shared" si="11"/>
        <v>0</v>
      </c>
      <c r="H119" s="1381">
        <f t="shared" si="11"/>
        <v>0</v>
      </c>
      <c r="I119" s="1381">
        <f t="shared" si="11"/>
        <v>0</v>
      </c>
      <c r="J119" s="1381"/>
      <c r="K119" s="1381"/>
      <c r="L119" s="1381"/>
      <c r="M119" s="1381"/>
      <c r="N119" s="1381"/>
    </row>
    <row r="120" spans="2:14" hidden="1" outlineLevel="1">
      <c r="B120" s="349" t="str">
        <f>'RFM input'!$F$11</f>
        <v>Odourant plants</v>
      </c>
      <c r="C120" s="170"/>
      <c r="D120" s="1380">
        <f t="shared" si="11"/>
        <v>0</v>
      </c>
      <c r="E120" s="1381">
        <f t="shared" si="11"/>
        <v>0</v>
      </c>
      <c r="F120" s="1381">
        <f t="shared" si="11"/>
        <v>0</v>
      </c>
      <c r="G120" s="1381">
        <f t="shared" si="11"/>
        <v>0</v>
      </c>
      <c r="H120" s="1381">
        <f t="shared" si="11"/>
        <v>0</v>
      </c>
      <c r="I120" s="1381">
        <f t="shared" si="11"/>
        <v>0</v>
      </c>
      <c r="J120" s="1381"/>
      <c r="K120" s="1381"/>
      <c r="L120" s="1381"/>
      <c r="M120" s="1381"/>
      <c r="N120" s="1381"/>
    </row>
    <row r="121" spans="2:14" hidden="1" outlineLevel="1">
      <c r="B121" s="349" t="str">
        <f>'RFM input'!$F$12</f>
        <v>SCADA (Communications)</v>
      </c>
      <c r="C121" s="170"/>
      <c r="D121" s="1380">
        <f t="shared" si="11"/>
        <v>0</v>
      </c>
      <c r="E121" s="1381">
        <f t="shared" si="11"/>
        <v>0</v>
      </c>
      <c r="F121" s="1381">
        <f t="shared" si="11"/>
        <v>0</v>
      </c>
      <c r="G121" s="1381">
        <f t="shared" si="11"/>
        <v>0</v>
      </c>
      <c r="H121" s="1381">
        <f t="shared" si="11"/>
        <v>0</v>
      </c>
      <c r="I121" s="1381">
        <f t="shared" si="11"/>
        <v>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0</v>
      </c>
      <c r="E163" s="1381">
        <f t="shared" si="13"/>
        <v>0</v>
      </c>
      <c r="F163" s="1381">
        <f t="shared" si="13"/>
        <v>0</v>
      </c>
      <c r="G163" s="1381">
        <f t="shared" si="13"/>
        <v>0</v>
      </c>
      <c r="H163" s="1381">
        <f t="shared" si="13"/>
        <v>0</v>
      </c>
      <c r="I163" s="1381">
        <f t="shared" si="13"/>
        <v>0</v>
      </c>
      <c r="J163" s="1381"/>
      <c r="K163" s="1381"/>
      <c r="L163" s="1381"/>
      <c r="M163" s="1381"/>
      <c r="N163" s="1381"/>
    </row>
    <row r="164" spans="2:14" hidden="1" outlineLevel="1">
      <c r="B164" s="349" t="str">
        <f>'RFM input'!$F$55</f>
        <v>In-house software</v>
      </c>
      <c r="C164" s="202"/>
      <c r="D164" s="1380">
        <f t="shared" ref="D164:I165" si="14">D54+D109</f>
        <v>0</v>
      </c>
      <c r="E164" s="1381">
        <f t="shared" si="14"/>
        <v>0</v>
      </c>
      <c r="F164" s="1381">
        <f t="shared" si="14"/>
        <v>0</v>
      </c>
      <c r="G164" s="1381">
        <f t="shared" si="14"/>
        <v>0</v>
      </c>
      <c r="H164" s="1381">
        <f t="shared" si="14"/>
        <v>0</v>
      </c>
      <c r="I164" s="1381">
        <f t="shared" si="14"/>
        <v>0</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0</v>
      </c>
      <c r="E166" s="350">
        <f t="shared" ref="E166" si="15">SUM(E116:E165)</f>
        <v>0</v>
      </c>
      <c r="F166" s="350">
        <f t="shared" ref="F166" si="16">SUM(F116:F165)</f>
        <v>0</v>
      </c>
      <c r="G166" s="350">
        <f t="shared" ref="G166" si="17">SUM(G116:G165)</f>
        <v>0</v>
      </c>
      <c r="H166" s="350">
        <f t="shared" ref="H166" si="18">SUM(H116:H165)</f>
        <v>0</v>
      </c>
      <c r="I166" s="350">
        <f t="shared" ref="I166" si="19">SUM(I116:I165)</f>
        <v>0</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8" t="s">
        <v>532</v>
      </c>
      <c r="C169" s="1488"/>
      <c r="D169" s="1488"/>
      <c r="E169" s="1513"/>
      <c r="F169" s="1513"/>
      <c r="G169" s="1513"/>
      <c r="H169" s="52"/>
      <c r="I169" s="52"/>
      <c r="J169" s="50"/>
      <c r="K169" s="50"/>
      <c r="L169" s="50"/>
      <c r="M169" s="50"/>
      <c r="N169" s="50"/>
    </row>
    <row r="170" spans="2:14">
      <c r="B170" s="23" t="s">
        <v>2</v>
      </c>
      <c r="C170" s="170"/>
      <c r="D170" s="208" t="str">
        <f>'RFM input'!G$60</f>
        <v>2009-10</v>
      </c>
      <c r="E170" s="208" t="str">
        <f>'RFM input'!H$60</f>
        <v>2010-11</v>
      </c>
      <c r="F170" s="208" t="str">
        <f>'RFM input'!I$60</f>
        <v>2011-12</v>
      </c>
      <c r="G170" s="208" t="str">
        <f>'RFM input'!J$60</f>
        <v>2012-13</v>
      </c>
      <c r="H170" s="208" t="str">
        <f>'RFM input'!K$60</f>
        <v>2013-14</v>
      </c>
      <c r="I170" s="208" t="str">
        <f>'RFM input'!L$60</f>
        <v>2014-15</v>
      </c>
      <c r="J170" s="208" t="str">
        <f>'RFM input'!M$60</f>
        <v>2015-16</v>
      </c>
      <c r="K170" s="208" t="str">
        <f>'RFM input'!N$60</f>
        <v>2016-17</v>
      </c>
      <c r="L170" s="208" t="str">
        <f>'RFM input'!O$60</f>
        <v>2017-18</v>
      </c>
      <c r="M170" s="208" t="str">
        <f>'RFM input'!P$60</f>
        <v>2018-19</v>
      </c>
      <c r="N170" s="208" t="str">
        <f>'RFM input'!Q$60</f>
        <v>2019-20</v>
      </c>
    </row>
    <row r="171" spans="2:14" hidden="1" outlineLevel="1">
      <c r="B171" s="347" t="str">
        <f>'RFM input'!$F$7</f>
        <v>Pipelines</v>
      </c>
      <c r="C171" s="170"/>
      <c r="D171" s="1374"/>
      <c r="E171" s="1375"/>
      <c r="F171" s="1375"/>
      <c r="G171" s="1375"/>
      <c r="H171" s="1375"/>
      <c r="I171" s="1375"/>
      <c r="J171" s="1375"/>
      <c r="K171" s="1375"/>
      <c r="L171" s="1375"/>
      <c r="M171" s="1375"/>
      <c r="N171" s="1375"/>
    </row>
    <row r="172" spans="2:14" hidden="1" outlineLevel="1">
      <c r="B172" s="347" t="str">
        <f>'RFM input'!$F$8</f>
        <v>Compressors</v>
      </c>
      <c r="C172" s="170"/>
      <c r="D172" s="1376"/>
      <c r="E172" s="1284"/>
      <c r="F172" s="1284"/>
      <c r="G172" s="1284"/>
      <c r="H172" s="1284"/>
      <c r="I172" s="1284"/>
      <c r="J172" s="1284"/>
      <c r="K172" s="1284"/>
      <c r="L172" s="1284"/>
      <c r="M172" s="1284"/>
      <c r="N172" s="1284"/>
    </row>
    <row r="173" spans="2:14" hidden="1" outlineLevel="1">
      <c r="B173" s="347" t="str">
        <f>'RFM input'!$F$9</f>
        <v>City Gates, supply regulators and valve stations</v>
      </c>
      <c r="C173" s="170"/>
      <c r="D173" s="1376"/>
      <c r="E173" s="1284"/>
      <c r="F173" s="1284"/>
      <c r="G173" s="1284"/>
      <c r="H173" s="1284"/>
      <c r="I173" s="1284"/>
      <c r="J173" s="1284"/>
      <c r="K173" s="1284"/>
      <c r="L173" s="1284"/>
      <c r="M173" s="1284"/>
      <c r="N173" s="1284"/>
    </row>
    <row r="174" spans="2:14" hidden="1" outlineLevel="1">
      <c r="B174" s="347" t="str">
        <f>'RFM input'!$F$10</f>
        <v>Metering</v>
      </c>
      <c r="C174" s="170"/>
      <c r="D174" s="1376"/>
      <c r="E174" s="1284"/>
      <c r="F174" s="1284"/>
      <c r="G174" s="1284"/>
      <c r="H174" s="1284"/>
      <c r="I174" s="1284"/>
      <c r="J174" s="1284"/>
      <c r="K174" s="1284"/>
      <c r="L174" s="1284"/>
      <c r="M174" s="1284"/>
      <c r="N174" s="1284"/>
    </row>
    <row r="175" spans="2:14" hidden="1" outlineLevel="1">
      <c r="B175" s="347" t="str">
        <f>'RFM input'!$F$11</f>
        <v>Odourant plants</v>
      </c>
      <c r="C175" s="170"/>
      <c r="D175" s="1376"/>
      <c r="E175" s="1284"/>
      <c r="F175" s="1284"/>
      <c r="G175" s="1284"/>
      <c r="H175" s="1284"/>
      <c r="I175" s="1284"/>
      <c r="J175" s="1284"/>
      <c r="K175" s="1284"/>
      <c r="L175" s="1284"/>
      <c r="M175" s="1284"/>
      <c r="N175" s="1284"/>
    </row>
    <row r="176" spans="2:14" hidden="1" outlineLevel="1">
      <c r="B176" s="347" t="str">
        <f>'RFM input'!$F$12</f>
        <v>SCADA (Communications)</v>
      </c>
      <c r="C176" s="170"/>
      <c r="D176" s="1376"/>
      <c r="E176" s="1284"/>
      <c r="F176" s="1284"/>
      <c r="G176" s="1284"/>
      <c r="H176" s="1284"/>
      <c r="I176" s="1284"/>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c r="E218" s="1284"/>
      <c r="F218" s="1284"/>
      <c r="G218" s="1284"/>
      <c r="H218" s="1284"/>
      <c r="I218" s="1284"/>
      <c r="J218" s="1284"/>
      <c r="K218" s="1284"/>
      <c r="L218" s="1284"/>
      <c r="M218" s="1284"/>
      <c r="N218" s="1284"/>
    </row>
    <row r="219" spans="2:14" hidden="1" outlineLevel="1">
      <c r="B219" s="347" t="str">
        <f>'RFM input'!$F$55</f>
        <v>In-house software</v>
      </c>
      <c r="C219" s="202"/>
      <c r="D219" s="1377"/>
      <c r="E219" s="1284"/>
      <c r="F219" s="1284"/>
      <c r="G219" s="1284"/>
      <c r="H219" s="1284"/>
      <c r="I219" s="1284"/>
      <c r="J219" s="1284"/>
      <c r="K219" s="1284"/>
      <c r="L219" s="1284"/>
      <c r="M219" s="1284"/>
      <c r="N219" s="1284"/>
    </row>
    <row r="220" spans="2:14" hidden="1" outlineLevel="1">
      <c r="B220" s="347" t="str">
        <f>'RFM input'!$F$56</f>
        <v>Equity raising costs</v>
      </c>
      <c r="C220" s="202"/>
      <c r="D220" s="1377"/>
      <c r="E220" s="1284"/>
      <c r="F220" s="1284"/>
      <c r="G220" s="1284"/>
      <c r="H220" s="1284"/>
      <c r="I220" s="1284"/>
      <c r="J220" s="1284"/>
      <c r="K220" s="1284"/>
      <c r="L220" s="1284"/>
      <c r="M220" s="1284"/>
      <c r="N220" s="1284"/>
    </row>
    <row r="221" spans="2:14" collapsed="1">
      <c r="B221" s="349" t="s">
        <v>18</v>
      </c>
      <c r="C221" s="170"/>
      <c r="D221" s="350">
        <f>SUM(D171:D220)</f>
        <v>0</v>
      </c>
      <c r="E221" s="350">
        <f t="shared" ref="E221" si="25">SUM(E171:E220)</f>
        <v>0</v>
      </c>
      <c r="F221" s="350">
        <f t="shared" ref="F221" si="26">SUM(F171:F220)</f>
        <v>0</v>
      </c>
      <c r="G221" s="350">
        <f t="shared" ref="G221" si="27">SUM(G171:G220)</f>
        <v>0</v>
      </c>
      <c r="H221" s="350">
        <f t="shared" ref="H221" si="28">SUM(H171:H220)</f>
        <v>0</v>
      </c>
      <c r="I221" s="350">
        <f t="shared" ref="I221" si="29">SUM(I171:I220)</f>
        <v>0</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8" t="s">
        <v>530</v>
      </c>
      <c r="C224" s="1488"/>
      <c r="D224" s="1488"/>
      <c r="E224" s="1513"/>
      <c r="F224" s="1513"/>
      <c r="G224" s="1513"/>
      <c r="H224" s="52"/>
      <c r="I224" s="52"/>
      <c r="J224" s="50"/>
      <c r="K224" s="50"/>
      <c r="L224" s="50"/>
      <c r="M224" s="50"/>
      <c r="N224" s="50"/>
    </row>
    <row r="225" spans="2:14">
      <c r="B225" s="23" t="s">
        <v>2</v>
      </c>
      <c r="C225" s="170"/>
      <c r="D225" s="208" t="str">
        <f>'RFM input'!G$60</f>
        <v>2009-10</v>
      </c>
      <c r="E225" s="208" t="str">
        <f>'RFM input'!H$60</f>
        <v>2010-11</v>
      </c>
      <c r="F225" s="208" t="str">
        <f>'RFM input'!I$60</f>
        <v>2011-12</v>
      </c>
      <c r="G225" s="208" t="str">
        <f>'RFM input'!J$60</f>
        <v>2012-13</v>
      </c>
      <c r="H225" s="208" t="str">
        <f>'RFM input'!K$60</f>
        <v>2013-14</v>
      </c>
      <c r="I225" s="208" t="str">
        <f>'RFM input'!L$60</f>
        <v>2014-15</v>
      </c>
      <c r="J225" s="208" t="str">
        <f>'RFM input'!M$60</f>
        <v>2015-16</v>
      </c>
      <c r="K225" s="208" t="str">
        <f>'RFM input'!N$60</f>
        <v>2016-17</v>
      </c>
      <c r="L225" s="208" t="str">
        <f>'RFM input'!O$60</f>
        <v>2017-18</v>
      </c>
      <c r="M225" s="208" t="str">
        <f>'RFM input'!P$60</f>
        <v>2018-19</v>
      </c>
      <c r="N225" s="208" t="str">
        <f>'RFM input'!Q$60</f>
        <v>2019-20</v>
      </c>
    </row>
    <row r="226" spans="2:14" hidden="1" outlineLevel="1">
      <c r="B226" s="347" t="str">
        <f>'RFM input'!$F$7</f>
        <v>Pipelines</v>
      </c>
      <c r="C226" s="170"/>
      <c r="D226" s="1374"/>
      <c r="E226" s="1375"/>
      <c r="F226" s="1375"/>
      <c r="G226" s="1375"/>
      <c r="H226" s="1375"/>
      <c r="I226" s="1375"/>
      <c r="J226" s="1375"/>
      <c r="K226" s="1375"/>
      <c r="L226" s="1375"/>
      <c r="M226" s="1375"/>
      <c r="N226" s="1375"/>
    </row>
    <row r="227" spans="2:14" hidden="1" outlineLevel="1">
      <c r="B227" s="347" t="str">
        <f>'RFM input'!$F$8</f>
        <v>Compressors</v>
      </c>
      <c r="C227" s="170"/>
      <c r="D227" s="1376"/>
      <c r="E227" s="1284"/>
      <c r="F227" s="1284"/>
      <c r="G227" s="1284"/>
      <c r="H227" s="1284"/>
      <c r="I227" s="1284"/>
      <c r="J227" s="1284"/>
      <c r="K227" s="1284"/>
      <c r="L227" s="1284"/>
      <c r="M227" s="1284"/>
      <c r="N227" s="1284"/>
    </row>
    <row r="228" spans="2:14" hidden="1" outlineLevel="1">
      <c r="B228" s="347" t="str">
        <f>'RFM input'!$F$9</f>
        <v>City Gates, supply regulators and valve stations</v>
      </c>
      <c r="C228" s="170"/>
      <c r="D228" s="1376"/>
      <c r="E228" s="1284"/>
      <c r="F228" s="1284"/>
      <c r="G228" s="1284"/>
      <c r="H228" s="1284"/>
      <c r="I228" s="1284"/>
      <c r="J228" s="1284"/>
      <c r="K228" s="1284"/>
      <c r="L228" s="1284"/>
      <c r="M228" s="1284"/>
      <c r="N228" s="1284"/>
    </row>
    <row r="229" spans="2:14" hidden="1" outlineLevel="1">
      <c r="B229" s="347" t="str">
        <f>'RFM input'!$F$10</f>
        <v>Metering</v>
      </c>
      <c r="C229" s="170"/>
      <c r="D229" s="1376"/>
      <c r="E229" s="1284"/>
      <c r="F229" s="1284"/>
      <c r="G229" s="1284"/>
      <c r="H229" s="1284"/>
      <c r="I229" s="1284"/>
      <c r="J229" s="1284"/>
      <c r="K229" s="1284"/>
      <c r="L229" s="1284"/>
      <c r="M229" s="1284"/>
      <c r="N229" s="1284"/>
    </row>
    <row r="230" spans="2:14" hidden="1" outlineLevel="1">
      <c r="B230" s="347" t="str">
        <f>'RFM input'!$F$11</f>
        <v>Odourant plants</v>
      </c>
      <c r="C230" s="170"/>
      <c r="D230" s="1376"/>
      <c r="E230" s="1284"/>
      <c r="F230" s="1284"/>
      <c r="G230" s="1284"/>
      <c r="H230" s="1284"/>
      <c r="I230" s="1284"/>
      <c r="J230" s="1284"/>
      <c r="K230" s="1284"/>
      <c r="L230" s="1284"/>
      <c r="M230" s="1284"/>
      <c r="N230" s="1284"/>
    </row>
    <row r="231" spans="2:14" hidden="1" outlineLevel="1">
      <c r="B231" s="347" t="str">
        <f>'RFM input'!$F$12</f>
        <v>SCADA (Communications)</v>
      </c>
      <c r="C231" s="170"/>
      <c r="D231" s="1376"/>
      <c r="E231" s="1284"/>
      <c r="F231" s="1284"/>
      <c r="G231" s="1284"/>
      <c r="H231" s="1284"/>
      <c r="I231" s="1284"/>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c r="E273" s="1284"/>
      <c r="F273" s="1284"/>
      <c r="G273" s="1284"/>
      <c r="H273" s="1284"/>
      <c r="I273" s="1284"/>
      <c r="J273" s="1284"/>
      <c r="K273" s="1284"/>
      <c r="L273" s="1284"/>
      <c r="M273" s="1284"/>
      <c r="N273" s="1284"/>
    </row>
    <row r="274" spans="2:14" hidden="1" outlineLevel="1">
      <c r="B274" s="347" t="str">
        <f>'RFM input'!$F$55</f>
        <v>In-house software</v>
      </c>
      <c r="C274" s="202"/>
      <c r="D274" s="1377"/>
      <c r="E274" s="1284"/>
      <c r="F274" s="1284"/>
      <c r="G274" s="1284"/>
      <c r="H274" s="1284"/>
      <c r="I274" s="1284"/>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0</v>
      </c>
      <c r="E276" s="350">
        <f t="shared" ref="E276" si="35">SUM(E226:E275)</f>
        <v>0</v>
      </c>
      <c r="F276" s="350">
        <f t="shared" ref="F276" si="36">SUM(F226:F275)</f>
        <v>0</v>
      </c>
      <c r="G276" s="350">
        <f t="shared" ref="G276" si="37">SUM(G226:G275)</f>
        <v>0</v>
      </c>
      <c r="H276" s="350">
        <f t="shared" ref="H276" si="38">SUM(H226:H275)</f>
        <v>0</v>
      </c>
      <c r="I276" s="350">
        <f t="shared" ref="I276" si="39">SUM(I226:I275)</f>
        <v>0</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8" t="s">
        <v>533</v>
      </c>
      <c r="C279" s="1488"/>
      <c r="D279" s="1488"/>
      <c r="E279" s="1513"/>
      <c r="F279" s="1513"/>
      <c r="G279" s="1513"/>
      <c r="H279" s="52"/>
      <c r="I279" s="52"/>
      <c r="J279" s="50"/>
      <c r="K279" s="50"/>
      <c r="L279" s="50"/>
      <c r="M279" s="50"/>
      <c r="N279" s="50"/>
    </row>
    <row r="280" spans="2:14">
      <c r="B280" s="211" t="s">
        <v>2</v>
      </c>
      <c r="C280" s="170"/>
      <c r="D280" s="208" t="str">
        <f>'RFM input'!G$60</f>
        <v>2009-10</v>
      </c>
      <c r="E280" s="208" t="str">
        <f>'RFM input'!H$60</f>
        <v>2010-11</v>
      </c>
      <c r="F280" s="208" t="str">
        <f>'RFM input'!I$60</f>
        <v>2011-12</v>
      </c>
      <c r="G280" s="208" t="str">
        <f>'RFM input'!J$60</f>
        <v>2012-13</v>
      </c>
      <c r="H280" s="208" t="str">
        <f>'RFM input'!K$60</f>
        <v>2013-14</v>
      </c>
      <c r="I280" s="208" t="str">
        <f>'RFM input'!L$60</f>
        <v>2014-15</v>
      </c>
      <c r="J280" s="208" t="str">
        <f>'RFM input'!M$60</f>
        <v>2015-16</v>
      </c>
      <c r="K280" s="208" t="str">
        <f>'RFM input'!N$60</f>
        <v>2016-17</v>
      </c>
      <c r="L280" s="208" t="str">
        <f>'RFM input'!O$60</f>
        <v>2017-18</v>
      </c>
      <c r="M280" s="208" t="str">
        <f>'RFM input'!P$60</f>
        <v>2018-19</v>
      </c>
      <c r="N280" s="208" t="str">
        <f>'RFM input'!Q$60</f>
        <v>2019-20</v>
      </c>
    </row>
    <row r="281" spans="2:14" hidden="1" outlineLevel="1">
      <c r="B281" s="349" t="str">
        <f>'RFM input'!$F$7</f>
        <v>Pipelines</v>
      </c>
      <c r="C281" s="170"/>
      <c r="D281" s="1378">
        <f t="shared" ref="D281:I296" si="45">D171+D226</f>
        <v>0</v>
      </c>
      <c r="E281" s="1379">
        <f t="shared" si="45"/>
        <v>0</v>
      </c>
      <c r="F281" s="1379">
        <f t="shared" si="45"/>
        <v>0</v>
      </c>
      <c r="G281" s="1379">
        <f t="shared" si="45"/>
        <v>0</v>
      </c>
      <c r="H281" s="1379">
        <f t="shared" si="45"/>
        <v>0</v>
      </c>
      <c r="I281" s="1379">
        <f>I171+I226</f>
        <v>0</v>
      </c>
      <c r="J281" s="1379"/>
      <c r="K281" s="1379"/>
      <c r="L281" s="1379"/>
      <c r="M281" s="1379"/>
      <c r="N281" s="1379"/>
    </row>
    <row r="282" spans="2:14" hidden="1" outlineLevel="1">
      <c r="B282" s="349" t="str">
        <f>'RFM input'!$F$8</f>
        <v>Compressors</v>
      </c>
      <c r="C282" s="170"/>
      <c r="D282" s="1380">
        <f t="shared" si="45"/>
        <v>0</v>
      </c>
      <c r="E282" s="1381">
        <f t="shared" si="45"/>
        <v>0</v>
      </c>
      <c r="F282" s="1381">
        <f t="shared" si="45"/>
        <v>0</v>
      </c>
      <c r="G282" s="1381">
        <f t="shared" si="45"/>
        <v>0</v>
      </c>
      <c r="H282" s="1381">
        <f t="shared" si="45"/>
        <v>0</v>
      </c>
      <c r="I282" s="1381">
        <f t="shared" si="45"/>
        <v>0</v>
      </c>
      <c r="J282" s="1381"/>
      <c r="K282" s="1381"/>
      <c r="L282" s="1381"/>
      <c r="M282" s="1381"/>
      <c r="N282" s="1381"/>
    </row>
    <row r="283" spans="2:14" hidden="1" outlineLevel="1">
      <c r="B283" s="349" t="str">
        <f>'RFM input'!$F$9</f>
        <v>City Gates, supply regulators and valve stations</v>
      </c>
      <c r="C283" s="170"/>
      <c r="D283" s="1380">
        <f t="shared" si="45"/>
        <v>0</v>
      </c>
      <c r="E283" s="1381">
        <f t="shared" si="45"/>
        <v>0</v>
      </c>
      <c r="F283" s="1381">
        <f t="shared" si="45"/>
        <v>0</v>
      </c>
      <c r="G283" s="1381">
        <f t="shared" si="45"/>
        <v>0</v>
      </c>
      <c r="H283" s="1381">
        <f t="shared" si="45"/>
        <v>0</v>
      </c>
      <c r="I283" s="1381">
        <f t="shared" si="45"/>
        <v>0</v>
      </c>
      <c r="J283" s="1381"/>
      <c r="K283" s="1381"/>
      <c r="L283" s="1381"/>
      <c r="M283" s="1381"/>
      <c r="N283" s="1381"/>
    </row>
    <row r="284" spans="2:14" hidden="1" outlineLevel="1">
      <c r="B284" s="349" t="str">
        <f>'RFM input'!$F$10</f>
        <v>Metering</v>
      </c>
      <c r="C284" s="170"/>
      <c r="D284" s="1380">
        <f t="shared" si="45"/>
        <v>0</v>
      </c>
      <c r="E284" s="1381">
        <f t="shared" si="45"/>
        <v>0</v>
      </c>
      <c r="F284" s="1381">
        <f t="shared" si="45"/>
        <v>0</v>
      </c>
      <c r="G284" s="1381">
        <f t="shared" si="45"/>
        <v>0</v>
      </c>
      <c r="H284" s="1381">
        <f t="shared" si="45"/>
        <v>0</v>
      </c>
      <c r="I284" s="1381">
        <f t="shared" si="45"/>
        <v>0</v>
      </c>
      <c r="J284" s="1381"/>
      <c r="K284" s="1381"/>
      <c r="L284" s="1381"/>
      <c r="M284" s="1381"/>
      <c r="N284" s="1381"/>
    </row>
    <row r="285" spans="2:14" hidden="1" outlineLevel="1">
      <c r="B285" s="349" t="str">
        <f>'RFM input'!$F$11</f>
        <v>Odourant plants</v>
      </c>
      <c r="C285" s="170"/>
      <c r="D285" s="1380">
        <f t="shared" si="45"/>
        <v>0</v>
      </c>
      <c r="E285" s="1381">
        <f t="shared" si="45"/>
        <v>0</v>
      </c>
      <c r="F285" s="1381">
        <f t="shared" si="45"/>
        <v>0</v>
      </c>
      <c r="G285" s="1381">
        <f t="shared" si="45"/>
        <v>0</v>
      </c>
      <c r="H285" s="1381">
        <f t="shared" si="45"/>
        <v>0</v>
      </c>
      <c r="I285" s="1381">
        <f t="shared" si="45"/>
        <v>0</v>
      </c>
      <c r="J285" s="1381"/>
      <c r="K285" s="1381"/>
      <c r="L285" s="1381"/>
      <c r="M285" s="1381"/>
      <c r="N285" s="1381"/>
    </row>
    <row r="286" spans="2:14" hidden="1" outlineLevel="1">
      <c r="B286" s="349" t="str">
        <f>'RFM input'!$F$12</f>
        <v>SCADA (Communications)</v>
      </c>
      <c r="C286" s="170"/>
      <c r="D286" s="1380">
        <f t="shared" si="45"/>
        <v>0</v>
      </c>
      <c r="E286" s="1381">
        <f t="shared" si="45"/>
        <v>0</v>
      </c>
      <c r="F286" s="1381">
        <f t="shared" si="45"/>
        <v>0</v>
      </c>
      <c r="G286" s="1381">
        <f t="shared" si="45"/>
        <v>0</v>
      </c>
      <c r="H286" s="1381">
        <f t="shared" si="45"/>
        <v>0</v>
      </c>
      <c r="I286" s="1381">
        <f t="shared" si="45"/>
        <v>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0</v>
      </c>
      <c r="E328" s="1381">
        <f t="shared" si="47"/>
        <v>0</v>
      </c>
      <c r="F328" s="1381">
        <f t="shared" si="47"/>
        <v>0</v>
      </c>
      <c r="G328" s="1381">
        <f t="shared" si="47"/>
        <v>0</v>
      </c>
      <c r="H328" s="1381">
        <f t="shared" si="47"/>
        <v>0</v>
      </c>
      <c r="I328" s="1381">
        <f t="shared" si="47"/>
        <v>0</v>
      </c>
      <c r="J328" s="1381"/>
      <c r="K328" s="1381"/>
      <c r="L328" s="1381"/>
      <c r="M328" s="1381"/>
      <c r="N328" s="1381"/>
    </row>
    <row r="329" spans="2:14" hidden="1" outlineLevel="1">
      <c r="B329" s="349" t="str">
        <f>'RFM input'!$F$55</f>
        <v>In-house software</v>
      </c>
      <c r="C329" s="202"/>
      <c r="D329" s="1380">
        <f t="shared" ref="D329:I330" si="48">D219+D274</f>
        <v>0</v>
      </c>
      <c r="E329" s="1381">
        <f t="shared" si="48"/>
        <v>0</v>
      </c>
      <c r="F329" s="1381">
        <f t="shared" si="48"/>
        <v>0</v>
      </c>
      <c r="G329" s="1381">
        <f t="shared" si="48"/>
        <v>0</v>
      </c>
      <c r="H329" s="1381">
        <f t="shared" si="48"/>
        <v>0</v>
      </c>
      <c r="I329" s="1381">
        <f t="shared" si="48"/>
        <v>0</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0</v>
      </c>
      <c r="E331" s="350">
        <f t="shared" ref="E331" si="49">SUM(E281:E330)</f>
        <v>0</v>
      </c>
      <c r="F331" s="350">
        <f t="shared" ref="F331" si="50">SUM(F281:F330)</f>
        <v>0</v>
      </c>
      <c r="G331" s="350">
        <f t="shared" ref="G331" si="51">SUM(G281:G330)</f>
        <v>0</v>
      </c>
      <c r="H331" s="350">
        <f t="shared" ref="H331" si="52">SUM(H281:H330)</f>
        <v>0</v>
      </c>
      <c r="I331" s="350">
        <f t="shared" ref="I331" si="53">SUM(I281:I330)</f>
        <v>0</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2022-11-08T22:05:15Z</dcterms:modified>
  <cp:contentStatus>CURRENT @ 20191211</cp:contentStatus>
</cp:coreProperties>
</file>