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omments1.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comments3.xml" ContentType="application/vnd.openxmlformats-officedocument.spreadsheetml.comments+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comments4.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fileSharing readOnlyRecommended="1"/>
  <workbookPr codeName="ThisWorkbook"/>
  <mc:AlternateContent xmlns:mc="http://schemas.openxmlformats.org/markup-compatibility/2006">
    <mc:Choice Requires="x15">
      <x15ac:absPath xmlns:x15ac="http://schemas.microsoft.com/office/spreadsheetml/2010/11/ac" url="https://apamscloud.sharepoint.com/sites/RegulatoryReportingTeam/Shared Documents/Part 10/1. FY25/Non-scheme pipelines/11.1 Publication_September 2026/Bi Directional &amp; WACC/"/>
    </mc:Choice>
  </mc:AlternateContent>
  <xr:revisionPtr revIDLastSave="468" documentId="13_ncr:1_{A7A15900-7D9F-4C34-A1BF-ED5AB7A1B290}" xr6:coauthVersionLast="47" xr6:coauthVersionMax="47" xr10:uidLastSave="{1BD13CC0-46BB-4D41-8757-677D61034C93}"/>
  <bookViews>
    <workbookView xWindow="-120" yWindow="-120" windowWidth="51840" windowHeight="21120" tabRatio="789" xr2:uid="{49D1016F-16C5-441E-B77D-074945A6A9A8}"/>
  </bookViews>
  <sheets>
    <sheet name="Cover" sheetId="11" r:id="rId1"/>
    <sheet name="Contents" sheetId="4" r:id="rId2"/>
    <sheet name="Financial summary" sheetId="69" r:id="rId3"/>
    <sheet name="Data visualisation" sheetId="82" r:id="rId4"/>
    <sheet name="Pricing benchmarks summary" sheetId="84" r:id="rId5"/>
    <sheet name="1. Pipeline information" sheetId="44" r:id="rId6"/>
    <sheet name="2. Revenue and expenses" sheetId="5" r:id="rId7"/>
    <sheet name="2.1 Profit &amp; Loss by component" sheetId="76" r:id="rId8"/>
    <sheet name="2.2 Allocation to services" sheetId="56" r:id="rId9"/>
    <sheet name="2.3 Revenue contributions " sheetId="57" r:id="rId10"/>
    <sheet name="2.4 Indirect revenue" sheetId="45" r:id="rId11"/>
    <sheet name="2.5 Shared expenses" sheetId="16" r:id="rId12"/>
    <sheet name="3.1 Depreciated Book Value" sheetId="6" r:id="rId13"/>
    <sheet name="3.2 Regulatory Asset Base" sheetId="87" r:id="rId14"/>
    <sheet name="3.3 Asset useful life" sheetId="55" r:id="rId15"/>
    <sheet name="3.4 Asset impairment" sheetId="63" r:id="rId16"/>
    <sheet name="3.5 Depreciation amortisation" sheetId="34" r:id="rId17"/>
    <sheet name="3.6 Shared supporting assets" sheetId="59" r:id="rId18"/>
    <sheet name="Auditor's Report Statement" sheetId="120" r:id="rId19"/>
    <sheet name="4. Recovered Capital" sheetId="47" r:id="rId20"/>
    <sheet name="Auditor's Review Report RCM" sheetId="124" r:id="rId21"/>
    <sheet name="4.1 Pipelines capex" sheetId="66" r:id="rId22"/>
    <sheet name="Auditor's Review Report Capex" sheetId="121" r:id="rId23"/>
    <sheet name="5. Historical demand" sheetId="74" r:id="rId24"/>
    <sheet name="Auditor's Review Report Demand" sheetId="122" r:id="rId25"/>
    <sheet name="6. Pricing template" sheetId="80" r:id="rId26"/>
    <sheet name="7. Amendment record" sheetId="90" r:id="rId27"/>
    <sheet name="F2. PPE FY24" sheetId="111" state="hidden" r:id="rId28"/>
    <sheet name="Sheet1" sheetId="86" state="hidden" r:id="rId29"/>
  </sheets>
  <definedNames>
    <definedName name="\0">#REF!</definedName>
    <definedName name="\A">#REF!</definedName>
    <definedName name="\B">#REF!</definedName>
    <definedName name="\C">#REF!</definedName>
    <definedName name="\M">#REF!</definedName>
    <definedName name="______UAG99">#REF!</definedName>
    <definedName name="_____cpi1">#REF!</definedName>
    <definedName name="_____CPI2">#REF!</definedName>
    <definedName name="_____IRR1">#REF!</definedName>
    <definedName name="_____LUT1">#REF!</definedName>
    <definedName name="_____NPV1">#REF!</definedName>
    <definedName name="_____UAG99">#REF!</definedName>
    <definedName name="____cpi1">#REF!</definedName>
    <definedName name="____CPI2">#REF!</definedName>
    <definedName name="____IRR1">#REF!</definedName>
    <definedName name="____IZS2">#REF!</definedName>
    <definedName name="____LUT1">#REF!</definedName>
    <definedName name="____NPV1">#REF!</definedName>
    <definedName name="____NPV2">#REF!</definedName>
    <definedName name="____UAG99">#REF!</definedName>
    <definedName name="___cpi1">#REF!</definedName>
    <definedName name="___CPI2">#REF!</definedName>
    <definedName name="___IRR1">#REF!</definedName>
    <definedName name="___IZS2">#REF!</definedName>
    <definedName name="___LUT1">#REF!</definedName>
    <definedName name="___May08">#REF!</definedName>
    <definedName name="___NPV1">#REF!</definedName>
    <definedName name="___NPV2">#REF!</definedName>
    <definedName name="___Tot220">#REF!</definedName>
    <definedName name="___Tot237">#REF!</definedName>
    <definedName name="___Tot257">#REF!</definedName>
    <definedName name="___Tot258">#REF!</definedName>
    <definedName name="___UAG99">#REF!</definedName>
    <definedName name="__123Graph_A" hidden="1">#REF!</definedName>
    <definedName name="__123Graph_A5YRAVER" hidden="1">#REF!</definedName>
    <definedName name="__123Graph_AAVDDAYS" hidden="1">#REF!</definedName>
    <definedName name="__123Graph_B" hidden="1">#REF!</definedName>
    <definedName name="__123Graph_B5YRAVER" hidden="1">#REF!</definedName>
    <definedName name="__123Graph_BAVDDAYS" hidden="1">#REF!</definedName>
    <definedName name="__123Graph_C" hidden="1">#REF!</definedName>
    <definedName name="__123Graph_CAVDDAYS" hidden="1">#REF!</definedName>
    <definedName name="__123Graph_D5YRAVER" hidden="1">#REF!</definedName>
    <definedName name="__123Graph_X" hidden="1">#REF!</definedName>
    <definedName name="__123Graph_X5YRAVER" hidden="1">#REF!</definedName>
    <definedName name="__123Graph_XAVDDAYS" hidden="1">#REF!</definedName>
    <definedName name="__cpi1">#REF!</definedName>
    <definedName name="__CPI2">#REF!</definedName>
    <definedName name="__DAT1">#REF!</definedName>
    <definedName name="__DAT14">#REF!</definedName>
    <definedName name="__DAT5">#REF!</definedName>
    <definedName name="__DAT6">#REF!</definedName>
    <definedName name="__DataSet1__">#REF!</definedName>
    <definedName name="__DataSet2__">#REF!</definedName>
    <definedName name="__DataSet3__">#REF!</definedName>
    <definedName name="__DataSet4__">#REF!</definedName>
    <definedName name="__int997">#REF!</definedName>
    <definedName name="__IRR1">#REF!</definedName>
    <definedName name="__IZS2">#REF!</definedName>
    <definedName name="__JUN09">#REF!</definedName>
    <definedName name="__LUT1">#REF!</definedName>
    <definedName name="__MAIN__">#REF!</definedName>
    <definedName name="__May08">#REF!</definedName>
    <definedName name="__NPV1">#REF!</definedName>
    <definedName name="__NPV2">#REF!</definedName>
    <definedName name="__PL1">#REF!</definedName>
    <definedName name="__TableData__">#REF!</definedName>
    <definedName name="__TB1">#REF!</definedName>
    <definedName name="__Tot220">#REF!</definedName>
    <definedName name="__Tot221">#REF!</definedName>
    <definedName name="__Tot232">#REF!</definedName>
    <definedName name="__Tot237">#REF!</definedName>
    <definedName name="__Tot257">#REF!</definedName>
    <definedName name="__Tot258">#REF!</definedName>
    <definedName name="__UAG99">#REF!</definedName>
    <definedName name="_0020">#REF!</definedName>
    <definedName name="_0030">#REF!</definedName>
    <definedName name="_0270">#REF!</definedName>
    <definedName name="_0700">#REF!</definedName>
    <definedName name="_0701">#REF!</definedName>
    <definedName name="_0710">#REF!</definedName>
    <definedName name="_1__123Graph_ACHART_1" hidden="1">#REF!</definedName>
    <definedName name="_10__123Graph_ACHART_2" hidden="1">#REF!</definedName>
    <definedName name="_10__123Graph_ACHART_3" hidden="1">#REF!</definedName>
    <definedName name="_10__123Graph_ACHART_9" hidden="1">#REF!</definedName>
    <definedName name="_100__123Graph_ACHART_9" hidden="1">#REF!</definedName>
    <definedName name="_100__123Graph_DCHART_25" hidden="1">#REF!</definedName>
    <definedName name="_101__123Graph_CCHART_2" hidden="1">#REF!</definedName>
    <definedName name="_102__123Graph_CCHART_26" hidden="1">#REF!</definedName>
    <definedName name="_103__123Graph_BCHART_5" hidden="1">#REF!</definedName>
    <definedName name="_104__123Graph_DCHART_7" hidden="1">#REF!</definedName>
    <definedName name="_105__123Graph_ECHART_26" hidden="1">#REF!</definedName>
    <definedName name="_107__123Graph_CCHART_4" hidden="1">#REF!</definedName>
    <definedName name="_109__123Graph_XCHART_1" hidden="1">#REF!</definedName>
    <definedName name="_11__123Graph_ACHART_1" hidden="1">#REF!</definedName>
    <definedName name="_11__123Graph_ACHART_25" hidden="1">#REF!</definedName>
    <definedName name="_11__123Graph_ACHART_5" hidden="1">#REF!</definedName>
    <definedName name="_11__123Graph_BCHART_1" hidden="1">#REF!</definedName>
    <definedName name="_110__123Graph_BCHART_6" hidden="1">#REF!</definedName>
    <definedName name="_111__123Graph_BCHART_1" hidden="1">#REF!</definedName>
    <definedName name="_112__123Graph_BCHART_13" hidden="1">#REF!</definedName>
    <definedName name="_112__123Graph_CCHART_5" hidden="1">#REF!</definedName>
    <definedName name="_113__123Graph_BCHART_19" hidden="1">#REF!</definedName>
    <definedName name="_113__123Graph_XCHART_8" hidden="1">#REF!</definedName>
    <definedName name="_117__123Graph_BCHART_7" hidden="1">#REF!</definedName>
    <definedName name="_117__123Graph_CCHART_6" hidden="1">#REF!</definedName>
    <definedName name="_12__123Graph_BCHART_13" hidden="1">#REF!</definedName>
    <definedName name="_122__123Graph_CCHART_7" hidden="1">#REF!</definedName>
    <definedName name="_123__123Graph_DCHART_25" hidden="1">#REF!</definedName>
    <definedName name="_123Graph_A1" hidden="1">#REF!</definedName>
    <definedName name="_124__123Graph_BCHART_2" hidden="1">#REF!</definedName>
    <definedName name="_124__123Graph_BCHART_8" hidden="1">#REF!</definedName>
    <definedName name="_125__123Graph_BCHART_25" hidden="1">#REF!</definedName>
    <definedName name="_126__123Graph_BCHART_26" hidden="1">#REF!</definedName>
    <definedName name="_128__123Graph_DCHART_7" hidden="1">#REF!</definedName>
    <definedName name="_129__123Graph_ECHART_26" hidden="1">#REF!</definedName>
    <definedName name="_13__123Graph_ACHART_3" hidden="1">#REF!</definedName>
    <definedName name="_13__123Graph_ACHART_4" hidden="1">#REF!</definedName>
    <definedName name="_13__123Graph_ACHART_6" hidden="1">#REF!</definedName>
    <definedName name="_13__123Graph_BCHART_19" hidden="1">#REF!</definedName>
    <definedName name="_131__123Graph_BCHART_9" hidden="1">#REF!</definedName>
    <definedName name="_132__123Graph_CCHART_12" hidden="1">#REF!</definedName>
    <definedName name="_134__123Graph_XCHART_1" hidden="1">#REF!</definedName>
    <definedName name="_137__123Graph_BCHART_3" hidden="1">#REF!</definedName>
    <definedName name="_139__123Graph_CCHART_2" hidden="1">#REF!</definedName>
    <definedName name="_139__123Graph_XCHART_8" hidden="1">#REF!</definedName>
    <definedName name="_14__123Graph_ACHART_2" hidden="1">#REF!</definedName>
    <definedName name="_14__123Graph_BCHART_2" hidden="1">#REF!</definedName>
    <definedName name="_140__123Graph_CCHART_26" hidden="1">#REF!</definedName>
    <definedName name="_147__123Graph_CCHART_4" hidden="1">#REF!</definedName>
    <definedName name="_148__123Graph_BCHART_4" hidden="1">#REF!</definedName>
    <definedName name="_15__123Graph_ACHART_25" hidden="1">#REF!</definedName>
    <definedName name="_15__123Graph_ACHART_7" hidden="1">#REF!</definedName>
    <definedName name="_15__123Graph_BCHART_25" hidden="1">#REF!</definedName>
    <definedName name="_154__123Graph_CCHART_5" hidden="1">#REF!</definedName>
    <definedName name="_159__123Graph_BCHART_5" hidden="1">#REF!</definedName>
    <definedName name="_16__123Graph_ACHART_3" hidden="1">#REF!</definedName>
    <definedName name="_16__123Graph_ACHART_5" hidden="1">#REF!</definedName>
    <definedName name="_16__123Graph_BCHART_26" hidden="1">#REF!</definedName>
    <definedName name="_161__123Graph_CCHART_6" hidden="1">#REF!</definedName>
    <definedName name="_1620">#REF!</definedName>
    <definedName name="_1621">#REF!</definedName>
    <definedName name="_1630">#REF!</definedName>
    <definedName name="_1631">#REF!</definedName>
    <definedName name="_1632">#REF!</definedName>
    <definedName name="_1633">#REF!</definedName>
    <definedName name="_1636">#REF!</definedName>
    <definedName name="_1638">#REF!</definedName>
    <definedName name="_1640">#REF!</definedName>
    <definedName name="_1642">#REF!</definedName>
    <definedName name="_1649">#REF!</definedName>
    <definedName name="_1670">#REF!</definedName>
    <definedName name="_1671">#REF!</definedName>
    <definedName name="_168__123Graph_CCHART_7" hidden="1">#REF!</definedName>
    <definedName name="_169__123Graph_DCHART_25" hidden="1">#REF!</definedName>
    <definedName name="_17__123Graph_ACHART_4" hidden="1">#REF!</definedName>
    <definedName name="_17__123Graph_ACHART_8" hidden="1">#REF!</definedName>
    <definedName name="_17__123Graph_BCHART_3" hidden="1">#REF!</definedName>
    <definedName name="_170__123Graph_BCHART_6" hidden="1">#REF!</definedName>
    <definedName name="_1711">#REF!</definedName>
    <definedName name="_1720">#REF!</definedName>
    <definedName name="_176__123Graph_DCHART_7" hidden="1">#REF!</definedName>
    <definedName name="_177__123Graph_ECHART_26" hidden="1">#REF!</definedName>
    <definedName name="_18__123Graph_BCHART_4" hidden="1">#REF!</definedName>
    <definedName name="_181__123Graph_BCHART_7" hidden="1">#REF!</definedName>
    <definedName name="_184__123Graph_XCHART_1" hidden="1">#REF!</definedName>
    <definedName name="_19__123Graph_ACHART_6" hidden="1">#REF!</definedName>
    <definedName name="_19__123Graph_ACHART_9" hidden="1">#REF!</definedName>
    <definedName name="_19__123Graph_BCHART_5" hidden="1">#REF!</definedName>
    <definedName name="_191__123Graph_XCHART_8" hidden="1">#REF!</definedName>
    <definedName name="_192__123Graph_BCHART_8" hidden="1">#REF!</definedName>
    <definedName name="_1BriCY">OFFSET(#REF!,,COUNT(#REF!)-36,,36)</definedName>
    <definedName name="_1BriMAT">OFFSET(#REF!,,COUNT(#REF!)-36,,36)</definedName>
    <definedName name="_1BriPY">OFFSET(#REF!,,COUNT(#REF!)-36,,24)</definedName>
    <definedName name="_1GlaCY">OFFSET(#REF!,,COUNT(#REF!)-36,,36)</definedName>
    <definedName name="_1GlaMAT">OFFSET(#REF!,,COUNT(#REF!)-36,,36)</definedName>
    <definedName name="_1GlaPY">OFFSET(#REF!,,COUNT(#REF!)-36,,24)</definedName>
    <definedName name="_1Ips_RivCY">OFFSET(#REF!,,COUNT(#REF!)-36,,36)</definedName>
    <definedName name="_1Ips_RivMAT">OFFSET(#REF!,,COUNT(#REF!)-36,,36)</definedName>
    <definedName name="_1Ips_RivPY">OFFSET(#REF!,,COUNT(#REF!)-36,,24)</definedName>
    <definedName name="_1IpsCY">OFFSET(#REF!,,COUNT(#REF!)-36,,36)</definedName>
    <definedName name="_1IpsMAT">OFFSET(#REF!,,COUNT(#REF!)-36,,36)</definedName>
    <definedName name="_1IpsPY">OFFSET(#REF!,,COUNT(#REF!)-36,,24)</definedName>
    <definedName name="_1LocCY">OFFSET(#REF!,,COUNT(#REF!)-36,,36)</definedName>
    <definedName name="_1LocMAT">OFFSET(#REF!,,COUNT(#REF!)-36,,36)</definedName>
    <definedName name="_1LocPY">OFFSET(#REF!,,COUNT(#REF!)-36,,24)</definedName>
    <definedName name="_1QldCY">OFFSET(#REF!,,COUNT(#REF!)-36,,36)</definedName>
    <definedName name="_1QldMAT">OFFSET(#REF!,,COUNT(#REF!)-36,,36)</definedName>
    <definedName name="_1QldPY">OFFSET(#REF!,,COUNT(#REF!)-36,,24)</definedName>
    <definedName name="_1RocCY">OFFSET(#REF!,,COUNT(#REF!)-36,,36)</definedName>
    <definedName name="_1RocMAT">OFFSET(#REF!,,COUNT(#REF!)-36,,36)</definedName>
    <definedName name="_1RocPY">OFFSET(#REF!,,COUNT(#REF!)-36,,24)</definedName>
    <definedName name="_1WidCY">OFFSET(#REF!,,COUNT(#REF!)-36,,36)</definedName>
    <definedName name="_1WidMAT">OFFSET(#REF!,,COUNT(#REF!)-36,,36)</definedName>
    <definedName name="_1WidPY">OFFSET(#REF!,,COUNT(#REF!)-36,,24)</definedName>
    <definedName name="_2__123Graph_ACHART_1" hidden="1">#REF!</definedName>
    <definedName name="_2__123Graph_ACHART_2" hidden="1">#REF!</definedName>
    <definedName name="_20__123Graph_BCHART_6" hidden="1">#REF!</definedName>
    <definedName name="_200501">#REF!</definedName>
    <definedName name="_203__123Graph_BCHART_9" hidden="1">#REF!</definedName>
    <definedName name="_204__123Graph_CCHART_12" hidden="1">#REF!</definedName>
    <definedName name="_21__123Graph_ACHART_4" hidden="1">#REF!</definedName>
    <definedName name="_21__123Graph_ACHART_5" hidden="1">#REF!</definedName>
    <definedName name="_21__123Graph_BCHART_1" hidden="1">#REF!</definedName>
    <definedName name="_21__123Graph_BCHART_7" hidden="1">#REF!</definedName>
    <definedName name="_215__123Graph_CCHART_2" hidden="1">#REF!</definedName>
    <definedName name="_216__123Graph_CCHART_26" hidden="1">#REF!</definedName>
    <definedName name="_22__123Graph_ACHART_2" hidden="1">#REF!</definedName>
    <definedName name="_22__123Graph_ACHART_3" hidden="1">#REF!</definedName>
    <definedName name="_22__123Graph_ACHART_7" hidden="1">#REF!</definedName>
    <definedName name="_22__123Graph_BCHART_13" hidden="1">#REF!</definedName>
    <definedName name="_22__123Graph_BCHART_8" hidden="1">#REF!</definedName>
    <definedName name="_227__123Graph_CCHART_4" hidden="1">#REF!</definedName>
    <definedName name="_23__123Graph_ACHART_25" hidden="1">#REF!</definedName>
    <definedName name="_23__123Graph_BCHART_19" hidden="1">#REF!</definedName>
    <definedName name="_23__123Graph_BCHART_9" hidden="1">#REF!</definedName>
    <definedName name="_238__123Graph_CCHART_5" hidden="1">#REF!</definedName>
    <definedName name="_24__123Graph_CCHART_12" hidden="1">#REF!</definedName>
    <definedName name="_249__123Graph_CCHART_6" hidden="1">#REF!</definedName>
    <definedName name="_25__123Graph_ACHART_6" hidden="1">#REF!</definedName>
    <definedName name="_25__123Graph_ACHART_8" hidden="1">#REF!</definedName>
    <definedName name="_25__123Graph_BCHART_2" hidden="1">#REF!</definedName>
    <definedName name="_25__123Graph_CCHART_2" hidden="1">#REF!</definedName>
    <definedName name="_2500">#REF!</definedName>
    <definedName name="_26__123Graph_ACHART_5" hidden="1">#REF!</definedName>
    <definedName name="_26__123Graph_BCHART_25" hidden="1">#REF!</definedName>
    <definedName name="_26__123Graph_CCHART_26" hidden="1">#REF!</definedName>
    <definedName name="_260__123Graph_CCHART_7" hidden="1">#REF!</definedName>
    <definedName name="_261__123Graph_DCHART_25" hidden="1">#REF!</definedName>
    <definedName name="_2632">#REF!</definedName>
    <definedName name="_2636">#REF!</definedName>
    <definedName name="_27__123Graph_BCHART_26" hidden="1">#REF!</definedName>
    <definedName name="_27__123Graph_CCHART_4" hidden="1">#REF!</definedName>
    <definedName name="_272__123Graph_DCHART_7" hidden="1">#REF!</definedName>
    <definedName name="_273__123Graph_ECHART_26" hidden="1">#REF!</definedName>
    <definedName name="_28__123Graph_ACHART_9" hidden="1">#REF!</definedName>
    <definedName name="_28__123Graph_CCHART_5" hidden="1">#REF!</definedName>
    <definedName name="_284__123Graph_XCHART_1" hidden="1">#REF!</definedName>
    <definedName name="_29__123Graph_ACHART_4" hidden="1">#REF!</definedName>
    <definedName name="_29__123Graph_ACHART_7" hidden="1">#REF!</definedName>
    <definedName name="_29__123Graph_BCHART_3" hidden="1">#REF!</definedName>
    <definedName name="_29__123Graph_CCHART_6" hidden="1">#REF!</definedName>
    <definedName name="_295__123Graph_XCHART_8" hidden="1">#REF!</definedName>
    <definedName name="_2981">#REF!</definedName>
    <definedName name="_2TJ_Day">#REF!</definedName>
    <definedName name="_3__123Graph_ACHART_1" hidden="1">#REF!</definedName>
    <definedName name="_3__123Graph_ACHART_25" hidden="1">#REF!</definedName>
    <definedName name="_30__123Graph_CCHART_7" hidden="1">#REF!</definedName>
    <definedName name="_30_Sep_08">#REF!</definedName>
    <definedName name="_31__123Graph_ACHART_6" hidden="1">#REF!</definedName>
    <definedName name="_31__123Graph_BCHART_1" hidden="1">#REF!</definedName>
    <definedName name="_31__123Graph_BCHART_4" hidden="1">#REF!</definedName>
    <definedName name="_31__123Graph_DCHART_25" hidden="1">#REF!</definedName>
    <definedName name="_3110">#REF!</definedName>
    <definedName name="_3133_313301">#REF!</definedName>
    <definedName name="_32__123Graph_BCHART_13" hidden="1">#REF!</definedName>
    <definedName name="_32__123Graph_DCHART_7" hidden="1">#REF!</definedName>
    <definedName name="_3200">#REF!</definedName>
    <definedName name="_3201">#REF!</definedName>
    <definedName name="_3231">#REF!</definedName>
    <definedName name="_3270">#REF!</definedName>
    <definedName name="_3271">#REF!</definedName>
    <definedName name="_33__123Graph_ACHART_8" hidden="1">#REF!</definedName>
    <definedName name="_33__123Graph_BCHART_19" hidden="1">#REF!</definedName>
    <definedName name="_33__123Graph_BCHART_5" hidden="1">#REF!</definedName>
    <definedName name="_33__123Graph_ECHART_26" hidden="1">#REF!</definedName>
    <definedName name="_34__123Graph_ACHART_3" hidden="1">#REF!</definedName>
    <definedName name="_34__123Graph_XCHART_1" hidden="1">#REF!</definedName>
    <definedName name="_35__123Graph_BCHART_6" hidden="1">#REF!</definedName>
    <definedName name="_35__123Graph_XCHART_8" hidden="1">#REF!</definedName>
    <definedName name="_3500">#REF!</definedName>
    <definedName name="_3503">#REF!</definedName>
    <definedName name="_3509">#REF!</definedName>
    <definedName name="_36__123Graph_ACHART_5" hidden="1">#REF!</definedName>
    <definedName name="_36__123Graph_ACHART_7" hidden="1">#REF!</definedName>
    <definedName name="_36__123Graph_BCHART_2" hidden="1">#REF!</definedName>
    <definedName name="_37__123Graph_ACHART_9" hidden="1">#REF!</definedName>
    <definedName name="_37__123Graph_BCHART_25" hidden="1">#REF!</definedName>
    <definedName name="_37__123Graph_BCHART_7" hidden="1">#REF!</definedName>
    <definedName name="_38__123Graph_BCHART_26" hidden="1">#REF!</definedName>
    <definedName name="_39__123Graph_BCHART_8" hidden="1">#REF!</definedName>
    <definedName name="_4__123Graph_ACHART_1" hidden="1">#REF!</definedName>
    <definedName name="_4__123Graph_ACHART_2" hidden="1">#REF!</definedName>
    <definedName name="_4__123Graph_ACHART_3" hidden="1">#REF!</definedName>
    <definedName name="_41__123Graph_ACHART_8" hidden="1">#REF!</definedName>
    <definedName name="_41__123Graph_BCHART_1" hidden="1">#REF!</definedName>
    <definedName name="_41__123Graph_BCHART_3" hidden="1">#REF!</definedName>
    <definedName name="_41__123Graph_BCHART_9" hidden="1">#REF!</definedName>
    <definedName name="_42__123Graph_BCHART_13" hidden="1">#REF!</definedName>
    <definedName name="_42__123Graph_CCHART_12" hidden="1">#REF!</definedName>
    <definedName name="_43__123Graph_ACHART_6" hidden="1">#REF!</definedName>
    <definedName name="_43__123Graph_BCHART_19" hidden="1">#REF!</definedName>
    <definedName name="_44__123Graph_BCHART_4" hidden="1">#REF!</definedName>
    <definedName name="_44__123Graph_CCHART_2" hidden="1">#REF!</definedName>
    <definedName name="_45__123Graph_ACHART_4" hidden="1">#REF!</definedName>
    <definedName name="_45__123Graph_CCHART_26" hidden="1">#REF!</definedName>
    <definedName name="_46__123Graph_ACHART_9" hidden="1">#REF!</definedName>
    <definedName name="_47__123Graph_BCHART_2" hidden="1">#REF!</definedName>
    <definedName name="_47__123Graph_BCHART_5" hidden="1">#REF!</definedName>
    <definedName name="_47__123Graph_CCHART_4" hidden="1">#REF!</definedName>
    <definedName name="_48__123Graph_BCHART_25" hidden="1">#REF!</definedName>
    <definedName name="_49__123Graph_BCHART_26" hidden="1">#REF!</definedName>
    <definedName name="_49__123Graph_CCHART_5" hidden="1">#REF!</definedName>
    <definedName name="_5__123Graph_ACHART_1" hidden="1">#REF!</definedName>
    <definedName name="_5__123Graph_ACHART_25" hidden="1">#REF!</definedName>
    <definedName name="_5__123Graph_ACHART_4" hidden="1">#REF!</definedName>
    <definedName name="_5_day_Peak">#REF!</definedName>
    <definedName name="_50__123Graph_ACHART_7" hidden="1">#REF!</definedName>
    <definedName name="_50__123Graph_BCHART_6" hidden="1">#REF!</definedName>
    <definedName name="_51__123Graph_BCHART_1" hidden="1">#REF!</definedName>
    <definedName name="_51__123Graph_CCHART_6" hidden="1">#REF!</definedName>
    <definedName name="_52__123Graph_BCHART_13" hidden="1">#REF!</definedName>
    <definedName name="_53__123Graph_BCHART_19" hidden="1">#REF!</definedName>
    <definedName name="_53__123Graph_BCHART_3" hidden="1">#REF!</definedName>
    <definedName name="_53__123Graph_BCHART_7" hidden="1">#REF!</definedName>
    <definedName name="_53__123Graph_CCHART_7" hidden="1">#REF!</definedName>
    <definedName name="_54__123Graph_DCHART_25" hidden="1">#REF!</definedName>
    <definedName name="_56__123Graph_ACHART_5" hidden="1">#REF!</definedName>
    <definedName name="_56__123Graph_BCHART_8" hidden="1">#REF!</definedName>
    <definedName name="_56__123Graph_DCHART_7" hidden="1">#REF!</definedName>
    <definedName name="_57__123Graph_ACHART_8" hidden="1">#REF!</definedName>
    <definedName name="_57__123Graph_BCHART_4" hidden="1">#REF!</definedName>
    <definedName name="_57__123Graph_ECHART_26" hidden="1">#REF!</definedName>
    <definedName name="_58__123Graph_BCHART_2" hidden="1">#REF!</definedName>
    <definedName name="_59__123Graph_BCHART_25" hidden="1">#REF!</definedName>
    <definedName name="_59__123Graph_BCHART_9" hidden="1">#REF!</definedName>
    <definedName name="_59__123Graph_XCHART_1" hidden="1">#REF!</definedName>
    <definedName name="_6__123Graph_ACHART_2" hidden="1">#REF!</definedName>
    <definedName name="_6__123Graph_ACHART_5" hidden="1">#REF!</definedName>
    <definedName name="_60__123Graph_BCHART_26" hidden="1">#REF!</definedName>
    <definedName name="_60__123Graph_CCHART_12" hidden="1">#REF!</definedName>
    <definedName name="_61__123Graph_BCHART_5" hidden="1">#REF!</definedName>
    <definedName name="_61__123Graph_XCHART_8" hidden="1">#REF!</definedName>
    <definedName name="_63__123Graph_CCHART_2" hidden="1">#REF!</definedName>
    <definedName name="_64__123Graph_ACHART_9" hidden="1">#REF!</definedName>
    <definedName name="_64__123Graph_CCHART_26" hidden="1">#REF!</definedName>
    <definedName name="_65__123Graph_BCHART_3" hidden="1">#REF!</definedName>
    <definedName name="_65__123Graph_BCHART_6" hidden="1">#REF!</definedName>
    <definedName name="_67__123Graph_ACHART_6" hidden="1">#REF!</definedName>
    <definedName name="_67__123Graph_CCHART_4" hidden="1">#REF!</definedName>
    <definedName name="_69__123Graph_BCHART_7" hidden="1">#REF!</definedName>
    <definedName name="_7__123Graph_ACHART_1" hidden="1">#REF!</definedName>
    <definedName name="_7__123Graph_ACHART_25" hidden="1">#REF!</definedName>
    <definedName name="_7__123Graph_ACHART_3" hidden="1">#REF!</definedName>
    <definedName name="_7__123Graph_ACHART_6" hidden="1">#REF!</definedName>
    <definedName name="_70__123Graph_BCHART_4" hidden="1">#REF!</definedName>
    <definedName name="_70__123Graph_CCHART_5" hidden="1">#REF!</definedName>
    <definedName name="_71__123Graph_BCHART_1" hidden="1">#REF!</definedName>
    <definedName name="_72__123Graph_BCHART_13" hidden="1">#REF!</definedName>
    <definedName name="_73__123Graph_BCHART_19" hidden="1">#REF!</definedName>
    <definedName name="_73__123Graph_BCHART_8" hidden="1">#REF!</definedName>
    <definedName name="_73__123Graph_CCHART_6" hidden="1">#REF!</definedName>
    <definedName name="_75__123Graph_BCHART_5" hidden="1">#REF!</definedName>
    <definedName name="_76__123Graph_CCHART_7" hidden="1">#REF!</definedName>
    <definedName name="_77__123Graph_BCHART_9" hidden="1">#REF!</definedName>
    <definedName name="_77__123Graph_DCHART_25" hidden="1">#REF!</definedName>
    <definedName name="_78__123Graph_ACHART_7" hidden="1">#REF!</definedName>
    <definedName name="_78__123Graph_CCHART_12" hidden="1">#REF!</definedName>
    <definedName name="_8__123Graph_ACHART_2" hidden="1">#REF!</definedName>
    <definedName name="_8__123Graph_ACHART_7" hidden="1">#REF!</definedName>
    <definedName name="_80__123Graph_BCHART_2" hidden="1">#REF!</definedName>
    <definedName name="_80__123Graph_BCHART_6" hidden="1">#REF!</definedName>
    <definedName name="_80__123Graph_DCHART_7" hidden="1">#REF!</definedName>
    <definedName name="_81__123Graph_BCHART_25" hidden="1">#REF!</definedName>
    <definedName name="_81__123Graph_ECHART_26" hidden="1">#REF!</definedName>
    <definedName name="_82__123Graph_BCHART_26" hidden="1">#REF!</definedName>
    <definedName name="_82__123Graph_CCHART_2" hidden="1">#REF!</definedName>
    <definedName name="_83__123Graph_CCHART_26" hidden="1">#REF!</definedName>
    <definedName name="_84__123Graph_XCHART_1" hidden="1">#REF!</definedName>
    <definedName name="_85__123Graph_BCHART_7" hidden="1">#REF!</definedName>
    <definedName name="_87__123Graph_CCHART_4" hidden="1">#REF!</definedName>
    <definedName name="_87__123Graph_XCHART_8" hidden="1">#REF!</definedName>
    <definedName name="_89__123Graph_ACHART_8" hidden="1">#REF!</definedName>
    <definedName name="_89__123Graph_BCHART_3" hidden="1">#REF!</definedName>
    <definedName name="_9__123Graph_ACHART_25" hidden="1">#REF!</definedName>
    <definedName name="_9__123Graph_ACHART_4" hidden="1">#REF!</definedName>
    <definedName name="_9__123Graph_ACHART_8" hidden="1">#REF!</definedName>
    <definedName name="_90__123Graph_BCHART_8" hidden="1">#REF!</definedName>
    <definedName name="_91__123Graph_CCHART_5" hidden="1">#REF!</definedName>
    <definedName name="_95__123Graph_BCHART_9" hidden="1">#REF!</definedName>
    <definedName name="_95__123Graph_CCHART_6" hidden="1">#REF!</definedName>
    <definedName name="_96__123Graph_BCHART_4" hidden="1">#REF!</definedName>
    <definedName name="_96__123Graph_CCHART_12" hidden="1">#REF!</definedName>
    <definedName name="_99__123Graph_CCHART_7" hidden="1">#REF!</definedName>
    <definedName name="_ADDIN_LOAD__L_">#REF!</definedName>
    <definedName name="_AtRisk_SimSetting_AutomaticallyGenerateReports" hidden="1">FALSE</definedName>
    <definedName name="_AtRisk_SimSetting_AutomaticResultsDisplayMode" hidden="1">1</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GoalSeekTargetValue" hidden="1">0</definedName>
    <definedName name="_AtRisk_SimSetting_LiveUpdate" hidden="1">TRUE</definedName>
    <definedName name="_AtRisk_SimSetting_LiveUpdatePeriod" hidden="1">-1</definedName>
    <definedName name="_AtRisk_SimSetting_MacroMode" hidden="1">0</definedName>
    <definedName name="_AtRisk_SimSetting_MacroRecalculationBehavior" hidden="1">0</definedName>
    <definedName name="_AtRisk_SimSetting_MultipleCPUManualCount" hidden="1">4</definedName>
    <definedName name="_AtRisk_SimSetting_MultipleCPUMode" hidden="1">0</definedName>
    <definedName name="_AtRisk_SimSetting_RandomNumberGenerator" hidden="1">0</definedName>
    <definedName name="_AtRisk_SimSetting_ReportOptionCustomItemCumulativeOverlay01" hidden="1">0</definedName>
    <definedName name="_AtRisk_SimSetting_ReportOptionCustomItemCumulativeOverlay02" hidden="1">0</definedName>
    <definedName name="_AtRisk_SimSetting_ReportOptionCustomItemCumulativeOverlay03" hidden="1">0</definedName>
    <definedName name="_AtRisk_SimSetting_ReportOptionCustomItemCumulativeOverlay04" hidden="1">0</definedName>
    <definedName name="_AtRisk_SimSetting_ReportOptionCustomItemCumulativeOverlay05" hidden="1">0</definedName>
    <definedName name="_AtRisk_SimSetting_ReportOptionCustomItemCumulativeOverlay06" hidden="1">0</definedName>
    <definedName name="_AtRisk_SimSetting_ReportOptionCustomItemDistributionFormat01" hidden="1">1</definedName>
    <definedName name="_AtRisk_SimSetting_ReportOptionCustomItemDistributionFormat02" hidden="1">1</definedName>
    <definedName name="_AtRisk_SimSetting_ReportOptionCustomItemDistributionFormat03" hidden="1">4</definedName>
    <definedName name="_AtRisk_SimSetting_ReportOptionCustomItemDistributionFormat04" hidden="1">1</definedName>
    <definedName name="_AtRisk_SimSetting_ReportOptionCustomItemDistributionFormat05" hidden="1">1</definedName>
    <definedName name="_AtRisk_SimSetting_ReportOptionCustomItemDistributionFormat06" hidden="1">1</definedName>
    <definedName name="_AtRisk_SimSetting_ReportOptionCustomItemGraphFormat01" hidden="1">1</definedName>
    <definedName name="_AtRisk_SimSetting_ReportOptionCustomItemGraphFormat02" hidden="1">1</definedName>
    <definedName name="_AtRisk_SimSetting_ReportOptionCustomItemGraphFormat03" hidden="1">1</definedName>
    <definedName name="_AtRisk_SimSetting_ReportOptionCustomItemGraphFormat04" hidden="1">1</definedName>
    <definedName name="_AtRisk_SimSetting_ReportOptionCustomItemGraphFormat05" hidden="1">1</definedName>
    <definedName name="_AtRisk_SimSetting_ReportOptionCustomItemGraphFormat06" hidden="1">1</definedName>
    <definedName name="_AtRisk_SimSetting_ReportOptionCustomItemItemIndex01" hidden="1">0</definedName>
    <definedName name="_AtRisk_SimSetting_ReportOptionCustomItemItemIndex02" hidden="1">1</definedName>
    <definedName name="_AtRisk_SimSetting_ReportOptionCustomItemItemIndex03" hidden="1">2</definedName>
    <definedName name="_AtRisk_SimSetting_ReportOptionCustomItemItemIndex04" hidden="1">3</definedName>
    <definedName name="_AtRisk_SimSetting_ReportOptionCustomItemItemIndex05" hidden="1">4</definedName>
    <definedName name="_AtRisk_SimSetting_ReportOptionCustomItemItemIndex06" hidden="1">5</definedName>
    <definedName name="_AtRisk_SimSetting_ReportOptionCustomItemItemSize01" hidden="1">0</definedName>
    <definedName name="_AtRisk_SimSetting_ReportOptionCustomItemItemSize02" hidden="1">0</definedName>
    <definedName name="_AtRisk_SimSetting_ReportOptionCustomItemItemSize03" hidden="1">0</definedName>
    <definedName name="_AtRisk_SimSetting_ReportOptionCustomItemItemSize04" hidden="1">0</definedName>
    <definedName name="_AtRisk_SimSetting_ReportOptionCustomItemItemSize05" hidden="1">0</definedName>
    <definedName name="_AtRisk_SimSetting_ReportOptionCustomItemItemSize06" hidden="1">0</definedName>
    <definedName name="_AtRisk_SimSetting_ReportOptionCustomItemItemType01" hidden="1">1</definedName>
    <definedName name="_AtRisk_SimSetting_ReportOptionCustomItemItemType02" hidden="1">5</definedName>
    <definedName name="_AtRisk_SimSetting_ReportOptionCustomItemItemType03" hidden="1">1</definedName>
    <definedName name="_AtRisk_SimSetting_ReportOptionCustomItemItemType04" hidden="1">3</definedName>
    <definedName name="_AtRisk_SimSetting_ReportOptionCustomItemItemType05" hidden="1">2</definedName>
    <definedName name="_AtRisk_SimSetting_ReportOptionCustomItemItemType06" hidden="1">4</definedName>
    <definedName name="_AtRisk_SimSetting_ReportOptionCustomItemLegendType01" hidden="1">0</definedName>
    <definedName name="_AtRisk_SimSetting_ReportOptionCustomItemLegendType02" hidden="1">0</definedName>
    <definedName name="_AtRisk_SimSetting_ReportOptionCustomItemLegendType03" hidden="1">0</definedName>
    <definedName name="_AtRisk_SimSetting_ReportOptionCustomItemLegendType04" hidden="1">0</definedName>
    <definedName name="_AtRisk_SimSetting_ReportOptionCustomItemLegendType05" hidden="1">0</definedName>
    <definedName name="_AtRisk_SimSetting_ReportOptionCustomItemLegendType06" hidden="1">0</definedName>
    <definedName name="_AtRisk_SimSetting_ReportOptionCustomItemsCount" hidden="1">0</definedName>
    <definedName name="_AtRisk_SimSetting_ReportOptionCustomItemSensitivityFormat01" hidden="1">1</definedName>
    <definedName name="_AtRisk_SimSetting_ReportOptionCustomItemSensitivityFormat02" hidden="1">1</definedName>
    <definedName name="_AtRisk_SimSetting_ReportOptionCustomItemSensitivityFormat03" hidden="1">1</definedName>
    <definedName name="_AtRisk_SimSetting_ReportOptionCustomItemSensitivityFormat04" hidden="1">1</definedName>
    <definedName name="_AtRisk_SimSetting_ReportOptionCustomItemSensitivityFormat05" hidden="1">1</definedName>
    <definedName name="_AtRisk_SimSetting_ReportOptionCustomItemSensitivityFormat06" hidden="1">1</definedName>
    <definedName name="_AtRisk_SimSetting_ReportOptionCustomItemSummaryGraphType01" hidden="1">0</definedName>
    <definedName name="_AtRisk_SimSetting_ReportOptionCustomItemSummaryGraphType02" hidden="1">0</definedName>
    <definedName name="_AtRisk_SimSetting_ReportOptionCustomItemSummaryGraphType03" hidden="1">0</definedName>
    <definedName name="_AtRisk_SimSetting_ReportOptionCustomItemSummaryGraphType04" hidden="1">0</definedName>
    <definedName name="_AtRisk_SimSetting_ReportOptionCustomItemSummaryGraphType05" hidden="1">0</definedName>
    <definedName name="_AtRisk_SimSetting_ReportOptionCustomItemSummaryGraphType06"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0</definedName>
    <definedName name="_AtRisk_SimSetting_ReportOptionReportsFileType" hidden="1">1</definedName>
    <definedName name="_AtRisk_SimSetting_ReportOptionReportStyle" hidden="1">1</definedName>
    <definedName name="_AtRisk_SimSetting_ReportOptionSelectiveQR" hidden="1">FALSE</definedName>
    <definedName name="_AtRisk_SimSetting_ReportsList" hidden="1">0</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cpi1">#REF!</definedName>
    <definedName name="_CPI2">#REF!</definedName>
    <definedName name="_DAT1">#REF!</definedName>
    <definedName name="_DAT10">#REF!</definedName>
    <definedName name="_DAT11">#REF!</definedName>
    <definedName name="_DAT12">#REF!</definedName>
    <definedName name="_DAT13">#REF!</definedName>
    <definedName name="_DAT14">#REF!</definedName>
    <definedName name="_DAT15">#REF!</definedName>
    <definedName name="_DAT16">#REF!</definedName>
    <definedName name="_DAT17">#REF!</definedName>
    <definedName name="_DAT18">#REF!</definedName>
    <definedName name="_DAT19">#REF!</definedName>
    <definedName name="_DAT2">#REF!</definedName>
    <definedName name="_DAT20">#REF!</definedName>
    <definedName name="_DAT21">#REF!</definedName>
    <definedName name="_DAT3">#REF!</definedName>
    <definedName name="_DAT4">#REF!</definedName>
    <definedName name="_DAT5">#REF!</definedName>
    <definedName name="_DAT500">#REF!</definedName>
    <definedName name="_DAT6">#REF!</definedName>
    <definedName name="_DAT7">#REF!</definedName>
    <definedName name="_DAT8">#REF!</definedName>
    <definedName name="_DAT9">#REF!</definedName>
    <definedName name="_Fill" hidden="1">#REF!</definedName>
    <definedName name="_INT22">#REF!</definedName>
    <definedName name="_int997">#REF!</definedName>
    <definedName name="_IRR1">#REF!</definedName>
    <definedName name="_IZS2">#REF!</definedName>
    <definedName name="_Jnl26">#REF!</definedName>
    <definedName name="_JUN09">#REF!</definedName>
    <definedName name="_Key1" hidden="1">#REF!</definedName>
    <definedName name="_Key2" hidden="1">#REF!</definedName>
    <definedName name="_LUT1">#REF!</definedName>
    <definedName name="_May08">#REF!</definedName>
    <definedName name="_MAY09">#REF!</definedName>
    <definedName name="_NPV1">#REF!</definedName>
    <definedName name="_NPV2">#REF!</definedName>
    <definedName name="_Order1" hidden="1">255</definedName>
    <definedName name="_Order2" hidden="1">255</definedName>
    <definedName name="_pdCalendarDate">#REF!</definedName>
    <definedName name="_pdCalendarDay">#REF!</definedName>
    <definedName name="_pdCommencementDate">#REF!</definedName>
    <definedName name="_pdFirstPaymentDate">#REF!</definedName>
    <definedName name="_pdFrequency">#REF!</definedName>
    <definedName name="_pdInstrumentCalendarDate">#REF!</definedName>
    <definedName name="_pdInstrumentCommencement">#REF!</definedName>
    <definedName name="_pdInstrumentFirstRegularDate">#REF!</definedName>
    <definedName name="_pdInstrumentNoOfPayments">#REF!</definedName>
    <definedName name="_pdNoOfPayments">#REF!</definedName>
    <definedName name="_pdPaymentFrequency">#REF!</definedName>
    <definedName name="_pdUnadjustedDates">OFFSET(#REF!,1,0,_pdNoOfPayments+1,1)</definedName>
    <definedName name="_PL1">#REF!</definedName>
    <definedName name="_sch2">#REF!</definedName>
    <definedName name="_sch3">#REF!</definedName>
    <definedName name="_smChart1InFolders" hidden="1">"_0"</definedName>
    <definedName name="_smChartCount" hidden="1">1</definedName>
    <definedName name="_smChartName1" hidden="1">"LVRChart"</definedName>
    <definedName name="_smCustomSelectedCount" hidden="1">0</definedName>
    <definedName name="_smFldName1" hidden="1">"Schematics"</definedName>
    <definedName name="_smFldSelected1" hidden="1">"All Sheets"</definedName>
    <definedName name="_smFoldersCount" hidden="1">1</definedName>
    <definedName name="_smStandardSelectedCount" hidden="1">1</definedName>
    <definedName name="_smWarning" hidden="1">"WARNING! All names beginning with ""_sm"" or ending with ""InFolders"" are required by the Sheet Manager Add-In and should not be modified."</definedName>
    <definedName name="_Sort" hidden="1">#REF!</definedName>
    <definedName name="_tab1">#REF!</definedName>
    <definedName name="_TB1">#REF!</definedName>
    <definedName name="_Tot199">#REF!</definedName>
    <definedName name="_Tot20015">#REF!</definedName>
    <definedName name="_Tot20686">#REF!</definedName>
    <definedName name="_Tot20983">#REF!</definedName>
    <definedName name="_Tot21233">#REF!</definedName>
    <definedName name="_Tot220">#REF!</definedName>
    <definedName name="_Tot221">#REF!</definedName>
    <definedName name="_Tot222">#REF!</definedName>
    <definedName name="_Tot229">#REF!</definedName>
    <definedName name="_Tot230">#REF!</definedName>
    <definedName name="_Tot232">#REF!</definedName>
    <definedName name="_Tot237">#REF!</definedName>
    <definedName name="_Tot238">#REF!</definedName>
    <definedName name="_Tot241">#REF!</definedName>
    <definedName name="_Tot242">#REF!</definedName>
    <definedName name="_Tot243">#REF!</definedName>
    <definedName name="_Tot244">#REF!</definedName>
    <definedName name="_tot245">#REF!</definedName>
    <definedName name="_tot253">#REF!</definedName>
    <definedName name="_Tot255">#REF!</definedName>
    <definedName name="_Tot257">#REF!</definedName>
    <definedName name="_Tot258">#REF!</definedName>
    <definedName name="_Tot259">#REF!</definedName>
    <definedName name="_Tot261">#REF!</definedName>
    <definedName name="_Tot262">#REF!</definedName>
    <definedName name="_Tot263">#REF!</definedName>
    <definedName name="_Tot265">#REF!</definedName>
    <definedName name="_Tot266">#REF!</definedName>
    <definedName name="_Tot30235">#REF!</definedName>
    <definedName name="_Tot30241">#REF!</definedName>
    <definedName name="_Tot30242">#REF!</definedName>
    <definedName name="_Tot30243">#REF!</definedName>
    <definedName name="_Tot30357">#REF!</definedName>
    <definedName name="_Tot30490">#REF!</definedName>
    <definedName name="_UAG99">#REF!</definedName>
    <definedName name="_User">#REF!</definedName>
    <definedName name="_WP234">#REF!</definedName>
    <definedName name="a">#REF!</definedName>
    <definedName name="A_Resid_Input">#REF!</definedName>
    <definedName name="A_Resid_Mrgins">#REF!</definedName>
    <definedName name="A10remlife">#REF!</definedName>
    <definedName name="A10stdlife">#REF!</definedName>
    <definedName name="A10taxremlife">#REF!</definedName>
    <definedName name="A10taxstdlife">#REF!</definedName>
    <definedName name="A10taxvalue">#REF!</definedName>
    <definedName name="A10value">#REF!</definedName>
    <definedName name="A11remlife">#REF!</definedName>
    <definedName name="A11stdlife">#REF!</definedName>
    <definedName name="A11taxremlife">#REF!</definedName>
    <definedName name="A11taxstdlife">#REF!</definedName>
    <definedName name="A11taxvalue">#REF!</definedName>
    <definedName name="A11value">#REF!</definedName>
    <definedName name="A12remlife">#REF!</definedName>
    <definedName name="A12stdlife">#REF!</definedName>
    <definedName name="A12taxremlife">#REF!</definedName>
    <definedName name="A12taxstdlife">#REF!</definedName>
    <definedName name="A12taxvalue">#REF!</definedName>
    <definedName name="A12value">#REF!</definedName>
    <definedName name="A13remlife">#REF!</definedName>
    <definedName name="A13stdlife">#REF!</definedName>
    <definedName name="A13taxremlife">#REF!</definedName>
    <definedName name="A13taxstdlife">#REF!</definedName>
    <definedName name="A13taxvalue">#REF!</definedName>
    <definedName name="A13value">#REF!</definedName>
    <definedName name="A14remlife">#REF!</definedName>
    <definedName name="A14stdlife">#REF!</definedName>
    <definedName name="A14taxremlife">#REF!</definedName>
    <definedName name="A14taxstdlife">#REF!</definedName>
    <definedName name="A14taxvalue">#REF!</definedName>
    <definedName name="A14value">#REF!</definedName>
    <definedName name="A15remlife">#REF!</definedName>
    <definedName name="A15stdlife">#REF!</definedName>
    <definedName name="A15taxremlife">#REF!</definedName>
    <definedName name="A15taxstdlife">#REF!</definedName>
    <definedName name="A15taxvalue">#REF!</definedName>
    <definedName name="A15value">#REF!</definedName>
    <definedName name="A16remlife">#REF!</definedName>
    <definedName name="A16stdlife">#REF!</definedName>
    <definedName name="A16taxremlife">#REF!</definedName>
    <definedName name="A16taxstdlife">#REF!</definedName>
    <definedName name="A16taxvalue">#REF!</definedName>
    <definedName name="A16value">#REF!</definedName>
    <definedName name="A17remlife">#REF!</definedName>
    <definedName name="A17stdlife">#REF!</definedName>
    <definedName name="A17taxremlife">#REF!</definedName>
    <definedName name="A17taxstdlife">#REF!</definedName>
    <definedName name="A17taxvalue">#REF!</definedName>
    <definedName name="A17value">#REF!</definedName>
    <definedName name="A18remlife">#REF!</definedName>
    <definedName name="A18stdlife">#REF!</definedName>
    <definedName name="A18taxremlife">#REF!</definedName>
    <definedName name="A18taxstdlife">#REF!</definedName>
    <definedName name="A18taxvalue">#REF!</definedName>
    <definedName name="A18value">#REF!</definedName>
    <definedName name="A19remlife">#REF!</definedName>
    <definedName name="A19stdlife">#REF!</definedName>
    <definedName name="A19taxremlife">#REF!</definedName>
    <definedName name="A19taxstdlife">#REF!</definedName>
    <definedName name="A19taxvalue">#REF!</definedName>
    <definedName name="A19value">#REF!</definedName>
    <definedName name="A1remlife">#REF!</definedName>
    <definedName name="A1stdlife">#REF!</definedName>
    <definedName name="A1taxremlife">#REF!</definedName>
    <definedName name="A1taxstdlife">#REF!</definedName>
    <definedName name="A1taxvalue">#REF!</definedName>
    <definedName name="A1value">#REF!</definedName>
    <definedName name="A20remlife">#REF!</definedName>
    <definedName name="A20stdlife">#REF!</definedName>
    <definedName name="A20taxremlife">#REF!</definedName>
    <definedName name="A20taxstdlife">#REF!</definedName>
    <definedName name="A20taxvalue">#REF!</definedName>
    <definedName name="A20value">#REF!</definedName>
    <definedName name="A21remlife">#REF!</definedName>
    <definedName name="A21stdlife">#REF!</definedName>
    <definedName name="A21taxremlife">#REF!</definedName>
    <definedName name="A21taxstdlife">#REF!</definedName>
    <definedName name="A21taxvalue">#REF!</definedName>
    <definedName name="A21value">#REF!</definedName>
    <definedName name="A22remlife">#REF!</definedName>
    <definedName name="A22stdlife">#REF!</definedName>
    <definedName name="A22taxremlife">#REF!</definedName>
    <definedName name="A22taxstdlife">#REF!</definedName>
    <definedName name="A22taxvalue">#REF!</definedName>
    <definedName name="A22value">#REF!</definedName>
    <definedName name="A2325806K">#REF!,#REF!</definedName>
    <definedName name="A2325806K_Data">#REF!</definedName>
    <definedName name="A2325806K_Latest">#REF!</definedName>
    <definedName name="A2325807L">#REF!,#REF!</definedName>
    <definedName name="A2325807L_Data">#REF!</definedName>
    <definedName name="A2325807L_Latest">#REF!</definedName>
    <definedName name="A2325810A">#REF!,#REF!</definedName>
    <definedName name="A2325810A_Data">#REF!</definedName>
    <definedName name="A2325810A_Latest">#REF!</definedName>
    <definedName name="A2325811C">#REF!,#REF!</definedName>
    <definedName name="A2325811C_Data">#REF!</definedName>
    <definedName name="A2325811C_Latest">#REF!</definedName>
    <definedName name="A2325812F">#REF!,#REF!</definedName>
    <definedName name="A2325812F_Data">#REF!</definedName>
    <definedName name="A2325812F_Latest">#REF!</definedName>
    <definedName name="A2325815L">#REF!,#REF!</definedName>
    <definedName name="A2325815L_Data">#REF!</definedName>
    <definedName name="A2325815L_Latest">#REF!</definedName>
    <definedName name="A2325816R">#REF!,#REF!</definedName>
    <definedName name="A2325816R_Data">#REF!</definedName>
    <definedName name="A2325816R_Latest">#REF!</definedName>
    <definedName name="A2325817T">#REF!,#REF!</definedName>
    <definedName name="A2325817T_Data">#REF!</definedName>
    <definedName name="A2325817T_Latest">#REF!</definedName>
    <definedName name="A2325820F">#REF!,#REF!</definedName>
    <definedName name="A2325820F_Data">#REF!</definedName>
    <definedName name="A2325820F_Latest">#REF!</definedName>
    <definedName name="A2325821J">#REF!,#REF!</definedName>
    <definedName name="A2325821J_Data">#REF!</definedName>
    <definedName name="A2325821J_Latest">#REF!</definedName>
    <definedName name="A2325822K">#REF!,#REF!</definedName>
    <definedName name="A2325822K_Data">#REF!</definedName>
    <definedName name="A2325822K_Latest">#REF!</definedName>
    <definedName name="A2325825T">#REF!,#REF!</definedName>
    <definedName name="A2325825T_Data">#REF!</definedName>
    <definedName name="A2325825T_Latest">#REF!</definedName>
    <definedName name="A2325826V">#REF!,#REF!</definedName>
    <definedName name="A2325826V_Data">#REF!</definedName>
    <definedName name="A2325826V_Latest">#REF!</definedName>
    <definedName name="A2325827W">#REF!,#REF!</definedName>
    <definedName name="A2325827W_Data">#REF!</definedName>
    <definedName name="A2325827W_Latest">#REF!</definedName>
    <definedName name="A2325830K">#REF!,#REF!</definedName>
    <definedName name="A2325830K_Data">#REF!</definedName>
    <definedName name="A2325830K_Latest">#REF!</definedName>
    <definedName name="A2325831L">#REF!,#REF!</definedName>
    <definedName name="A2325831L_Data">#REF!</definedName>
    <definedName name="A2325831L_Latest">#REF!</definedName>
    <definedName name="A2325832R">#REF!,#REF!</definedName>
    <definedName name="A2325832R_Data">#REF!</definedName>
    <definedName name="A2325832R_Latest">#REF!</definedName>
    <definedName name="A2325835W">#REF!,#REF!</definedName>
    <definedName name="A2325835W_Data">#REF!</definedName>
    <definedName name="A2325835W_Latest">#REF!</definedName>
    <definedName name="A2325836X">#REF!,#REF!</definedName>
    <definedName name="A2325836X_Data">#REF!</definedName>
    <definedName name="A2325836X_Latest">#REF!</definedName>
    <definedName name="A2325837A">#REF!,#REF!</definedName>
    <definedName name="A2325837A_Data">#REF!</definedName>
    <definedName name="A2325837A_Latest">#REF!</definedName>
    <definedName name="A2325840R">#REF!,#REF!</definedName>
    <definedName name="A2325840R_Data">#REF!</definedName>
    <definedName name="A2325840R_Latest">#REF!</definedName>
    <definedName name="A2325841T">#REF!,#REF!</definedName>
    <definedName name="A2325841T_Data">#REF!</definedName>
    <definedName name="A2325841T_Latest">#REF!</definedName>
    <definedName name="A2325842V">#REF!,#REF!</definedName>
    <definedName name="A2325842V_Data">#REF!</definedName>
    <definedName name="A2325842V_Latest">#REF!</definedName>
    <definedName name="A2325845A">#REF!,#REF!</definedName>
    <definedName name="A2325845A_Data">#REF!</definedName>
    <definedName name="A2325845A_Latest">#REF!</definedName>
    <definedName name="A2325846C">#REF!,#REF!</definedName>
    <definedName name="A2325846C_Data">#REF!</definedName>
    <definedName name="A2325846C_Latest">#REF!</definedName>
    <definedName name="A2325847F">#REF!,#REF!</definedName>
    <definedName name="A2325847F_Data">#REF!</definedName>
    <definedName name="A2325847F_Latest">#REF!</definedName>
    <definedName name="A2325850V">#REF!,#REF!</definedName>
    <definedName name="A2325850V_Data">#REF!</definedName>
    <definedName name="A2325850V_Latest">#REF!</definedName>
    <definedName name="A2325891R">#REF!,#REF!</definedName>
    <definedName name="A2325892T">#REF!,#REF!</definedName>
    <definedName name="A2325895X">#REF!,#REF!</definedName>
    <definedName name="A2325936J">#REF!,#REF!</definedName>
    <definedName name="A2325937K">#REF!,#REF!</definedName>
    <definedName name="A2325940X">#REF!,#REF!</definedName>
    <definedName name="A2325981V">#REF!,#REF!</definedName>
    <definedName name="A2325982W">#REF!,#REF!</definedName>
    <definedName name="A2325985C">#REF!,#REF!</definedName>
    <definedName name="A2326026R">#REF!,#REF!</definedName>
    <definedName name="A2326027T">#REF!,#REF!</definedName>
    <definedName name="A2326030F">#REF!,#REF!</definedName>
    <definedName name="A2326071A">#REF!,#REF!</definedName>
    <definedName name="A2326072C">#REF!,#REF!</definedName>
    <definedName name="A2326075K">#REF!,#REF!</definedName>
    <definedName name="A2326116V">#REF!,#REF!</definedName>
    <definedName name="A2326117W">#REF!,#REF!</definedName>
    <definedName name="A2326120K">#REF!,#REF!</definedName>
    <definedName name="A2331111C">#REF!,#REF!</definedName>
    <definedName name="A2331112F">#REF!,#REF!</definedName>
    <definedName name="A2331115L">#REF!,#REF!</definedName>
    <definedName name="A2331201J">#REF!,#REF!</definedName>
    <definedName name="A2331202K">#REF!,#REF!</definedName>
    <definedName name="A2331205T">#REF!,#REF!</definedName>
    <definedName name="A2331246L">#REF!,#REF!</definedName>
    <definedName name="A2331247R">#REF!,#REF!</definedName>
    <definedName name="A2331250C">#REF!,#REF!</definedName>
    <definedName name="A2331426W">#REF!,#REF!</definedName>
    <definedName name="A2331427X">#REF!,#REF!</definedName>
    <definedName name="A2331430L">#REF!,#REF!</definedName>
    <definedName name="A2332596F">#REF!,#REF!</definedName>
    <definedName name="A2332597J">#REF!,#REF!</definedName>
    <definedName name="A2332600K">#REF!,#REF!</definedName>
    <definedName name="A23remlife">#REF!</definedName>
    <definedName name="A23stdlife">#REF!</definedName>
    <definedName name="A23taxremlife">#REF!</definedName>
    <definedName name="A23taxstdlife">#REF!</definedName>
    <definedName name="A23taxvalue">#REF!</definedName>
    <definedName name="A23value">#REF!</definedName>
    <definedName name="A24remlife">#REF!</definedName>
    <definedName name="A24stdlife">#REF!</definedName>
    <definedName name="A24taxremlife">#REF!</definedName>
    <definedName name="A24taxstdlife">#REF!</definedName>
    <definedName name="A24taxvalue">#REF!</definedName>
    <definedName name="A24value">#REF!</definedName>
    <definedName name="A25remlife">#REF!</definedName>
    <definedName name="A25stdlife">#REF!</definedName>
    <definedName name="A25taxremlife">#REF!</definedName>
    <definedName name="A25taxstdlife">#REF!</definedName>
    <definedName name="A25taxvalue">#REF!</definedName>
    <definedName name="A25value">#REF!</definedName>
    <definedName name="A26remlife">#REF!</definedName>
    <definedName name="A26stdlife">#REF!</definedName>
    <definedName name="A26taxremlife">#REF!</definedName>
    <definedName name="A26taxstdlife">#REF!</definedName>
    <definedName name="A26taxvalue">#REF!</definedName>
    <definedName name="A26value">#REF!</definedName>
    <definedName name="A27remlife">#REF!</definedName>
    <definedName name="A27stdlife">#REF!</definedName>
    <definedName name="A27taxremlife">#REF!</definedName>
    <definedName name="A27taxstdlife">#REF!</definedName>
    <definedName name="A27taxvalue">#REF!</definedName>
    <definedName name="A27value">#REF!</definedName>
    <definedName name="A28remlife">#REF!</definedName>
    <definedName name="A28stdlife">#REF!</definedName>
    <definedName name="A28taxremlife">#REF!</definedName>
    <definedName name="A28taxstdlife">#REF!</definedName>
    <definedName name="A28taxvalue">#REF!</definedName>
    <definedName name="A28value">#REF!</definedName>
    <definedName name="A29remlife">#REF!</definedName>
    <definedName name="A29stdlife">#REF!</definedName>
    <definedName name="A29taxremlife">#REF!</definedName>
    <definedName name="A29taxstdlife">#REF!</definedName>
    <definedName name="A29taxvalue">#REF!</definedName>
    <definedName name="A29value">#REF!</definedName>
    <definedName name="A2remlife">#REF!</definedName>
    <definedName name="A2stdlife">#REF!</definedName>
    <definedName name="A2taxremlife">#REF!</definedName>
    <definedName name="A2taxstdlife">#REF!</definedName>
    <definedName name="A2taxvalue">#REF!</definedName>
    <definedName name="A2value">#REF!</definedName>
    <definedName name="A30remlife">#REF!</definedName>
    <definedName name="A30stdlife">#REF!</definedName>
    <definedName name="A30taxremlife">#REF!</definedName>
    <definedName name="A30taxstdlife">#REF!</definedName>
    <definedName name="A30taxvalue">#REF!</definedName>
    <definedName name="A30value">#REF!</definedName>
    <definedName name="A3remlife">#REF!</definedName>
    <definedName name="A3stdlife">#REF!</definedName>
    <definedName name="A3taxremlife">#REF!</definedName>
    <definedName name="A3taxstdlife">#REF!</definedName>
    <definedName name="A3taxvalue">#REF!</definedName>
    <definedName name="A3value">#REF!</definedName>
    <definedName name="A4remlife">#REF!</definedName>
    <definedName name="A4stdlife">#REF!</definedName>
    <definedName name="A4taxremlife">#REF!</definedName>
    <definedName name="A4taxstdlife">#REF!</definedName>
    <definedName name="A4taxvalue">#REF!</definedName>
    <definedName name="A4value">#REF!</definedName>
    <definedName name="A5remlife">#REF!</definedName>
    <definedName name="A5stdlife">#REF!</definedName>
    <definedName name="A5taxremlife">#REF!</definedName>
    <definedName name="A5taxstdlife">#REF!</definedName>
    <definedName name="A5taxvalue">#REF!</definedName>
    <definedName name="A5value">#REF!</definedName>
    <definedName name="A6remlife">#REF!</definedName>
    <definedName name="A6stdlife">#REF!</definedName>
    <definedName name="A6taxremlife">#REF!</definedName>
    <definedName name="A6taxstdlife">#REF!</definedName>
    <definedName name="A6taxvalue">#REF!</definedName>
    <definedName name="A6value">#REF!</definedName>
    <definedName name="A7remlife">#REF!</definedName>
    <definedName name="A7stdlife">#REF!</definedName>
    <definedName name="A7taxremlife">#REF!</definedName>
    <definedName name="A7taxstdlife">#REF!</definedName>
    <definedName name="A7taxvalue">#REF!</definedName>
    <definedName name="A7value">#REF!</definedName>
    <definedName name="A8remlife">#REF!</definedName>
    <definedName name="A8stdlife">#REF!</definedName>
    <definedName name="A8taxremlife">#REF!</definedName>
    <definedName name="A8taxstdlife">#REF!</definedName>
    <definedName name="A8taxvalue">#REF!</definedName>
    <definedName name="A8value">#REF!</definedName>
    <definedName name="A9remlife">#REF!</definedName>
    <definedName name="A9stdlife">#REF!</definedName>
    <definedName name="A9taxremlife">#REF!</definedName>
    <definedName name="A9taxstdlife">#REF!</definedName>
    <definedName name="A9taxvalue">#REF!</definedName>
    <definedName name="A9value">#REF!</definedName>
    <definedName name="aa">#REF!</definedName>
    <definedName name="AAabove_tbl">#REF!</definedName>
    <definedName name="AB">INDEX(INDIRECT(CountryShortCode&amp;"Codes"),MATCH(Item,INDIRECT(CountryShortCode&amp;"Desc"),0))</definedName>
    <definedName name="ABN">Cover!$C$19</definedName>
    <definedName name="acc_prepay">#REF!</definedName>
    <definedName name="ACCAUST">#REF!</definedName>
    <definedName name="ACCC_CAPMLookupValue">#REF!</definedName>
    <definedName name="ACCC_ColIndexNum">#REF!</definedName>
    <definedName name="ACCC_CumActInflIndex">#REF!</definedName>
    <definedName name="ACCC_DebtValue">#REF!</definedName>
    <definedName name="ACCC_EquityValue">#REF!</definedName>
    <definedName name="ACCC_InflationRate">#REF!</definedName>
    <definedName name="ACCC_NominalVanillaWACC">#REF!</definedName>
    <definedName name="ACCC_PerfBonus1">#REF!</definedName>
    <definedName name="ACCC_PerfBonus2">#REF!</definedName>
    <definedName name="ACCC_PerfBonus3">#REF!</definedName>
    <definedName name="ACCC_PerfSens">#REF!</definedName>
    <definedName name="ACCC_PostTaxNominalReturnOnEquity">#REF!</definedName>
    <definedName name="ACCC_RAB">#REF!</definedName>
    <definedName name="Account_Manager">#REF!</definedName>
    <definedName name="ACCOUNTEDPERIODTYPE1">#REF!</definedName>
    <definedName name="ACCOUNTING">#REF!</definedName>
    <definedName name="Acct_Names">#REF!</definedName>
    <definedName name="AcctCodes">#REF!</definedName>
    <definedName name="AcctngDist">#REF!</definedName>
    <definedName name="Acquisition_NCA">#REF!</definedName>
    <definedName name="Act_LPGD">#REF!</definedName>
    <definedName name="ACTDEC09">#REF!</definedName>
    <definedName name="ActFinClose">#REF!</definedName>
    <definedName name="ACTIVITY">#REF!</definedName>
    <definedName name="activityview">#REF!</definedName>
    <definedName name="ActOTDAMDStartDate">#REF!</definedName>
    <definedName name="ACTPRICE">#REF!</definedName>
    <definedName name="ActTaxDepn">#REF!</definedName>
    <definedName name="Actual___by_month">#REF!</definedName>
    <definedName name="Actual___Year_to_date">#REF!</definedName>
    <definedName name="Actual_CBIT98">#REF!</definedName>
    <definedName name="ACTUAL_PRICE">#REF!</definedName>
    <definedName name="ACTUAL_REVENUE">#REF!</definedName>
    <definedName name="ACTUAL_TRANSPORT1">#REF!</definedName>
    <definedName name="ACTUAL_TRANSPORT2">#REF!</definedName>
    <definedName name="ACTUAL_YTDMIL">#REF!</definedName>
    <definedName name="ACTUAL_YTDTJ">#REF!</definedName>
    <definedName name="ActualCBIT">#REF!</definedName>
    <definedName name="Actuals">#REF!</definedName>
    <definedName name="Additional_MDQ">#REF!</definedName>
    <definedName name="AdditionalOM">#REF!</definedName>
    <definedName name="AdditionalOMDate">#REF!</definedName>
    <definedName name="Adelaide_Postcodes_Table">#REF!</definedName>
    <definedName name="AdelFixedAA_tbl">#REF!</definedName>
    <definedName name="AdelVarAA_tbl">#REF!</definedName>
    <definedName name="Adjustment">#REF!</definedName>
    <definedName name="adsc">#REF!</definedName>
    <definedName name="ADSWAPCount">#REF!</definedName>
    <definedName name="AEP">#REF!</definedName>
    <definedName name="afdvwrt">#REF!</definedName>
    <definedName name="AgencyFeePaymentMonths">#REF!</definedName>
    <definedName name="AGL_GAS_NETWORKS">"YTD-ACTUAL99"</definedName>
    <definedName name="AGLEIntProfit">#REF!</definedName>
    <definedName name="Agreed_Fees_Actual___by_month">#REF!</definedName>
    <definedName name="Agreed_Fees_Actual___Year_to_date">#REF!</definedName>
    <definedName name="Agreed_Fees_Budget___by_month">#REF!</definedName>
    <definedName name="Agreed_Fees_Budget___Year_to_date">#REF!</definedName>
    <definedName name="Agreed_Fees_Prior_Year___2000_2001____by_month">#REF!</definedName>
    <definedName name="Agreed_Fees_Prior_Year___2000_2001____Year_to_date">#REF!</definedName>
    <definedName name="Albury_April">#REF!</definedName>
    <definedName name="Albury_August">#REF!</definedName>
    <definedName name="Albury_December">#REF!</definedName>
    <definedName name="Albury_February">#REF!</definedName>
    <definedName name="Albury_January">#REF!</definedName>
    <definedName name="Albury_July">#REF!</definedName>
    <definedName name="Albury_June">#REF!</definedName>
    <definedName name="Albury_March">#REF!</definedName>
    <definedName name="Albury_May">#REF!</definedName>
    <definedName name="Albury_November">#REF!</definedName>
    <definedName name="Albury_October">#REF!</definedName>
    <definedName name="Albury_September">#REF!</definedName>
    <definedName name="ALFG">#REF!,#REF!</definedName>
    <definedName name="Allc">#REF!</definedName>
    <definedName name="Allco">#REF!</definedName>
    <definedName name="Alloc">#REF!</definedName>
    <definedName name="am">#REF!</definedName>
    <definedName name="amadeuscons">#REF!</definedName>
    <definedName name="amadeusdetailed">#REF!</definedName>
    <definedName name="AMADEUSSUMMARY">#REF!</definedName>
    <definedName name="Amcor">#REF!</definedName>
    <definedName name="AMDQ">#REF!</definedName>
    <definedName name="AMT">#REF!</definedName>
    <definedName name="AnalysisCommencementDate">#REF!</definedName>
    <definedName name="AnalysisFirstRegularDate">#REF!</definedName>
    <definedName name="AnalysisNoOfPayments">#REF!</definedName>
    <definedName name="AnalysisPaymentFrequency">#REF!</definedName>
    <definedName name="Ann">#REF!</definedName>
    <definedName name="AnnOverheadCosts">#REF!</definedName>
    <definedName name="Annual_Load">#REF!</definedName>
    <definedName name="ANP2_Holding">#REF!</definedName>
    <definedName name="ANP3_Holding">#REF!</definedName>
    <definedName name="ANZISDevFee">#REF!</definedName>
    <definedName name="AOS_1">#REF!</definedName>
    <definedName name="AOS_2">#REF!</definedName>
    <definedName name="AP">OFFSET(CalculatedDatesHeading,2,0,_pdNoOfPayments+1,1)</definedName>
    <definedName name="APA_op_savings">#REF!</definedName>
    <definedName name="APA_Performance_Factor">#REF!</definedName>
    <definedName name="APARefundIndicator">#REF!</definedName>
    <definedName name="APARefundNonAPAPerc">#REF!</definedName>
    <definedName name="APARefundofPurchasePrice">#REF!</definedName>
    <definedName name="APAShare">#REF!</definedName>
    <definedName name="APBriCY">OFFSET(#REF!,,#REF!-24,,24)</definedName>
    <definedName name="APBriMAT">OFFSET(#REF!,,#REF!-24,,24)</definedName>
    <definedName name="APBriPY">OFFSET(#REF!,,#REF!-24,,12)</definedName>
    <definedName name="APN">#REF!</definedName>
    <definedName name="APOakCY">OFFSET(#REF!,,#REF!-24,,24)</definedName>
    <definedName name="APOakMAT">OFFSET(#REF!,,#REF!-24,,24)</definedName>
    <definedName name="APOakPY">OFFSET(#REF!,,#REF!-24,,12)</definedName>
    <definedName name="Approvals">#REF!</definedName>
    <definedName name="APPSUSERNAME1">#REF!</definedName>
    <definedName name="APQldCY">OFFSET(#REF!,,#REF!-24,,24)</definedName>
    <definedName name="APQldMAT">OFFSET(#REF!,,#REF!-24,,24)</definedName>
    <definedName name="APQldPY">OFFSET(#REF!,,#REF!-24,,12)</definedName>
    <definedName name="Apr">#REF!</definedName>
    <definedName name="APR09SPEND">#REF!</definedName>
    <definedName name="APRivCY">OFFSET(#REF!,,#REF!-24,,24)</definedName>
    <definedName name="APRivMAT">OFFSET(#REF!,,#REF!-24,,24)</definedName>
    <definedName name="APRivPY">OFFSET(#REF!,,#REF!-24,,12)</definedName>
    <definedName name="APTIT_Profit">#REF!</definedName>
    <definedName name="APTooCY">OFFSET(#REF!,,#REF!-24,,24)</definedName>
    <definedName name="APTooMAT">OFFSET(#REF!,,#REF!-24,,24)</definedName>
    <definedName name="APTooPY">OFFSET(#REF!,,#REF!-24,,12)</definedName>
    <definedName name="APXAXIS">OFFSET(#REF!,,#REF!-24,,24)</definedName>
    <definedName name="arb">#REF!</definedName>
    <definedName name="Area">#REF!</definedName>
    <definedName name="AS2DocOpenMode" hidden="1">"AS2DocumentEdit"</definedName>
    <definedName name="ASD">#REF!</definedName>
    <definedName name="asdads">#REF!</definedName>
    <definedName name="asdc">#REF!</definedName>
    <definedName name="asdcasd">#REF!</definedName>
    <definedName name="Asset_Code_WA">#REF!</definedName>
    <definedName name="Asset_Life">#REF!</definedName>
    <definedName name="Asset1">#REF!</definedName>
    <definedName name="Asset10">#REF!</definedName>
    <definedName name="Asset10Life">#REF!</definedName>
    <definedName name="Asset10TaxLife">#REF!</definedName>
    <definedName name="Asset11">#REF!</definedName>
    <definedName name="Asset12">#REF!</definedName>
    <definedName name="Asset13">#REF!</definedName>
    <definedName name="Asset14">#REF!</definedName>
    <definedName name="Asset15">#REF!</definedName>
    <definedName name="Asset16">#REF!</definedName>
    <definedName name="Asset17">#REF!</definedName>
    <definedName name="Asset18">#REF!</definedName>
    <definedName name="Asset19">#REF!</definedName>
    <definedName name="Asset1Life">#REF!</definedName>
    <definedName name="Asset1TaxLife">#REF!</definedName>
    <definedName name="Asset2">#REF!</definedName>
    <definedName name="Asset20">#REF!</definedName>
    <definedName name="Asset21">#REF!</definedName>
    <definedName name="Asset22">#REF!</definedName>
    <definedName name="Asset23">#REF!</definedName>
    <definedName name="Asset24">#REF!</definedName>
    <definedName name="Asset25">#REF!</definedName>
    <definedName name="Asset26">#REF!</definedName>
    <definedName name="Asset27">#REF!</definedName>
    <definedName name="Asset28">#REF!</definedName>
    <definedName name="Asset29">#REF!</definedName>
    <definedName name="Asset2Life">#REF!</definedName>
    <definedName name="Asset2TaxLife">#REF!</definedName>
    <definedName name="Asset3">#REF!</definedName>
    <definedName name="Asset30">#REF!</definedName>
    <definedName name="Asset3Life">#REF!</definedName>
    <definedName name="Asset3TaxLife">#REF!</definedName>
    <definedName name="Asset4">#REF!</definedName>
    <definedName name="Asset4Life">#REF!</definedName>
    <definedName name="Asset4TaxLife">#REF!</definedName>
    <definedName name="Asset5">#REF!</definedName>
    <definedName name="Asset5Life">#REF!</definedName>
    <definedName name="Asset5TaxLife">#REF!</definedName>
    <definedName name="Asset6">#REF!</definedName>
    <definedName name="Asset6Life">#REF!</definedName>
    <definedName name="Asset6TaxLife">#REF!</definedName>
    <definedName name="Asset7">#REF!</definedName>
    <definedName name="Asset7Life">#REF!</definedName>
    <definedName name="Asset7TaxLife">#REF!</definedName>
    <definedName name="Asset8">#REF!</definedName>
    <definedName name="Asset8Life">#REF!</definedName>
    <definedName name="Asset8TaxLife">#REF!</definedName>
    <definedName name="Asset9">#REF!</definedName>
    <definedName name="Asset9Life">#REF!</definedName>
    <definedName name="Asset9TaxLife">#REF!</definedName>
    <definedName name="Assumed_MDQ_MAP">#REF!</definedName>
    <definedName name="Assumed_MDQ_SE">#REF!</definedName>
    <definedName name="Aug">#REF!</definedName>
    <definedName name="AUG08SPEND">#REF!</definedName>
    <definedName name="augvar">#REF!,#REF!,#REF!,#REF!,#REF!,#REF!,#REF!,#REF!,#REF!,#REF!,#REF!,#REF!,#REF!,#REF!,#REF!,#REF!,#REF!,#REF!,#REF!,#REF!,#REF!</definedName>
    <definedName name="AUSTDIVS">#REF!</definedName>
    <definedName name="Austicks">#REF!</definedName>
    <definedName name="AustralBricks">#REF!</definedName>
    <definedName name="AustralianFarmCorporation">#REF!</definedName>
    <definedName name="AustralianMeatHoldings">#REF!</definedName>
    <definedName name="AUTable">#REF!</definedName>
    <definedName name="Author">#REF!</definedName>
    <definedName name="Avail4SaleMTM_B002">#REF!</definedName>
    <definedName name="Avail4SaleMTM_B003">#REF!</definedName>
    <definedName name="b">#REF!</definedName>
    <definedName name="B002_BH_Equity">#REF!</definedName>
    <definedName name="B002_BH_Units">#REF!</definedName>
    <definedName name="B003_DebtMTM">#REF!</definedName>
    <definedName name="B003_FECMTM">#REF!</definedName>
    <definedName name="balancesheet">#REF!</definedName>
    <definedName name="Balancing_Margin">#REF!</definedName>
    <definedName name="BAPAYR">#REF!</definedName>
    <definedName name="BaseDeal">1000000</definedName>
    <definedName name="BaseSwapRateInput">#REF!</definedName>
    <definedName name="bb">#REF!</definedName>
    <definedName name="BBSW3M">#REF!</definedName>
    <definedName name="BBSW6M">#REF!</definedName>
    <definedName name="BBSY">#REF!</definedName>
    <definedName name="BBSY1M">#REF!</definedName>
    <definedName name="BBSY3M">#REF!</definedName>
    <definedName name="BBSY3MAllco">#REF!</definedName>
    <definedName name="BBSY6M">#REF!</definedName>
    <definedName name="BCCToowong">#REF!</definedName>
    <definedName name="Bcost_B003">#REF!</definedName>
    <definedName name="BCost_B014">#REF!</definedName>
    <definedName name="BCost_B094">#REF!</definedName>
    <definedName name="BCost_Total">#REF!</definedName>
    <definedName name="Be">#REF!</definedName>
    <definedName name="BEL">#REF!</definedName>
    <definedName name="BEP">#REF!</definedName>
    <definedName name="BH">#REF!</definedName>
    <definedName name="BHole_B003">#REF!</definedName>
    <definedName name="BHole_B007">#REF!</definedName>
    <definedName name="BHole_B009">#REF!</definedName>
    <definedName name="BHole_B010">#REF!</definedName>
    <definedName name="BHole_B014">#REF!</definedName>
    <definedName name="BHole_B022">#REF!</definedName>
    <definedName name="BHole_B028">#REF!</definedName>
    <definedName name="BHole_B036">#REF!</definedName>
    <definedName name="BHole_B047">#REF!</definedName>
    <definedName name="BHole_B055">#REF!</definedName>
    <definedName name="BHole_B082">#REF!</definedName>
    <definedName name="BHole_B094">#REF!</definedName>
    <definedName name="BHole_B121">#REF!</definedName>
    <definedName name="BHole_B122">#REF!</definedName>
    <definedName name="BHole_B124">#REF!</definedName>
    <definedName name="BHole_B135">#REF!</definedName>
    <definedName name="BHole_B136">#REF!</definedName>
    <definedName name="BHole_B151">#REF!</definedName>
    <definedName name="BHole_B152">#REF!</definedName>
    <definedName name="BHole_B159">#REF!</definedName>
    <definedName name="BHole_B162">#REF!</definedName>
    <definedName name="BHole_Equity">#REF!</definedName>
    <definedName name="BHole_Units">#REF!</definedName>
    <definedName name="Bill">#REF!</definedName>
    <definedName name="Bill_Start">#REF!</definedName>
    <definedName name="Billed_Margin">#REF!</definedName>
    <definedName name="Billion">#REF!</definedName>
    <definedName name="Billions">#REF!</definedName>
    <definedName name="BkPymtDate">#REF!</definedName>
    <definedName name="BLUE">#REF!</definedName>
    <definedName name="BonaparteAdditionalCapex2008">#REF!</definedName>
    <definedName name="BonaparteAdditionalDrawdownDate">#REF!</definedName>
    <definedName name="BonaparteAdditionalOpex2008">#REF!</definedName>
    <definedName name="BonaparteCapexBookDepnRate">#REF!</definedName>
    <definedName name="BonaparteCapexFacAmtExclInt">#REF!</definedName>
    <definedName name="BonaparteCapexSens">#REF!</definedName>
    <definedName name="BonaparteContractEnd">#REF!</definedName>
    <definedName name="BonaparteContractEndDate">#REF!</definedName>
    <definedName name="BonaparteEndDateFlag">#REF!</definedName>
    <definedName name="BonaparteNLCOptionDate">#REF!</definedName>
    <definedName name="BonaparteOMMargin">#REF!</definedName>
    <definedName name="BonaparteOpexContingency">#REF!</definedName>
    <definedName name="BonaparteOpexSens">#REF!</definedName>
    <definedName name="BonaparteOpsFlag">#REF!</definedName>
    <definedName name="BonaparteOptionSolveIndicator">#REF!</definedName>
    <definedName name="BonaparteRealYrlyRevenue">#REF!</definedName>
    <definedName name="BonaparteRevPerc">#REF!</definedName>
    <definedName name="BonaparteRevPostContract">#REF!</definedName>
    <definedName name="BonaparteRevPostContractEndDate">#REF!</definedName>
    <definedName name="BonaparteRevSens">#REF!</definedName>
    <definedName name="BonaparteStartOps">#REF!</definedName>
    <definedName name="Bookedgas">#REF!</definedName>
    <definedName name="BP_1">#REF!</definedName>
    <definedName name="BP_2">#REF!</definedName>
    <definedName name="BP_StandBy">#REF!</definedName>
    <definedName name="brad1">#REF!</definedName>
    <definedName name="brad10">#REF!</definedName>
    <definedName name="brad11">#REF!</definedName>
    <definedName name="brad12">#REF!</definedName>
    <definedName name="brad2">#REF!</definedName>
    <definedName name="brad3">#REF!</definedName>
    <definedName name="brad4">#REF!</definedName>
    <definedName name="brad5">#REF!</definedName>
    <definedName name="brad6">#REF!</definedName>
    <definedName name="brad7">#REF!</definedName>
    <definedName name="brad8">#REF!</definedName>
    <definedName name="brad9">#REF!</definedName>
    <definedName name="Brisbane">#REF!</definedName>
    <definedName name="Brisbane_cost">#REF!</definedName>
    <definedName name="BrisbaneCityCouncil">#REF!</definedName>
    <definedName name="BrisStep1">#REF!</definedName>
    <definedName name="BrisStep2">#REF!</definedName>
    <definedName name="BrisStep3">#REF!</definedName>
    <definedName name="BrisStep4">#REF!</definedName>
    <definedName name="BrisStep5">#REF!</definedName>
    <definedName name="BrisStep6">#REF!</definedName>
    <definedName name="BS">#REF!</definedName>
    <definedName name="BS_RepItems">#REF!</definedName>
    <definedName name="bssumm">#REF!</definedName>
    <definedName name="BTARIFF_BUD99">#REF!</definedName>
    <definedName name="Bud_catergory">#REF!</definedName>
    <definedName name="BUD_PRICE">#REF!</definedName>
    <definedName name="BUD_RECEIPTS">#REF!</definedName>
    <definedName name="BUD_YTDMIL">#REF!</definedName>
    <definedName name="BUD_YTDTJ">#REF!</definedName>
    <definedName name="BUD_YTTJ">#REF!</definedName>
    <definedName name="Budget">#REF!</definedName>
    <definedName name="Budget___by_month">#REF!</definedName>
    <definedName name="Budget___Year_to_date">#REF!</definedName>
    <definedName name="BUDGET_TRANSPORT1">#REF!</definedName>
    <definedName name="BUDGET_TRANSPORT2">#REF!</definedName>
    <definedName name="budget_variance9900">#REF!</definedName>
    <definedName name="BudgetCBIT">#REF!</definedName>
    <definedName name="BudgetCurrencyCode1">#REF!</definedName>
    <definedName name="BudgetName1">#REF!</definedName>
    <definedName name="BudgetOrg1">#REF!</definedName>
    <definedName name="BUDSTAT">#REF!</definedName>
    <definedName name="BUDVARTJ">#REF!</definedName>
    <definedName name="Bundaberg">#REF!</definedName>
    <definedName name="Bundaberg_Cost">#REF!</definedName>
    <definedName name="Bundled_Fixed_Allocation">#REF!</definedName>
    <definedName name="Bundled_Uplift">#REF!</definedName>
    <definedName name="business99">#REF!</definedName>
    <definedName name="BWIZS">#REF!</definedName>
    <definedName name="BWIZS2">#REF!</definedName>
    <definedName name="BWMLP">#REF!</definedName>
    <definedName name="C_">#REF!</definedName>
    <definedName name="C_unit">#REF!</definedName>
    <definedName name="CADEOMSPOT">#REF!</definedName>
    <definedName name="Cairns">#REF!</definedName>
    <definedName name="Cairns_Cost">#REF!</definedName>
    <definedName name="CalculatedDatesHeading">#REF!</definedName>
    <definedName name="CAMS_equity">#REF!</definedName>
    <definedName name="CAMS_equity1">#REF!</definedName>
    <definedName name="Cap_June">#REF!</definedName>
    <definedName name="CAPACT_98">#REF!</definedName>
    <definedName name="CAPACT98">#REF!</definedName>
    <definedName name="CAPACT99">#REF!</definedName>
    <definedName name="CAPBUD99">#REF!</definedName>
    <definedName name="capex">#REF!,#REF!</definedName>
    <definedName name="capex_proj">#REF!</definedName>
    <definedName name="capex_types">#REF!</definedName>
    <definedName name="CapexDepn">#REF!</definedName>
    <definedName name="CapexSensitivityInd">#REF!</definedName>
    <definedName name="CapexSensitivityTable">#REF!</definedName>
    <definedName name="Capital_Category">#REF!</definedName>
    <definedName name="CAPITAL_EXPENDITURE">#REF!</definedName>
    <definedName name="CAPITALMAY09">#REF!</definedName>
    <definedName name="Capral">#REF!</definedName>
    <definedName name="CAPVAR99">#REF!</definedName>
    <definedName name="CARPDETAILED">#REF!</definedName>
    <definedName name="carpsumm">#REF!</definedName>
    <definedName name="CashAccrualIndicator">#REF!</definedName>
    <definedName name="CashAcctIndicator">#REF!</definedName>
    <definedName name="CashAcctOpen">#REF!</definedName>
    <definedName name="CASHBOOK">#REF!</definedName>
    <definedName name="CastlemainePerkins">#REF!</definedName>
    <definedName name="Category">#REF!</definedName>
    <definedName name="CBIT99">#REF!</definedName>
    <definedName name="cBoard">1</definedName>
    <definedName name="Charge">#REF!</definedName>
    <definedName name="CHART">#REF!</definedName>
    <definedName name="CHARTOFACCOUNTSID1">#REF!</definedName>
    <definedName name="CHQREQ">#REF!</definedName>
    <definedName name="CINo_Tbl">#REF!</definedName>
    <definedName name="citysheet">#REF!</definedName>
    <definedName name="Claimed_to_Date">#REF!,#REF!,#REF!,#REF!,#REF!,#REF!</definedName>
    <definedName name="CLIENTCODE">#REF!</definedName>
    <definedName name="CLIENTTAB">#REF!</definedName>
    <definedName name="CM">#REF!</definedName>
    <definedName name="cManual">0</definedName>
    <definedName name="Code">INDEX(INDIRECT(CountryShortCode&amp;"Codes"),MATCH(Item,INDIRECT(CountryShortCode&amp;"Desc"),0))</definedName>
    <definedName name="CoG">#REF!</definedName>
    <definedName name="COG_2000">#REF!</definedName>
    <definedName name="COG_Fixed">#REF!</definedName>
    <definedName name="col">#REF!</definedName>
    <definedName name="combine">#REF!</definedName>
    <definedName name="Companies">#REF!</definedName>
    <definedName name="COMPANY">#REF!</definedName>
    <definedName name="COMPANY1">#REF!</definedName>
    <definedName name="Compressor">#REF!</definedName>
    <definedName name="CONAME">#REF!</definedName>
    <definedName name="ConInt_B007">#REF!</definedName>
    <definedName name="ConInt_B008">#REF!</definedName>
    <definedName name="ConInt_B010">#REF!</definedName>
    <definedName name="ConInt_B015">#REF!</definedName>
    <definedName name="ConInt_B022">#REF!</definedName>
    <definedName name="ConInt_B027">#REF!</definedName>
    <definedName name="ConInt_B028">#REF!</definedName>
    <definedName name="ConInt_B036">#REF!</definedName>
    <definedName name="ConInt_Total">#REF!</definedName>
    <definedName name="CONNECTSTRING1">#REF!</definedName>
    <definedName name="cons">#REF!</definedName>
    <definedName name="consdetailed">#REF!</definedName>
    <definedName name="ConsolidateRutile">#REF!</definedName>
    <definedName name="consRT2">#REF!</definedName>
    <definedName name="ConsRT3">#REF!</definedName>
    <definedName name="ConsRT4">#REF!</definedName>
    <definedName name="ConsRT5">#REF!</definedName>
    <definedName name="CONSSUMMARY">#REF!</definedName>
    <definedName name="ContIntang_J117">#REF!</definedName>
    <definedName name="CONTRACT">#REF!</definedName>
    <definedName name="Contract_Lift">#REF!</definedName>
    <definedName name="Contract_Term">#REF!</definedName>
    <definedName name="Contract_TOP">#REF!</definedName>
    <definedName name="Contract_Values">#REF!,#REF!,#REF!,#REF!,#REF!,#REF!</definedName>
    <definedName name="CONTRACTCUST_BUD99">#REF!</definedName>
    <definedName name="ContractMDQ">#REF!</definedName>
    <definedName name="ContractsIntangible">#REF!</definedName>
    <definedName name="CONTRACTTRANSPORT">#REF!</definedName>
    <definedName name="CONTROL">#REF!</definedName>
    <definedName name="Copy_Area">#REF!</definedName>
    <definedName name="cor_var">#REF!</definedName>
    <definedName name="CorporateRevDSCRTable">#REF!</definedName>
    <definedName name="CorpTaxRate">#REF!</definedName>
    <definedName name="counter">COUNTA(INDEX(valdata,,MATCH(#REF!,#REF!,0)))</definedName>
    <definedName name="counter2">COUNTA(INDEX(valdata2,,MATCH(#REF!,#REF!,0)))</definedName>
    <definedName name="counter3">COUNTA(INDEX(valdata3,,MATCH(#REF!,#REF!,0)))</definedName>
    <definedName name="counter4">COUNTA(INDEX(valdata4,,MATCH(#REF!,#REF!,0)))</definedName>
    <definedName name="Countries">#REF!</definedName>
    <definedName name="Country">#REF!</definedName>
    <definedName name="CountryShortCode">VLOOKUP(Country,CountryTable,2,FALSE)</definedName>
    <definedName name="CountryTable">#REF!</definedName>
    <definedName name="CPI">#REF!</definedName>
    <definedName name="CPI_Indexation">#REF!</definedName>
    <definedName name="CPI_tbl">#REF!</definedName>
    <definedName name="Cr_Int_Rate">#REF!</definedName>
    <definedName name="CRCP_y4">#REF!</definedName>
    <definedName name="CRCP_y5">#REF!</definedName>
    <definedName name="CREATESUMMARYJNLS1">#REF!</definedName>
    <definedName name="CredEntAcqu_NC_J117">#REF!</definedName>
    <definedName name="CreditorDays">#REF!</definedName>
    <definedName name="CRITERIACOLUMN1">#REF!</definedName>
    <definedName name="CT">#REF!</definedName>
    <definedName name="CtnAgencyFees">#REF!</definedName>
    <definedName name="CtnAgencySecurityFees">#REF!</definedName>
    <definedName name="CtnAmount">#REF!</definedName>
    <definedName name="CtnCommitmentFeePerc">#REF!</definedName>
    <definedName name="CtnEndDate">#REF!</definedName>
    <definedName name="CtnEndDateMonth">#REF!</definedName>
    <definedName name="CtnMarginTable">#REF!</definedName>
    <definedName name="CtnMinHedgeLevelTable">#REF!</definedName>
    <definedName name="CtnMonths">#REF!</definedName>
    <definedName name="CtnProjectCostsBookDepn">#REF!</definedName>
    <definedName name="CtnSecurityFees">#REF!</definedName>
    <definedName name="CtnStartDate">#REF!</definedName>
    <definedName name="CtnSwapRateTable">#REF!</definedName>
    <definedName name="CtnYieldReqt">#REF!</definedName>
    <definedName name="Cur_Catergory">#REF!</definedName>
    <definedName name="Cur_period">#REF!</definedName>
    <definedName name="Currency">#REF!</definedName>
    <definedName name="Current_valuations">#REF!</definedName>
    <definedName name="CurrentMonth">#REF!</definedName>
    <definedName name="CurrentYear">#REF!</definedName>
    <definedName name="Cust_Status">#REF!</definedName>
    <definedName name="Cust_Table">#REF!</definedName>
    <definedName name="CUSTBUD99">#REF!</definedName>
    <definedName name="CUSTGAINS">#REF!</definedName>
    <definedName name="CUSTGAINS99">#REF!</definedName>
    <definedName name="CUSTMENU">#REF!</definedName>
    <definedName name="Customer_Name">#REF!</definedName>
    <definedName name="CUSTOMER_SITES">#REF!</definedName>
    <definedName name="Customer_Table">#REF!</definedName>
    <definedName name="CUSTOMER_TABLE_2">#REF!</definedName>
    <definedName name="Customer_Type">#REF!</definedName>
    <definedName name="CUSTOMERS">#REF!</definedName>
    <definedName name="CUSTOMERSITES">#REF!</definedName>
    <definedName name="CUSTOMERTABLE">#REF!</definedName>
    <definedName name="Cylinder">#REF!</definedName>
    <definedName name="d">#REF!</definedName>
    <definedName name="DaandineAdminFee">#REF!</definedName>
    <definedName name="DaandineAnnualVariableOM">#REF!</definedName>
    <definedName name="DaandineBookBase">#REF!</definedName>
    <definedName name="DaandineBookLife">#REF!</definedName>
    <definedName name="DaandineEndOps">#REF!</definedName>
    <definedName name="DaandineOMMargin">#REF!</definedName>
    <definedName name="DaandineOpexContingency">#REF!</definedName>
    <definedName name="DaandineOpexSens">#REF!</definedName>
    <definedName name="DaandineOpsFlag">#REF!</definedName>
    <definedName name="DaandineOpsStart">#REF!</definedName>
    <definedName name="DaandineOptionAmount">#REF!</definedName>
    <definedName name="DaandineOptionExerciseDate">#REF!</definedName>
    <definedName name="DaandineOptionIndicator">#REF!</definedName>
    <definedName name="DaandineRealInsurance">#REF!</definedName>
    <definedName name="DaandineRealRev">#REF!</definedName>
    <definedName name="DaandineRevSens">#REF!</definedName>
    <definedName name="DaandineTaxBase">#REF!</definedName>
    <definedName name="data">#REF!</definedName>
    <definedName name="data_budget">IF(UPPER(#REF!)="JULY",#REF!,#REF!)</definedName>
    <definedName name="data_chart">IF(UPPER(#REF!)="JULY",#REF!,IF(UPPER(#REF!)="AUGUST",#REF!,#REF!))</definedName>
    <definedName name="data2">#REF!</definedName>
    <definedName name="data3">#REF!</definedName>
    <definedName name="Data30Jun">#REF!</definedName>
    <definedName name="Data31Dec">#REF!</definedName>
    <definedName name="data4">#REF!</definedName>
    <definedName name="_xlnm.Database">#REF!</definedName>
    <definedName name="DataRange">#REF!</definedName>
    <definedName name="DATE">#REF!</definedName>
    <definedName name="date_">#REF!</definedName>
    <definedName name="Date_Range">#REF!,#REF!</definedName>
    <definedName name="Date_Range_Data">#REF!</definedName>
    <definedName name="DateColumn">OFFSET(DateHeading,0,0,_pdNoOfPayments+3,1)</definedName>
    <definedName name="DateHeading">#REF!</definedName>
    <definedName name="Dates">OFFSET(CalculatedDatesHeading,2,0,_pdNoOfPayments+1,1)</definedName>
    <definedName name="DATOk">#REF!</definedName>
    <definedName name="DATXS">#REF!</definedName>
    <definedName name="days">#REF!</definedName>
    <definedName name="Days_In_Wk">#REF!</definedName>
    <definedName name="DaysWhole">#REF!</definedName>
    <definedName name="DB">"WIREAUPROD"</definedName>
    <definedName name="DBNAME1">#REF!</definedName>
    <definedName name="DBPath">#REF!</definedName>
    <definedName name="DBUSERNAME1">#REF!</definedName>
    <definedName name="DD_Denom">#REF!</definedName>
    <definedName name="DD_Ent_Val_CF_Timing">#REF!</definedName>
    <definedName name="DD_Fin_YE_Mth">#REF!</definedName>
    <definedName name="DD_Model_Per_Type">#REF!</definedName>
    <definedName name="dDaysSeniorPymt">#REF!</definedName>
    <definedName name="dddd">#REF!</definedName>
    <definedName name="DealerSwapInput">#REF!</definedName>
    <definedName name="DEALLIST">#REF!</definedName>
    <definedName name="Debt_Case">#REF!</definedName>
    <definedName name="DebtorDays">#REF!</definedName>
    <definedName name="DebtRepaymentDate">#REF!</definedName>
    <definedName name="Dec">#REF!</definedName>
    <definedName name="Dec08spend">#REF!</definedName>
    <definedName name="DEC09SPEND">#REF!</definedName>
    <definedName name="Ded_Div43">#REF!</definedName>
    <definedName name="DefA1">#REF!</definedName>
    <definedName name="DefA2">#REF!</definedName>
    <definedName name="degrates10">#REF!</definedName>
    <definedName name="DELETELOGICTYPE1">#REF!</definedName>
    <definedName name="DepositRateTable">#REF!</definedName>
    <definedName name="DEPT">#REF!</definedName>
    <definedName name="desc">#REF!</definedName>
    <definedName name="DETAILEDCONSOLIDATION">#REF!</definedName>
    <definedName name="Details">#REF!</definedName>
    <definedName name="DF_GRID_2">Movement #REF!</definedName>
    <definedName name="DinStep1">#REF!</definedName>
    <definedName name="DinStep2">#REF!</definedName>
    <definedName name="DinStep3">#REF!</definedName>
    <definedName name="DinStep4">#REF!</definedName>
    <definedName name="DinStep5">#REF!</definedName>
    <definedName name="DinStep6">#REF!</definedName>
    <definedName name="disc_rate">#REF!</definedName>
    <definedName name="Discount">#REF!</definedName>
    <definedName name="DiscR">#REF!</definedName>
    <definedName name="Distn_Envestra">#REF!</definedName>
    <definedName name="DistnRec_ANPSPV">#REF!</definedName>
    <definedName name="DistnRec_Eii">#REF!</definedName>
    <definedName name="DistnRec_Envestra">#REF!</definedName>
    <definedName name="Distributor">#REF!</definedName>
    <definedName name="Div43Claim_B055">#REF!</definedName>
    <definedName name="DLACCC_CorpTaxRate">#REF!</definedName>
    <definedName name="DLACCC_InflationRate">#REF!</definedName>
    <definedName name="DLACCC_LTPropDebtFunding">#REF!</definedName>
    <definedName name="DLACCC_LTPropEquityFunding">#REF!</definedName>
    <definedName name="DLACCC_NomPreTaxCostOfDebt">#REF!</definedName>
    <definedName name="DLACCC_PerfBonus1">#REF!</definedName>
    <definedName name="DLACCC_PerfBonus2">#REF!</definedName>
    <definedName name="DLACCC_PerfBonus3">#REF!</definedName>
    <definedName name="DLACCC_PropFrankingCredits">#REF!</definedName>
    <definedName name="DLACCC_RealAssetLife_1">#REF!</definedName>
    <definedName name="DLACCC_RealAssetLife_2">#REF!</definedName>
    <definedName name="DLACCC_RealAssetLife_3">#REF!</definedName>
    <definedName name="DLACCC_RealAssetValue_1">#REF!</definedName>
    <definedName name="DLACCC_RealAssetValue_2">#REF!</definedName>
    <definedName name="DLACCC_RealAssetValue_3">#REF!</definedName>
    <definedName name="DLACCC_RealAssetValueOB_1">#REF!</definedName>
    <definedName name="DLACCC_RealAssetValueOB_2">#REF!</definedName>
    <definedName name="DLACCC_RealAssetValueOB_3">#REF!</definedName>
    <definedName name="DLACCC_Sens">#REF!</definedName>
    <definedName name="DLACCC_TaxAssetLife_1">#REF!</definedName>
    <definedName name="DLACCC_TaxAssetLife_2">#REF!</definedName>
    <definedName name="DLACCC_TaxAssetLife_3">#REF!</definedName>
    <definedName name="DLACCC_TaxAssetValue_1">#REF!</definedName>
    <definedName name="DLACCC_TaxAssetValue_2">#REF!</definedName>
    <definedName name="DLACCC_TaxAssetValue_3">#REF!</definedName>
    <definedName name="DLACCC_TaxAssetValueOB_1">#REF!</definedName>
    <definedName name="DLACCC_TaxAssetValueOB_2">#REF!</definedName>
    <definedName name="DLACCC_TaxAssetValueOB_3">#REF!</definedName>
    <definedName name="DLAssetClass_1BookOriginal">#REF!</definedName>
    <definedName name="DLAssetClass_1TaxOriginal">#REF!</definedName>
    <definedName name="DLAssetClass_2BookOriginal">#REF!</definedName>
    <definedName name="DLAssetClass_2TaxOriginal">#REF!</definedName>
    <definedName name="DLAssetClass_3BookOriginal">#REF!</definedName>
    <definedName name="DLAssetClass_3TaxOriginal">#REF!</definedName>
    <definedName name="DLAssetClass_4BookOriginal">#REF!</definedName>
    <definedName name="DLAssetClass_4TaxOriginal">#REF!</definedName>
    <definedName name="DLAssetClass_5BookOriginal">#REF!</definedName>
    <definedName name="DLBookDepnRateAssetClass_1">#REF!</definedName>
    <definedName name="DLBookDepnRateAssetClass_2">#REF!</definedName>
    <definedName name="DLBookDepnRateAssetClass_3">#REF!</definedName>
    <definedName name="DLBookDepnRateAssetClass_4">#REF!</definedName>
    <definedName name="DLBookDepnRateAssetClass_5">#REF!</definedName>
    <definedName name="DLBookDepnRateCapex">#REF!</definedName>
    <definedName name="DLCapexBaseDate">#REF!</definedName>
    <definedName name="DLCapexInd">#REF!</definedName>
    <definedName name="DLEndOps">#REF!</definedName>
    <definedName name="DLFifthRegResetDate">#REF!</definedName>
    <definedName name="DLFirstRegResetDate">#REF!</definedName>
    <definedName name="DLFourthRegResetDate">#REF!</definedName>
    <definedName name="DLOMMargin">#REF!</definedName>
    <definedName name="DLOMPerformancePerc">#REF!</definedName>
    <definedName name="DLOpexContingency">#REF!</definedName>
    <definedName name="DLOpexEscDate">#REF!</definedName>
    <definedName name="DLOpexSens">#REF!</definedName>
    <definedName name="DLOpsFlag">#REF!</definedName>
    <definedName name="DLRABCapexAssetLife">#REF!</definedName>
    <definedName name="DLRegCostsInd">#REF!</definedName>
    <definedName name="DLRegPeriodStart">#REF!</definedName>
    <definedName name="DLRegResetAssTable">#REF!</definedName>
    <definedName name="DLTaxDepnRateAssetClass_1">#REF!</definedName>
    <definedName name="DLTaxDepnRateAssetClass_2">#REF!</definedName>
    <definedName name="DLTaxDepnRateAssetClass_3">#REF!</definedName>
    <definedName name="DLTaxDepnRateAssetClass_4">#REF!</definedName>
    <definedName name="DLTaxDepnRateCapex">#REF!</definedName>
    <definedName name="DLThirdRegResetDate">#REF!</definedName>
    <definedName name="DLYearsRegReset">#REF!</definedName>
    <definedName name="dms_DollarReal">#REF!</definedName>
    <definedName name="dms_Header_Span">#REF!</definedName>
    <definedName name="dms_Model">#REF!</definedName>
    <definedName name="dms_Model_List">#REF!</definedName>
    <definedName name="dms_MultiYear_ResponseFlag">#REF!</definedName>
    <definedName name="dms_TradingName">#REF!</definedName>
    <definedName name="dms_TradingName_List">#REF!</definedName>
    <definedName name="dms_TradingNameFull_List">#REF!</definedName>
    <definedName name="dms_Worksheet_List">#REF!</definedName>
    <definedName name="Doc_number">#REF!</definedName>
    <definedName name="dOldSFAdt">#REF!</definedName>
    <definedName name="Dollars">#REF!</definedName>
    <definedName name="DomLF">#REF!</definedName>
    <definedName name="DownArrow">#REF!</definedName>
    <definedName name="dProjCompDt">#REF!</definedName>
    <definedName name="Dr">#REF!</definedName>
    <definedName name="dRefidate1">#REF!</definedName>
    <definedName name="dRefiDate2">#REF!</definedName>
    <definedName name="Drp">#REF!</definedName>
    <definedName name="DRR">#REF!</definedName>
    <definedName name="DSRA_CF_Diff">#REF!</definedName>
    <definedName name="DSRA_Pasted">#REF!</definedName>
    <definedName name="DSRA_Target">#REF!</definedName>
    <definedName name="DSRADrawdownDate">#REF!</definedName>
    <definedName name="DSRAEndDate">#REF!</definedName>
    <definedName name="DSRAFlag">#REF!</definedName>
    <definedName name="DSRAPeriods">#REF!</definedName>
    <definedName name="DTA_ChgToEquity">#REF!</definedName>
    <definedName name="DTA_ClosBal">#REF!</definedName>
    <definedName name="Duke">#REF!</definedName>
    <definedName name="DUOSRIVPL">#REF!</definedName>
    <definedName name="Dv">#REF!</definedName>
    <definedName name="DZone">#REF!</definedName>
    <definedName name="e">#REF!</definedName>
    <definedName name="ear">OFFSET(InstrumentPeriodNumberHeading,2,0,_pdInstrumentNoOfPayments+1,1)</definedName>
    <definedName name="efqwef">OFFSET(ADSWAPCount,0,1+ItemsCols,1,ADSWAPCount)</definedName>
    <definedName name="Elgas">#REF!</definedName>
    <definedName name="EMPBUD99">#REF!</definedName>
    <definedName name="EMPLOYEES">#REF!</definedName>
    <definedName name="EN">#REF!</definedName>
    <definedName name="End_Date">#REF!</definedName>
    <definedName name="EndPeriodName1">#REF!</definedName>
    <definedName name="ene_var">#REF!</definedName>
    <definedName name="Engineering">#REF!</definedName>
    <definedName name="ENT">#REF!</definedName>
    <definedName name="EntNotTaxEffected">#REF!</definedName>
    <definedName name="Env_Servfee">#REF!</definedName>
    <definedName name="Envestra_equity">#REF!</definedName>
    <definedName name="Epic_PLcharge">#REF!</definedName>
    <definedName name="EqAcctInvest_B111">#REF!</definedName>
    <definedName name="EqAcctInvest_J002">#REF!</definedName>
    <definedName name="EqAcctInvest_J074">#REF!</definedName>
    <definedName name="EqiInjDate">#REF!</definedName>
    <definedName name="EqInc_Cams">#REF!</definedName>
    <definedName name="EqInc_Cams1">#REF!</definedName>
    <definedName name="EqInc_SeaGas">#REF!</definedName>
    <definedName name="EqInc_SeaGas1">#REF!</definedName>
    <definedName name="Equipment_Environmental_Requirements">#REF!</definedName>
    <definedName name="EquityAcc_Envestra">#REF!</definedName>
    <definedName name="EquityLCAmount">#REF!</definedName>
    <definedName name="EquityLCEstabFee">#REF!</definedName>
    <definedName name="EquityOrdinary">#REF!</definedName>
    <definedName name="Esc_Date">#REF!</definedName>
    <definedName name="ESTIMATED_REVENUE">#REF!</definedName>
    <definedName name="Ethane_other_3P">#REF!</definedName>
    <definedName name="EUREOMSPOT">#REF!</definedName>
    <definedName name="EUSWECodes">#REF!</definedName>
    <definedName name="EUSWECount">#REF!</definedName>
    <definedName name="EUSWEItems">#REF!</definedName>
    <definedName name="EUTable">#REF!</definedName>
    <definedName name="EXECUTIVE_SUMMARY">#REF!</definedName>
    <definedName name="Exit_Date">#REF!</definedName>
    <definedName name="Exit_PE_Multiple">#REF!</definedName>
    <definedName name="Export_Member_Data_by_PLAN">#REF!</definedName>
    <definedName name="EYRFlag">#REF!</definedName>
    <definedName name="EYRInterestInput">#REF!</definedName>
    <definedName name="f">#REF!</definedName>
    <definedName name="F_Capex_Expense_Type_Forecast">#REF!</definedName>
    <definedName name="F_Other_Income_Forecast">#REF!</definedName>
    <definedName name="FAFee">#REF!</definedName>
    <definedName name="FAFeeDiff">#REF!</definedName>
    <definedName name="FAFeePaste">#REF!</definedName>
    <definedName name="fbt_total_operating_cost">#REF!</definedName>
    <definedName name="Fcast_Pers">#REF!</definedName>
    <definedName name="FCMIYAUG05D">#REF!</definedName>
    <definedName name="FCMIYAUG95D">#REF!</definedName>
    <definedName name="FCMIYAUG98D">#REF!</definedName>
    <definedName name="FCMYAPR00D">#REF!</definedName>
    <definedName name="FCMYAPR95D">#REF!</definedName>
    <definedName name="FCMYAUG03D">#REF!</definedName>
    <definedName name="FCMYAUG08D">#REF!</definedName>
    <definedName name="FCMYAUG98D">#REF!</definedName>
    <definedName name="FCMYFEB06D">#REF!</definedName>
    <definedName name="FCMYJAN01D">#REF!</definedName>
    <definedName name="FCMYJAN98D">#REF!</definedName>
    <definedName name="FCMYJUL00D">#REF!</definedName>
    <definedName name="FCMYJUL05D">#REF!</definedName>
    <definedName name="FCMYJUL96D">#REF!</definedName>
    <definedName name="FCMYJUL99D">#REF!</definedName>
    <definedName name="FCMYMAR02D">#REF!</definedName>
    <definedName name="FCMYMAR97D">#REF!</definedName>
    <definedName name="FCMYMAR99D">#REF!</definedName>
    <definedName name="FCMYNOV01D">#REF!</definedName>
    <definedName name="FCMYNOV06D">#REF!</definedName>
    <definedName name="FCMYOCT02D">#REF!</definedName>
    <definedName name="FCMYOCT07D">#REF!</definedName>
    <definedName name="FCMYSEP04D">#REF!</definedName>
    <definedName name="FCMYSEP94D">#REF!</definedName>
    <definedName name="FCMYSEP95D">#REF!</definedName>
    <definedName name="FCMYSEP97D">#REF!</definedName>
    <definedName name="FDS">#REF!</definedName>
    <definedName name="Feb">#REF!</definedName>
    <definedName name="FEB10_SPEND">#REF!</definedName>
    <definedName name="FFAPPCOLNAME1_1">#REF!</definedName>
    <definedName name="FFAPPCOLNAME2_1">#REF!</definedName>
    <definedName name="FFAPPCOLNAME3_1">#REF!</definedName>
    <definedName name="FFAPPCOLNAME4_1">#REF!</definedName>
    <definedName name="FFAPPCOLNAME5_1">#REF!</definedName>
    <definedName name="FFAPPCOLNAME6_1">#REF!</definedName>
    <definedName name="FFAPPCOLNAME7_1">#REF!</definedName>
    <definedName name="ffgfgf">#REF!,#REF!</definedName>
    <definedName name="FFSEGMENT1_1">#REF!</definedName>
    <definedName name="FFSEGMENT2_1">#REF!</definedName>
    <definedName name="FFSEGMENT3_1">#REF!</definedName>
    <definedName name="FFSEGMENT4_1">#REF!</definedName>
    <definedName name="FFSEGMENT5_1">#REF!</definedName>
    <definedName name="FFSEGMENT6_1">#REF!</definedName>
    <definedName name="FFSEGMENT7_1">#REF!</definedName>
    <definedName name="FFSEGSEPARATOR1">#REF!</definedName>
    <definedName name="FIELDNAMECOLUMN1">#REF!</definedName>
    <definedName name="FIELDNAMEROW1">#REF!</definedName>
    <definedName name="FinClose">#REF!</definedName>
    <definedName name="FinCloseEqInjInd">#REF!</definedName>
    <definedName name="FinCloseQtr">#REF!</definedName>
    <definedName name="FIRSTDATAROW1">#REF!</definedName>
    <definedName name="FirstDistDate">#REF!</definedName>
    <definedName name="FixedAA_tbl">#REF!</definedName>
    <definedName name="FloatingRateTable">#REF!</definedName>
    <definedName name="FNDNAM1">#REF!</definedName>
    <definedName name="FNDUSERID1">#REF!</definedName>
    <definedName name="Fone">#REF!</definedName>
    <definedName name="FormatOffset">#REF!</definedName>
    <definedName name="FRCP_y1">#REF!</definedName>
    <definedName name="FRCP_y2">#REF!</definedName>
    <definedName name="FRCP_y3">#REF!</definedName>
    <definedName name="FRCP_y4">#REF!</definedName>
    <definedName name="FRCP_y5">#REF!</definedName>
    <definedName name="FREQ">#REF!</definedName>
    <definedName name="FSFSDGSFGH">#REF!</definedName>
    <definedName name="Fthree">#REF!</definedName>
    <definedName name="Ftwo">#REF!</definedName>
    <definedName name="FUEL">#REF!</definedName>
    <definedName name="Full_year">#REF!</definedName>
    <definedName name="FULLAUSTDIV">#REF!</definedName>
    <definedName name="Function_Code">#REF!</definedName>
    <definedName name="FUNCTIONALCURRENCY1">#REF!</definedName>
    <definedName name="FutIncRights_B082">#REF!</definedName>
    <definedName name="FVU_Actual___by_month">#REF!</definedName>
    <definedName name="FVU_Actual___Year_to_date">#REF!</definedName>
    <definedName name="FVU_Budget___by_month">#REF!</definedName>
    <definedName name="FVU_Budget___Year_to_date">#REF!</definedName>
    <definedName name="FVU_Prior_Year___2000_2001____by_month">#REF!</definedName>
    <definedName name="FVU_Prior_Year___2000_2001____Year_to_date">#REF!</definedName>
    <definedName name="FY">#REF!</definedName>
    <definedName name="g">#REF!</definedName>
    <definedName name="Gamma">#REF!</definedName>
    <definedName name="GasP1">#REF!</definedName>
    <definedName name="GasP2">#REF!</definedName>
    <definedName name="GASRECEIPTS">#REF!</definedName>
    <definedName name="GASSALES">#REF!</definedName>
    <definedName name="GASTRANSPORT">#REF!</definedName>
    <definedName name="GBPEOMSPOT">#REF!</definedName>
    <definedName name="Gdwill_Impairment">#REF!</definedName>
    <definedName name="Gearing">#REF!</definedName>
    <definedName name="george">#REF!</definedName>
    <definedName name="Gladstone">#REF!</definedName>
    <definedName name="Gladstone_Costs">#REF!</definedName>
    <definedName name="GoalMargin">#REF!</definedName>
    <definedName name="Gold_Coast">#REF!</definedName>
    <definedName name="Gold_Coast_Cost">#REF!</definedName>
    <definedName name="Governance">#REF!</definedName>
    <definedName name="GPE">#REF!</definedName>
    <definedName name="Grade">#REF!</definedName>
    <definedName name="Graphs">#REF!</definedName>
    <definedName name="gst">#REF!</definedName>
    <definedName name="GSTCredit">#REF!</definedName>
    <definedName name="GWYUID1">#REF!</definedName>
    <definedName name="Gympie">#REF!</definedName>
    <definedName name="Gympie_Cost">#REF!</definedName>
    <definedName name="H4PurchaseConsideration">#REF!</definedName>
    <definedName name="Half_1">#REF!</definedName>
    <definedName name="Half_2">#REF!</definedName>
    <definedName name="Half_Yr_Name">#REF!</definedName>
    <definedName name="Halves_In_Yr">#REF!</definedName>
    <definedName name="HealthIndicators">#REF!</definedName>
    <definedName name="HedgeAssetMTM_B003">#REF!</definedName>
    <definedName name="HES">#REF!</definedName>
    <definedName name="HPRINT">#REF!</definedName>
    <definedName name="HR_Structure">#REF!</definedName>
    <definedName name="HRESPONSE">#REF!</definedName>
    <definedName name="Hrs_In_Day">#REF!</definedName>
    <definedName name="Hundred">#REF!</definedName>
    <definedName name="Hybrid_Conversion">#REF!</definedName>
    <definedName name="hyperion">#REF!</definedName>
    <definedName name="HYPWORK">#REF!</definedName>
    <definedName name="I_CLF">#REF!</definedName>
    <definedName name="ia_qld_other_income">#REF!</definedName>
    <definedName name="ia_sa_other_income">#REF!</definedName>
    <definedName name="ia_vic_other_income">#REF!</definedName>
    <definedName name="ib_qld_other_income">#REF!</definedName>
    <definedName name="ib_sa_other_income">#REF!</definedName>
    <definedName name="ib_vic_other_income">#REF!</definedName>
    <definedName name="ICT">#REF!</definedName>
    <definedName name="IDC">#REF!</definedName>
    <definedName name="IEProfit_ShareSales">#REF!</definedName>
    <definedName name="if_Other_income_full_year_forcast">#REF!</definedName>
    <definedName name="impact">#REF!</definedName>
    <definedName name="impact_rating">#REF!</definedName>
    <definedName name="Impact_Values">#REF!</definedName>
    <definedName name="ImpCredits_B002">#REF!</definedName>
    <definedName name="ImpCredits_B074">#REF!</definedName>
    <definedName name="implicitrate">#REF!</definedName>
    <definedName name="IMPORTDFF1">#REF!</definedName>
    <definedName name="Importrange">#REF!</definedName>
    <definedName name="INDACT98">#REF!</definedName>
    <definedName name="INDACT99">#REF!</definedName>
    <definedName name="INDBUD99">#REF!</definedName>
    <definedName name="INDVAR99">#REF!</definedName>
    <definedName name="inflation">#REF!</definedName>
    <definedName name="InstrumentCalculatedDatesHeading">#REF!</definedName>
    <definedName name="InstrumentDateColumn">OFFSET(InstrumentDateHeading,0,0,_pdInstrumentNoOfPayments+3,1)</definedName>
    <definedName name="InstrumentDateColumn2">OFFSET(InstrumentDateHeading,0,0,_pdInstrumentNoOfPayments+3,1)</definedName>
    <definedName name="InstrumentDateHeading">#REF!</definedName>
    <definedName name="InstrumentDates">OFFSET(InstrumentCalculatedDatesHeading,2,0,_pdInstrumentNoOfPayments+1,1)</definedName>
    <definedName name="InstrumentPeriodNumberColumn">OFFSET(InstrumentPeriodNumberHeading,0,0,_pdInstrumentNoOfPayments+3,1)</definedName>
    <definedName name="InstrumentPeriodNumberHeading">#REF!</definedName>
    <definedName name="InstrumentPeriodNumbers">OFFSET(InstrumentPeriodNumberHeading,2,0,_pdInstrumentNoOfPayments+1,1)</definedName>
    <definedName name="Insurance">#REF!</definedName>
    <definedName name="InsuranceFlag">#REF!</definedName>
    <definedName name="InsuranceSensitivity">#REF!</definedName>
    <definedName name="InsurRec_B002">#REF!</definedName>
    <definedName name="InsurRec_B007">#REF!</definedName>
    <definedName name="int_rate">#REF!</definedName>
    <definedName name="InterestbtwActModFinClose">#REF!</definedName>
    <definedName name="InterestTiming">#REF!</definedName>
    <definedName name="INVENTORY">#REF!</definedName>
    <definedName name="InvestAllow">#REF!</definedName>
    <definedName name="InvestmentAllowanceAmount">#REF!</definedName>
    <definedName name="InvoiceA27">#REF!</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INT" hidden="1">"c373"</definedName>
    <definedName name="IQ_EBITDA_MARGIN" hidden="1">"c372"</definedName>
    <definedName name="IQ_EBITDA_OVER_TOTAL_IE" hidden="1">"c1371"</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EPS" hidden="1">"c1648"</definedName>
    <definedName name="IQ_EST_CURRENCY" hidden="1">"c2140"</definedName>
    <definedName name="IQ_EST_DATE" hidden="1">"c1634"</definedName>
    <definedName name="IQ_EST_EPS_DIFF" hidden="1">"c1864"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FO" hidden="1">"c1574"</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LAND" hidden="1">"c645"</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REPAIR" hidden="1">"c2087"</definedName>
    <definedName name="IQ_MARKET_CAP_LFCF" hidden="1">"c2209"</definedName>
    <definedName name="IQ_MARKETCAP" hidden="1">"c712"</definedName>
    <definedName name="IQ_MARKETING" hidden="1">"c2239"</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ENUE" hidden="1">"c1422"</definedName>
    <definedName name="IQ_REVISION_DATE_" hidden="1">38656.8885300926</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VING_DEP" hidden="1">"c1150"</definedName>
    <definedName name="IQ_SECUR_RECEIV" hidden="1">"c1151"</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EV_UFCF" hidden="1">"c2208"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LOW" hidden="1">"c1338"</definedName>
    <definedName name="IQ_YTD" hidden="1">3000</definedName>
    <definedName name="IQ_Z_SCORE" hidden="1">"c1339"</definedName>
    <definedName name="IS">#REF!</definedName>
    <definedName name="IS_RIBBON_CREATE_SUCCESS">TRUE</definedName>
    <definedName name="IS_RIBBON_SHOW_GRAPH_GROUP">FALSE</definedName>
    <definedName name="IS_RIBBON_SHOW_MAIN_GROUP">TRUE</definedName>
    <definedName name="IssuesForDiscussion">#REF!</definedName>
    <definedName name="Item">#REF!</definedName>
    <definedName name="item3">#REF!</definedName>
    <definedName name="item4_5">#REF!</definedName>
    <definedName name="ItemsCols">COLUMN(#REF!)-COLUMN(#REF!)</definedName>
    <definedName name="Iterations">#REF!</definedName>
    <definedName name="ixRange0">#REF!</definedName>
    <definedName name="ixRange0_1">#REF!</definedName>
    <definedName name="ixRange1">#REF!</definedName>
    <definedName name="ixRange1_1">#REF!</definedName>
    <definedName name="ixRange10">#REF!</definedName>
    <definedName name="ixRange10_1">#REF!</definedName>
    <definedName name="ixRange100">#REF!</definedName>
    <definedName name="ixRange100_1">#REF!</definedName>
    <definedName name="ixRange101">#REF!</definedName>
    <definedName name="ixRange101_1">#REF!</definedName>
    <definedName name="ixRange102">#REF!</definedName>
    <definedName name="ixRange102_1">#REF!</definedName>
    <definedName name="ixRange103">#REF!</definedName>
    <definedName name="ixRange103_1">#REF!</definedName>
    <definedName name="ixRange104">#REF!</definedName>
    <definedName name="ixRange104_1">#REF!</definedName>
    <definedName name="ixRange105">#REF!</definedName>
    <definedName name="ixRange105_1">#REF!</definedName>
    <definedName name="ixRange106">#REF!</definedName>
    <definedName name="ixRange106_1">#REF!</definedName>
    <definedName name="ixRange107">#REF!</definedName>
    <definedName name="ixRange107_1">#REF!</definedName>
    <definedName name="ixRange108">#REF!</definedName>
    <definedName name="ixRange108_1">#REF!</definedName>
    <definedName name="ixRange109">#REF!</definedName>
    <definedName name="ixRange109_1">#REF!</definedName>
    <definedName name="ixRange11">#REF!</definedName>
    <definedName name="ixRange11_1">#REF!</definedName>
    <definedName name="ixRange110">#REF!</definedName>
    <definedName name="ixRange110_1">#REF!</definedName>
    <definedName name="ixRange111">#REF!</definedName>
    <definedName name="ixRange111_1">#REF!</definedName>
    <definedName name="ixRange112">#REF!</definedName>
    <definedName name="ixRange112_1">#REF!</definedName>
    <definedName name="ixRange113">#REF!</definedName>
    <definedName name="ixRange113_1">#REF!</definedName>
    <definedName name="ixRange114">#REF!</definedName>
    <definedName name="ixRange114_1">#REF!</definedName>
    <definedName name="ixRange115">#REF!</definedName>
    <definedName name="ixRange115_1">#REF!</definedName>
    <definedName name="ixRange116">#REF!</definedName>
    <definedName name="ixRange116_1">#REF!</definedName>
    <definedName name="ixRange117">#REF!</definedName>
    <definedName name="ixRange117_1">#REF!</definedName>
    <definedName name="ixRange118">#REF!</definedName>
    <definedName name="ixRange118_1">#REF!</definedName>
    <definedName name="ixRange119">#REF!</definedName>
    <definedName name="ixRange119_1">#REF!</definedName>
    <definedName name="ixRange12">#REF!</definedName>
    <definedName name="ixRange12_1">#REF!</definedName>
    <definedName name="ixRange120">#REF!</definedName>
    <definedName name="ixRange120_1">#REF!</definedName>
    <definedName name="ixRange121">#REF!</definedName>
    <definedName name="ixRange121_1">#REF!</definedName>
    <definedName name="ixRange122">#REF!</definedName>
    <definedName name="ixRange122_1">#REF!</definedName>
    <definedName name="ixRange123">#REF!</definedName>
    <definedName name="ixRange123_1">#REF!</definedName>
    <definedName name="ixRange124">#REF!</definedName>
    <definedName name="ixRange124_1">#REF!</definedName>
    <definedName name="ixRange125">#REF!</definedName>
    <definedName name="ixRange125_1">#REF!</definedName>
    <definedName name="ixRange126">#REF!</definedName>
    <definedName name="ixRange126_1">#REF!</definedName>
    <definedName name="ixRange127">#REF!</definedName>
    <definedName name="ixRange127_1">#REF!</definedName>
    <definedName name="ixRange128">#REF!</definedName>
    <definedName name="ixRange128_1">#REF!</definedName>
    <definedName name="ixRange129">#REF!</definedName>
    <definedName name="ixRange129_1">#REF!</definedName>
    <definedName name="ixRange13">#REF!</definedName>
    <definedName name="ixRange13_1">#REF!</definedName>
    <definedName name="ixRange130">#REF!</definedName>
    <definedName name="ixRange130_1">#REF!</definedName>
    <definedName name="ixRange131">#REF!</definedName>
    <definedName name="ixRange131_1">#REF!</definedName>
    <definedName name="ixRange132">#REF!</definedName>
    <definedName name="ixRange132_1">#REF!</definedName>
    <definedName name="ixRange133">#REF!</definedName>
    <definedName name="ixRange133_1">#REF!</definedName>
    <definedName name="ixRange134">#REF!</definedName>
    <definedName name="ixRange134_1">#REF!</definedName>
    <definedName name="ixRange135">#REF!</definedName>
    <definedName name="ixRange135_1">#REF!</definedName>
    <definedName name="ixRange136">#REF!</definedName>
    <definedName name="ixRange136_1">#REF!</definedName>
    <definedName name="ixRange137">#REF!</definedName>
    <definedName name="ixRange137_1">#REF!</definedName>
    <definedName name="ixRange138">#REF!</definedName>
    <definedName name="ixRange138_1">#REF!</definedName>
    <definedName name="ixRange139">#REF!</definedName>
    <definedName name="ixRange139_1">#REF!</definedName>
    <definedName name="ixRange14">#REF!</definedName>
    <definedName name="ixRange14_1">#REF!</definedName>
    <definedName name="ixRange140">#REF!</definedName>
    <definedName name="ixRange140_1">#REF!</definedName>
    <definedName name="ixRange141">#REF!</definedName>
    <definedName name="ixRange141_1">#REF!</definedName>
    <definedName name="ixRange142">#REF!</definedName>
    <definedName name="ixRange142_1">#REF!</definedName>
    <definedName name="ixRange143">#REF!</definedName>
    <definedName name="ixRange143_1">#REF!</definedName>
    <definedName name="ixRange144">#REF!</definedName>
    <definedName name="ixRange144_1">#REF!</definedName>
    <definedName name="ixRange145">#REF!</definedName>
    <definedName name="ixRange145_1">#REF!</definedName>
    <definedName name="ixRange146">#REF!</definedName>
    <definedName name="ixRange146_1">#REF!</definedName>
    <definedName name="ixRange147">#REF!</definedName>
    <definedName name="ixRange147_1">#REF!</definedName>
    <definedName name="ixRange148">#REF!</definedName>
    <definedName name="ixRange148_1">#REF!</definedName>
    <definedName name="ixRange149">#REF!</definedName>
    <definedName name="ixRange149_1">#REF!</definedName>
    <definedName name="ixRange15">#REF!</definedName>
    <definedName name="ixRange15_1">#REF!</definedName>
    <definedName name="ixRange150">#REF!</definedName>
    <definedName name="ixRange150_1">#REF!</definedName>
    <definedName name="ixRange151">#REF!</definedName>
    <definedName name="ixRange151_1">#REF!</definedName>
    <definedName name="ixRange152">#REF!</definedName>
    <definedName name="ixRange152_1">#REF!</definedName>
    <definedName name="ixRange153">#REF!</definedName>
    <definedName name="ixRange153_1">#REF!</definedName>
    <definedName name="ixRange154">#REF!</definedName>
    <definedName name="ixRange154_1">#REF!</definedName>
    <definedName name="ixRange155">#REF!</definedName>
    <definedName name="ixRange155_1">#REF!</definedName>
    <definedName name="ixRange156">#REF!</definedName>
    <definedName name="ixRange156_1">#REF!</definedName>
    <definedName name="ixRange157">#REF!</definedName>
    <definedName name="ixRange157_1">#REF!</definedName>
    <definedName name="ixRange158">#REF!</definedName>
    <definedName name="ixRange158_1">#REF!</definedName>
    <definedName name="ixRange159">#REF!</definedName>
    <definedName name="ixRange159_1">#REF!</definedName>
    <definedName name="ixRange16">#REF!</definedName>
    <definedName name="ixRange16_1">#REF!</definedName>
    <definedName name="ixRange160">#REF!</definedName>
    <definedName name="ixRange160_1">#REF!</definedName>
    <definedName name="ixRange161">#REF!</definedName>
    <definedName name="ixRange161_1">#REF!</definedName>
    <definedName name="ixRange162">#REF!</definedName>
    <definedName name="ixRange162_1">#REF!</definedName>
    <definedName name="ixRange163">#REF!</definedName>
    <definedName name="ixRange163_1">#REF!</definedName>
    <definedName name="ixRange164">#REF!</definedName>
    <definedName name="ixRange164_1">#REF!</definedName>
    <definedName name="ixRange165">#REF!</definedName>
    <definedName name="ixRange165_1">#REF!</definedName>
    <definedName name="ixRange166">#REF!</definedName>
    <definedName name="ixRange166_1">#REF!</definedName>
    <definedName name="ixRange167">#REF!</definedName>
    <definedName name="ixRange167_1">#REF!</definedName>
    <definedName name="ixRange168">#REF!</definedName>
    <definedName name="ixRange168_1">#REF!</definedName>
    <definedName name="ixRange169">#REF!</definedName>
    <definedName name="ixRange169_1">#REF!</definedName>
    <definedName name="ixRange17">#REF!</definedName>
    <definedName name="ixRange17_1">#REF!</definedName>
    <definedName name="ixRange170">#REF!</definedName>
    <definedName name="ixRange170_1">#REF!</definedName>
    <definedName name="ixRange171">#REF!</definedName>
    <definedName name="ixRange171_1">#REF!</definedName>
    <definedName name="ixRange172">#REF!</definedName>
    <definedName name="ixRange172_1">#REF!</definedName>
    <definedName name="ixRange173">#REF!</definedName>
    <definedName name="ixRange173_1">#REF!</definedName>
    <definedName name="ixRange174">#REF!</definedName>
    <definedName name="ixRange174_1">#REF!</definedName>
    <definedName name="ixRange175">#REF!</definedName>
    <definedName name="ixRange175_1">#REF!</definedName>
    <definedName name="ixRange176">#REF!</definedName>
    <definedName name="ixRange176_1">#REF!</definedName>
    <definedName name="ixRange177">#REF!</definedName>
    <definedName name="ixRange177_1">#REF!</definedName>
    <definedName name="ixRange178">#REF!</definedName>
    <definedName name="ixRange178_1">#REF!</definedName>
    <definedName name="ixRange179">#REF!</definedName>
    <definedName name="ixRange179_1">#REF!</definedName>
    <definedName name="ixRange18">#REF!</definedName>
    <definedName name="ixRange18_1">#REF!</definedName>
    <definedName name="ixRange180">#REF!</definedName>
    <definedName name="ixRange180_1">#REF!</definedName>
    <definedName name="ixRange181">#REF!</definedName>
    <definedName name="ixRange181_1">#REF!</definedName>
    <definedName name="ixRange182">#REF!</definedName>
    <definedName name="ixRange182_1">#REF!</definedName>
    <definedName name="ixRange183">#REF!</definedName>
    <definedName name="ixRange183_1">#REF!</definedName>
    <definedName name="ixRange184">#REF!</definedName>
    <definedName name="ixRange184_1">#REF!</definedName>
    <definedName name="ixRange185">#REF!</definedName>
    <definedName name="ixRange185_1">#REF!</definedName>
    <definedName name="ixRange186">#REF!</definedName>
    <definedName name="ixRange186_1">#REF!</definedName>
    <definedName name="ixRange187">#REF!</definedName>
    <definedName name="ixRange187_1">#REF!</definedName>
    <definedName name="ixRange188">#REF!</definedName>
    <definedName name="ixRange188_1">#REF!</definedName>
    <definedName name="ixRange189">#REF!</definedName>
    <definedName name="ixRange189_1">#REF!</definedName>
    <definedName name="ixRange19">#REF!</definedName>
    <definedName name="ixRange19_1">#REF!</definedName>
    <definedName name="ixRange190">#REF!</definedName>
    <definedName name="ixRange190_1">#REF!</definedName>
    <definedName name="ixRange191">#REF!</definedName>
    <definedName name="ixRange191_1">#REF!</definedName>
    <definedName name="ixRange192">#REF!</definedName>
    <definedName name="ixRange192_1">#REF!</definedName>
    <definedName name="ixRange193">#REF!</definedName>
    <definedName name="ixRange193_1">#REF!</definedName>
    <definedName name="ixRange194">#REF!</definedName>
    <definedName name="ixRange194_1">#REF!</definedName>
    <definedName name="ixRange195">#REF!</definedName>
    <definedName name="ixRange195_1">#REF!</definedName>
    <definedName name="ixRange196">#REF!</definedName>
    <definedName name="ixRange196_1">#REF!</definedName>
    <definedName name="ixRange197">#REF!</definedName>
    <definedName name="ixRange197_1">#REF!</definedName>
    <definedName name="ixRange198">#REF!</definedName>
    <definedName name="ixRange198_1">#REF!</definedName>
    <definedName name="ixRange199">#REF!</definedName>
    <definedName name="ixRange199_1">#REF!</definedName>
    <definedName name="ixRange2">#REF!</definedName>
    <definedName name="ixRange2_1">#REF!</definedName>
    <definedName name="ixRange20">#REF!</definedName>
    <definedName name="ixRange20_1">#REF!</definedName>
    <definedName name="ixRange200">#REF!</definedName>
    <definedName name="ixRange200_1">#REF!</definedName>
    <definedName name="ixRange201">#REF!</definedName>
    <definedName name="ixRange201_1">#REF!</definedName>
    <definedName name="ixRange202">#REF!</definedName>
    <definedName name="ixRange202_1">#REF!</definedName>
    <definedName name="ixRange203">#REF!</definedName>
    <definedName name="ixRange203_1">#REF!</definedName>
    <definedName name="ixRange204">#REF!</definedName>
    <definedName name="ixRange204_1">#REF!</definedName>
    <definedName name="ixRange205">#REF!</definedName>
    <definedName name="ixRange205_1">#REF!</definedName>
    <definedName name="ixRange206">#REF!</definedName>
    <definedName name="ixRange206_1">#REF!</definedName>
    <definedName name="ixRange207">#REF!</definedName>
    <definedName name="ixRange207_1">#REF!</definedName>
    <definedName name="ixRange208">#REF!</definedName>
    <definedName name="ixRange208_1">#REF!</definedName>
    <definedName name="ixRange209">#REF!</definedName>
    <definedName name="ixRange209_1">#REF!</definedName>
    <definedName name="ixRange21">#REF!</definedName>
    <definedName name="ixRange21_1">#REF!</definedName>
    <definedName name="ixRange210">#REF!</definedName>
    <definedName name="ixRange210_1">#REF!</definedName>
    <definedName name="ixRange211">#REF!</definedName>
    <definedName name="ixRange211_1">#REF!</definedName>
    <definedName name="ixRange212">#REF!</definedName>
    <definedName name="ixRange212_1">#REF!</definedName>
    <definedName name="ixRange213">#REF!</definedName>
    <definedName name="ixRange213_1">#REF!</definedName>
    <definedName name="ixRange214">#REF!</definedName>
    <definedName name="ixRange214_1">#REF!</definedName>
    <definedName name="ixRange215">#REF!</definedName>
    <definedName name="ixRange215_1">#REF!</definedName>
    <definedName name="ixRange216">#REF!</definedName>
    <definedName name="ixRange216_1">#REF!</definedName>
    <definedName name="ixRange217">#REF!</definedName>
    <definedName name="ixRange217_1">#REF!</definedName>
    <definedName name="ixRange218">#REF!</definedName>
    <definedName name="ixRange218_1">#REF!</definedName>
    <definedName name="ixRange219">#REF!</definedName>
    <definedName name="ixRange219_1">#REF!</definedName>
    <definedName name="ixRange22">#REF!</definedName>
    <definedName name="ixRange22_1">#REF!</definedName>
    <definedName name="ixRange220">#REF!</definedName>
    <definedName name="ixRange220_1">#REF!</definedName>
    <definedName name="ixRange221">#REF!</definedName>
    <definedName name="ixRange221_1">#REF!</definedName>
    <definedName name="ixRange222">#REF!</definedName>
    <definedName name="ixRange222_1">#REF!</definedName>
    <definedName name="ixRange223">#REF!</definedName>
    <definedName name="ixRange223_1">#REF!</definedName>
    <definedName name="ixRange224">#REF!</definedName>
    <definedName name="ixRange224_1">#REF!</definedName>
    <definedName name="ixRange225">#REF!</definedName>
    <definedName name="ixRange225_1">#REF!</definedName>
    <definedName name="ixRange226">#REF!</definedName>
    <definedName name="ixRange226_1">#REF!</definedName>
    <definedName name="ixRange227">#REF!</definedName>
    <definedName name="ixRange227_1">#REF!</definedName>
    <definedName name="ixRange228">#REF!</definedName>
    <definedName name="ixRange228_1">#REF!</definedName>
    <definedName name="ixRange229">#REF!</definedName>
    <definedName name="ixRange229_1">#REF!</definedName>
    <definedName name="ixRange23">#REF!</definedName>
    <definedName name="ixRange23_1">#REF!</definedName>
    <definedName name="ixRange230">#REF!</definedName>
    <definedName name="ixRange230_1">#REF!</definedName>
    <definedName name="ixRange231">#REF!</definedName>
    <definedName name="ixRange231_1">#REF!</definedName>
    <definedName name="ixRange232">#REF!</definedName>
    <definedName name="ixRange232_1">#REF!</definedName>
    <definedName name="ixRange233">#REF!</definedName>
    <definedName name="ixRange233_1">#REF!</definedName>
    <definedName name="ixRange234">#REF!</definedName>
    <definedName name="ixRange234_1">#REF!</definedName>
    <definedName name="ixRange235">#REF!</definedName>
    <definedName name="ixRange235_1">#REF!</definedName>
    <definedName name="ixRange236">#REF!</definedName>
    <definedName name="ixRange236_1">#REF!</definedName>
    <definedName name="ixRange237">#REF!</definedName>
    <definedName name="ixRange237_1">#REF!</definedName>
    <definedName name="ixRange238">#REF!</definedName>
    <definedName name="ixRange238_1">#REF!</definedName>
    <definedName name="ixRange239">#REF!</definedName>
    <definedName name="ixRange239_1">#REF!</definedName>
    <definedName name="ixRange24">#REF!</definedName>
    <definedName name="ixRange24_1">#REF!</definedName>
    <definedName name="ixRange240">#REF!</definedName>
    <definedName name="ixRange240_1">#REF!</definedName>
    <definedName name="ixRange241">#REF!</definedName>
    <definedName name="ixRange241_1">#REF!</definedName>
    <definedName name="ixRange242">#REF!</definedName>
    <definedName name="ixRange242_1">#REF!</definedName>
    <definedName name="ixRange243">#REF!</definedName>
    <definedName name="ixRange243_1">#REF!</definedName>
    <definedName name="ixRange244">#REF!</definedName>
    <definedName name="ixRange244_1">#REF!</definedName>
    <definedName name="ixRange245">#REF!</definedName>
    <definedName name="ixRange245_1">#REF!</definedName>
    <definedName name="ixRange246">#REF!</definedName>
    <definedName name="ixRange246_1">#REF!</definedName>
    <definedName name="ixRange247">#REF!</definedName>
    <definedName name="ixRange247_1">#REF!</definedName>
    <definedName name="ixRange248">#REF!</definedName>
    <definedName name="ixRange248_1">#REF!</definedName>
    <definedName name="ixRange249">#REF!</definedName>
    <definedName name="ixRange249_1">#REF!</definedName>
    <definedName name="ixRange25">#REF!</definedName>
    <definedName name="ixRange25_1">#REF!</definedName>
    <definedName name="ixRange250">#REF!</definedName>
    <definedName name="ixRange250_1">#REF!</definedName>
    <definedName name="ixRange251">#REF!</definedName>
    <definedName name="ixRange251_1">#REF!</definedName>
    <definedName name="ixRange252">#REF!</definedName>
    <definedName name="ixRange252_1">#REF!</definedName>
    <definedName name="ixRange253">#REF!</definedName>
    <definedName name="ixRange253_1">#REF!</definedName>
    <definedName name="ixRange254">#REF!</definedName>
    <definedName name="ixRange254_1">#REF!</definedName>
    <definedName name="ixRange255">#REF!</definedName>
    <definedName name="ixRange255_1">#REF!</definedName>
    <definedName name="ixRange256">#REF!</definedName>
    <definedName name="ixRange256_1">#REF!</definedName>
    <definedName name="ixRange257">#REF!</definedName>
    <definedName name="ixRange257_1">#REF!</definedName>
    <definedName name="ixRange258">#REF!</definedName>
    <definedName name="ixRange258_1">#REF!</definedName>
    <definedName name="ixRange259">#REF!</definedName>
    <definedName name="ixRange259_1">#REF!</definedName>
    <definedName name="ixRange26">#REF!</definedName>
    <definedName name="ixRange26_1">#REF!</definedName>
    <definedName name="ixRange260">#REF!</definedName>
    <definedName name="ixRange260_1">#REF!</definedName>
    <definedName name="ixRange261">#REF!</definedName>
    <definedName name="ixRange261_1">#REF!</definedName>
    <definedName name="ixRange262">#REF!</definedName>
    <definedName name="ixRange262_1">#REF!</definedName>
    <definedName name="ixRange263">#REF!</definedName>
    <definedName name="ixRange263_1">#REF!</definedName>
    <definedName name="ixRange264">#REF!</definedName>
    <definedName name="ixRange264_1">#REF!</definedName>
    <definedName name="ixRange265">#REF!</definedName>
    <definedName name="ixRange265_1">#REF!</definedName>
    <definedName name="ixRange266">#REF!</definedName>
    <definedName name="ixRange266_1">#REF!</definedName>
    <definedName name="ixRange267">#REF!</definedName>
    <definedName name="ixRange267_1">#REF!</definedName>
    <definedName name="ixRange268">#REF!</definedName>
    <definedName name="ixRange268_1">#REF!</definedName>
    <definedName name="ixRange269">#REF!</definedName>
    <definedName name="ixRange269_1">#REF!</definedName>
    <definedName name="ixRange27">#REF!</definedName>
    <definedName name="ixRange27_1">#REF!</definedName>
    <definedName name="ixRange270">#REF!</definedName>
    <definedName name="ixRange270_1">#REF!</definedName>
    <definedName name="ixRange271">#REF!</definedName>
    <definedName name="ixRange271_1">#REF!</definedName>
    <definedName name="ixRange272">#REF!</definedName>
    <definedName name="ixRange272_1">#REF!</definedName>
    <definedName name="ixRange273">#REF!</definedName>
    <definedName name="ixRange273_1">#REF!</definedName>
    <definedName name="ixRange274">#REF!</definedName>
    <definedName name="ixRange274_1">#REF!</definedName>
    <definedName name="ixRange275">#REF!</definedName>
    <definedName name="ixRange275_1">#REF!</definedName>
    <definedName name="ixRange276">#REF!</definedName>
    <definedName name="ixRange276_1">#REF!</definedName>
    <definedName name="ixRange277">#REF!</definedName>
    <definedName name="ixRange277_1">#REF!</definedName>
    <definedName name="ixRange278">#REF!</definedName>
    <definedName name="ixRange278_1">#REF!</definedName>
    <definedName name="ixRange279">#REF!</definedName>
    <definedName name="ixRange279_1">#REF!</definedName>
    <definedName name="ixRange28">#REF!</definedName>
    <definedName name="ixRange28_1">#REF!</definedName>
    <definedName name="ixRange280">#REF!</definedName>
    <definedName name="ixRange280_1">#REF!</definedName>
    <definedName name="ixRange281">#REF!</definedName>
    <definedName name="ixRange281_1">#REF!</definedName>
    <definedName name="ixRange282">#REF!</definedName>
    <definedName name="ixRange282_1">#REF!</definedName>
    <definedName name="ixRange283">#REF!</definedName>
    <definedName name="ixRange283_1">#REF!</definedName>
    <definedName name="ixRange284">#REF!</definedName>
    <definedName name="ixRange284_1">#REF!</definedName>
    <definedName name="ixRange285">#REF!</definedName>
    <definedName name="ixRange285_1">#REF!</definedName>
    <definedName name="ixRange286">#REF!</definedName>
    <definedName name="ixRange286_1">#REF!</definedName>
    <definedName name="ixRange287">#REF!</definedName>
    <definedName name="ixRange287_1">#REF!</definedName>
    <definedName name="ixRange288">#REF!</definedName>
    <definedName name="ixRange288_1">#REF!</definedName>
    <definedName name="ixRange289">#REF!</definedName>
    <definedName name="ixRange289_1">#REF!</definedName>
    <definedName name="ixRange29">#REF!</definedName>
    <definedName name="ixRange29_1">#REF!</definedName>
    <definedName name="ixRange290">#REF!</definedName>
    <definedName name="ixRange290_1">#REF!</definedName>
    <definedName name="ixRange291">#REF!</definedName>
    <definedName name="ixRange291_1">#REF!</definedName>
    <definedName name="ixRange292">#REF!</definedName>
    <definedName name="ixRange292_1">#REF!</definedName>
    <definedName name="ixRange293">#REF!</definedName>
    <definedName name="ixRange293_1">#REF!</definedName>
    <definedName name="ixRange294">#REF!</definedName>
    <definedName name="ixRange294_1">#REF!</definedName>
    <definedName name="ixRange295">#REF!</definedName>
    <definedName name="ixRange295_1">#REF!</definedName>
    <definedName name="ixRange296">#REF!</definedName>
    <definedName name="ixRange296_1">#REF!</definedName>
    <definedName name="ixRange297">#REF!</definedName>
    <definedName name="ixRange297_1">#REF!</definedName>
    <definedName name="ixRange298">#REF!</definedName>
    <definedName name="ixRange298_1">#REF!</definedName>
    <definedName name="ixRange299">#REF!</definedName>
    <definedName name="ixRange299_1">#REF!</definedName>
    <definedName name="ixRange3">#REF!</definedName>
    <definedName name="ixRange3_1">#REF!</definedName>
    <definedName name="ixRange30">#REF!</definedName>
    <definedName name="ixRange30_1">#REF!</definedName>
    <definedName name="ixRange300">#REF!</definedName>
    <definedName name="ixRange300_1">#REF!</definedName>
    <definedName name="ixRange301">#REF!</definedName>
    <definedName name="ixRange301_1">#REF!</definedName>
    <definedName name="ixRange302">#REF!</definedName>
    <definedName name="ixRange302_1">#REF!</definedName>
    <definedName name="ixRange303">#REF!</definedName>
    <definedName name="ixRange303_1">#REF!</definedName>
    <definedName name="ixRange304">#REF!</definedName>
    <definedName name="ixRange304_1">#REF!</definedName>
    <definedName name="ixRange305">#REF!</definedName>
    <definedName name="ixRange305_1">#REF!</definedName>
    <definedName name="ixRange306">#REF!</definedName>
    <definedName name="ixRange306_1">#REF!</definedName>
    <definedName name="ixRange307">#REF!</definedName>
    <definedName name="ixRange307_1">#REF!</definedName>
    <definedName name="ixRange308">#REF!</definedName>
    <definedName name="ixRange308_1">#REF!</definedName>
    <definedName name="ixRange309">#REF!</definedName>
    <definedName name="ixRange309_1">#REF!</definedName>
    <definedName name="ixRange31">#REF!</definedName>
    <definedName name="ixRange31_1">#REF!</definedName>
    <definedName name="ixRange310">#REF!</definedName>
    <definedName name="ixRange310_1">#REF!</definedName>
    <definedName name="ixRange311">#REF!</definedName>
    <definedName name="ixRange311_1">#REF!</definedName>
    <definedName name="ixRange312">#REF!</definedName>
    <definedName name="ixRange312_1">#REF!</definedName>
    <definedName name="ixRange313">#REF!</definedName>
    <definedName name="ixRange313_1">#REF!</definedName>
    <definedName name="ixRange314">#REF!</definedName>
    <definedName name="ixRange314_1">#REF!</definedName>
    <definedName name="ixRange315">#REF!</definedName>
    <definedName name="ixRange315_1">#REF!</definedName>
    <definedName name="ixRange316">#REF!</definedName>
    <definedName name="ixRange316_1">#REF!</definedName>
    <definedName name="ixRange317">#REF!</definedName>
    <definedName name="ixRange317_1">#REF!</definedName>
    <definedName name="ixRange318">#REF!</definedName>
    <definedName name="ixRange318_1">#REF!</definedName>
    <definedName name="ixRange319">#REF!</definedName>
    <definedName name="ixRange319_1">#REF!</definedName>
    <definedName name="ixRange32">#REF!</definedName>
    <definedName name="ixRange32_1">#REF!</definedName>
    <definedName name="ixRange320">#REF!</definedName>
    <definedName name="ixRange320_1">#REF!</definedName>
    <definedName name="ixRange321">#REF!</definedName>
    <definedName name="ixRange321_1">#REF!</definedName>
    <definedName name="ixRange322">#REF!</definedName>
    <definedName name="ixRange322_1">#REF!</definedName>
    <definedName name="ixRange323">#REF!</definedName>
    <definedName name="ixRange323_1">#REF!</definedName>
    <definedName name="ixRange324">#REF!</definedName>
    <definedName name="ixRange324_1">#REF!</definedName>
    <definedName name="ixRange325">#REF!</definedName>
    <definedName name="ixRange325_1">#REF!</definedName>
    <definedName name="ixRange326">#REF!</definedName>
    <definedName name="ixRange326_1">#REF!</definedName>
    <definedName name="ixRange327">#REF!</definedName>
    <definedName name="ixRange327_1">#REF!</definedName>
    <definedName name="ixRange328">#REF!</definedName>
    <definedName name="ixRange328_1">#REF!</definedName>
    <definedName name="ixRange329">#REF!</definedName>
    <definedName name="ixRange329_1">#REF!</definedName>
    <definedName name="ixRange33">#REF!</definedName>
    <definedName name="ixRange33_1">#REF!</definedName>
    <definedName name="ixRange330">#REF!</definedName>
    <definedName name="ixRange330_1">#REF!</definedName>
    <definedName name="ixRange331">#REF!</definedName>
    <definedName name="ixRange331_1">#REF!</definedName>
    <definedName name="ixRange332">#REF!</definedName>
    <definedName name="ixRange332_1">#REF!</definedName>
    <definedName name="ixRange333">#REF!</definedName>
    <definedName name="ixRange333_1">#REF!</definedName>
    <definedName name="ixRange334">#REF!</definedName>
    <definedName name="ixRange334_1">#REF!</definedName>
    <definedName name="ixRange335">#REF!</definedName>
    <definedName name="ixRange335_1">#REF!</definedName>
    <definedName name="ixRange336">#REF!</definedName>
    <definedName name="ixRange336_1">#REF!</definedName>
    <definedName name="ixRange337">#REF!</definedName>
    <definedName name="ixRange337_1">#REF!</definedName>
    <definedName name="ixRange338">#REF!</definedName>
    <definedName name="ixRange338_1">#REF!</definedName>
    <definedName name="ixRange339">#REF!</definedName>
    <definedName name="ixRange339_1">#REF!</definedName>
    <definedName name="ixRange34">#REF!</definedName>
    <definedName name="ixRange34_1">#REF!</definedName>
    <definedName name="ixRange340">#REF!</definedName>
    <definedName name="ixRange340_1">#REF!</definedName>
    <definedName name="ixRange341">#REF!</definedName>
    <definedName name="ixRange341_1">#REF!</definedName>
    <definedName name="ixRange342">#REF!</definedName>
    <definedName name="ixRange342_1">#REF!</definedName>
    <definedName name="ixRange343">#REF!</definedName>
    <definedName name="ixRange343_1">#REF!</definedName>
    <definedName name="ixRange344">#REF!</definedName>
    <definedName name="ixRange344_1">#REF!</definedName>
    <definedName name="ixRange345">#REF!</definedName>
    <definedName name="ixRange345_1">#REF!</definedName>
    <definedName name="ixRange346">#REF!</definedName>
    <definedName name="ixRange346_1">#REF!</definedName>
    <definedName name="ixRange347">#REF!</definedName>
    <definedName name="ixRange347_1">#REF!</definedName>
    <definedName name="ixRange348">#REF!</definedName>
    <definedName name="ixRange348_1">#REF!</definedName>
    <definedName name="ixRange349">#REF!</definedName>
    <definedName name="ixRange349_1">#REF!</definedName>
    <definedName name="ixRange35">#REF!</definedName>
    <definedName name="ixRange35_1">#REF!</definedName>
    <definedName name="ixRange350">#REF!</definedName>
    <definedName name="ixRange350_1">#REF!</definedName>
    <definedName name="ixRange351">#REF!</definedName>
    <definedName name="ixRange351_1">#REF!</definedName>
    <definedName name="ixRange352">#REF!</definedName>
    <definedName name="ixRange352_1">#REF!</definedName>
    <definedName name="ixRange353">#REF!</definedName>
    <definedName name="ixRange353_1">#REF!</definedName>
    <definedName name="ixRange354">#REF!</definedName>
    <definedName name="ixRange354_1">#REF!</definedName>
    <definedName name="ixRange355">#REF!</definedName>
    <definedName name="ixRange355_1">#REF!</definedName>
    <definedName name="ixRange356">#REF!</definedName>
    <definedName name="ixRange356_1">#REF!</definedName>
    <definedName name="ixRange357">#REF!</definedName>
    <definedName name="ixRange357_1">#REF!</definedName>
    <definedName name="ixRange358">#REF!</definedName>
    <definedName name="ixRange358_1">#REF!</definedName>
    <definedName name="ixRange359">#REF!</definedName>
    <definedName name="ixRange359_1">#REF!</definedName>
    <definedName name="ixRange36">#REF!</definedName>
    <definedName name="ixRange36_1">#REF!</definedName>
    <definedName name="ixRange360">#REF!</definedName>
    <definedName name="ixRange360_1">#REF!</definedName>
    <definedName name="ixRange361">#REF!</definedName>
    <definedName name="ixRange361_1">#REF!</definedName>
    <definedName name="ixRange362">#REF!</definedName>
    <definedName name="ixRange362_1">#REF!</definedName>
    <definedName name="ixRange363">#REF!</definedName>
    <definedName name="ixRange363_1">#REF!</definedName>
    <definedName name="ixRange364">#REF!</definedName>
    <definedName name="ixRange364_1">#REF!</definedName>
    <definedName name="ixRange365">#REF!</definedName>
    <definedName name="ixRange365_1">#REF!</definedName>
    <definedName name="ixRange366">#REF!</definedName>
    <definedName name="ixRange366_1">#REF!</definedName>
    <definedName name="ixRange367">#REF!</definedName>
    <definedName name="ixRange367_1">#REF!</definedName>
    <definedName name="ixRange368">#REF!</definedName>
    <definedName name="ixRange368_1">#REF!</definedName>
    <definedName name="ixRange369">#REF!</definedName>
    <definedName name="ixRange369_1">#REF!</definedName>
    <definedName name="ixRange37">#REF!</definedName>
    <definedName name="ixRange37_1">#REF!</definedName>
    <definedName name="ixRange370">#REF!</definedName>
    <definedName name="ixRange370_1">#REF!</definedName>
    <definedName name="ixRange371">#REF!</definedName>
    <definedName name="ixRange371_1">#REF!</definedName>
    <definedName name="ixRange372">#REF!</definedName>
    <definedName name="ixRange372_1">#REF!</definedName>
    <definedName name="ixRange373">#REF!</definedName>
    <definedName name="ixRange373_1">#REF!</definedName>
    <definedName name="ixRange374">#REF!</definedName>
    <definedName name="ixRange374_1">#REF!</definedName>
    <definedName name="ixRange375">#REF!</definedName>
    <definedName name="ixRange375_1">#REF!</definedName>
    <definedName name="ixRange376">#REF!</definedName>
    <definedName name="ixRange376_1">#REF!</definedName>
    <definedName name="ixRange377">#REF!</definedName>
    <definedName name="ixRange377_1">#REF!</definedName>
    <definedName name="ixRange378">#REF!</definedName>
    <definedName name="ixRange378_1">#REF!</definedName>
    <definedName name="ixRange379">#REF!</definedName>
    <definedName name="ixRange379_1">#REF!</definedName>
    <definedName name="ixRange38">#REF!</definedName>
    <definedName name="ixRange38_1">#REF!</definedName>
    <definedName name="ixRange380">#REF!</definedName>
    <definedName name="ixRange380_1">#REF!</definedName>
    <definedName name="ixRange381">#REF!</definedName>
    <definedName name="ixRange381_1">#REF!</definedName>
    <definedName name="ixRange382">#REF!</definedName>
    <definedName name="ixRange382_1">#REF!</definedName>
    <definedName name="ixRange383">#REF!</definedName>
    <definedName name="ixRange383_1">#REF!</definedName>
    <definedName name="ixRange384">#REF!</definedName>
    <definedName name="ixRange384_1">#REF!</definedName>
    <definedName name="ixRange385">#REF!</definedName>
    <definedName name="ixRange385_1">#REF!</definedName>
    <definedName name="ixRange386">#REF!</definedName>
    <definedName name="ixRange386_1">#REF!</definedName>
    <definedName name="ixRange387">#REF!</definedName>
    <definedName name="ixRange387_1">#REF!</definedName>
    <definedName name="ixRange388">#REF!</definedName>
    <definedName name="ixRange388_1">#REF!</definedName>
    <definedName name="ixRange389">#REF!</definedName>
    <definedName name="ixRange389_1">#REF!</definedName>
    <definedName name="ixRange39">#REF!</definedName>
    <definedName name="ixRange39_1">#REF!</definedName>
    <definedName name="ixRange390">#REF!</definedName>
    <definedName name="ixRange390_1">#REF!</definedName>
    <definedName name="ixRange391">#REF!</definedName>
    <definedName name="ixRange391_1">#REF!</definedName>
    <definedName name="ixRange392">#REF!</definedName>
    <definedName name="ixRange392_1">#REF!</definedName>
    <definedName name="ixRange393">#REF!</definedName>
    <definedName name="ixRange393_1">#REF!</definedName>
    <definedName name="ixRange394">#REF!</definedName>
    <definedName name="ixRange394_1">#REF!</definedName>
    <definedName name="ixRange395">#REF!</definedName>
    <definedName name="ixRange395_1">#REF!</definedName>
    <definedName name="ixRange396">#REF!</definedName>
    <definedName name="ixRange396_1">#REF!</definedName>
    <definedName name="ixRange397">#REF!</definedName>
    <definedName name="ixRange397_1">#REF!</definedName>
    <definedName name="ixRange398">#REF!</definedName>
    <definedName name="ixRange398_1">#REF!</definedName>
    <definedName name="ixRange399">#REF!</definedName>
    <definedName name="ixRange399_1">#REF!</definedName>
    <definedName name="ixRange4">#REF!</definedName>
    <definedName name="ixRange4_1">#REF!</definedName>
    <definedName name="ixRange40">#REF!</definedName>
    <definedName name="ixRange40_1">#REF!</definedName>
    <definedName name="ixRange400">#REF!</definedName>
    <definedName name="ixRange400_1">#REF!</definedName>
    <definedName name="ixRange401">#REF!</definedName>
    <definedName name="ixRange401_1">#REF!</definedName>
    <definedName name="ixRange402">#REF!</definedName>
    <definedName name="ixRange402_1">#REF!</definedName>
    <definedName name="ixRange403">#REF!</definedName>
    <definedName name="ixRange403_1">#REF!</definedName>
    <definedName name="ixRange404">#REF!</definedName>
    <definedName name="ixRange404_1">#REF!</definedName>
    <definedName name="ixRange405">#REF!</definedName>
    <definedName name="ixRange405_1">#REF!</definedName>
    <definedName name="ixRange406">#REF!</definedName>
    <definedName name="ixRange406_1">#REF!</definedName>
    <definedName name="ixRange407">#REF!</definedName>
    <definedName name="ixRange407_1">#REF!</definedName>
    <definedName name="ixRange408">#REF!</definedName>
    <definedName name="ixRange408_1">#REF!</definedName>
    <definedName name="ixRange409">#REF!</definedName>
    <definedName name="ixRange409_1">#REF!</definedName>
    <definedName name="ixRange41">#REF!</definedName>
    <definedName name="ixRange41_1">#REF!</definedName>
    <definedName name="ixRange410">#REF!</definedName>
    <definedName name="ixRange410_1">#REF!</definedName>
    <definedName name="ixRange411">#REF!</definedName>
    <definedName name="ixRange411_1">#REF!</definedName>
    <definedName name="ixRange412">#REF!</definedName>
    <definedName name="ixRange412_1">#REF!</definedName>
    <definedName name="ixRange413">#REF!</definedName>
    <definedName name="ixRange413_1">#REF!</definedName>
    <definedName name="ixRange414">#REF!</definedName>
    <definedName name="ixRange414_1">#REF!</definedName>
    <definedName name="ixRange415">#REF!</definedName>
    <definedName name="ixRange415_1">#REF!</definedName>
    <definedName name="ixRange416">#REF!</definedName>
    <definedName name="ixRange416_1">#REF!</definedName>
    <definedName name="ixRange417">#REF!</definedName>
    <definedName name="ixRange417_1">#REF!</definedName>
    <definedName name="ixRange418">#REF!</definedName>
    <definedName name="ixRange418_1">#REF!</definedName>
    <definedName name="ixRange419">#REF!</definedName>
    <definedName name="ixRange419_1">#REF!</definedName>
    <definedName name="ixRange42">#REF!</definedName>
    <definedName name="ixRange42_1">#REF!</definedName>
    <definedName name="ixRange420">#REF!</definedName>
    <definedName name="ixRange420_1">#REF!</definedName>
    <definedName name="ixRange421">#REF!</definedName>
    <definedName name="ixRange421_1">#REF!</definedName>
    <definedName name="ixRange422">#REF!</definedName>
    <definedName name="ixRange422_1">#REF!</definedName>
    <definedName name="ixRange423">#REF!</definedName>
    <definedName name="ixRange423_1">#REF!</definedName>
    <definedName name="ixRange424">#REF!</definedName>
    <definedName name="ixRange424_1">#REF!</definedName>
    <definedName name="ixRange425">#REF!</definedName>
    <definedName name="ixRange425_1">#REF!</definedName>
    <definedName name="ixRange426">#REF!</definedName>
    <definedName name="ixRange426_1">#REF!</definedName>
    <definedName name="ixRange427">#REF!</definedName>
    <definedName name="ixRange427_1">#REF!</definedName>
    <definedName name="ixRange428">#REF!</definedName>
    <definedName name="ixRange428_1">#REF!</definedName>
    <definedName name="ixRange429">#REF!</definedName>
    <definedName name="ixRange429_1">#REF!</definedName>
    <definedName name="ixRange43">#REF!</definedName>
    <definedName name="ixRange43_1">#REF!</definedName>
    <definedName name="ixRange430">#REF!</definedName>
    <definedName name="ixRange430_1">#REF!</definedName>
    <definedName name="ixRange431">#REF!</definedName>
    <definedName name="ixRange431_1">#REF!</definedName>
    <definedName name="ixRange432">#REF!</definedName>
    <definedName name="ixRange432_1">#REF!</definedName>
    <definedName name="ixRange433">#REF!</definedName>
    <definedName name="ixRange433_1">#REF!</definedName>
    <definedName name="ixRange434">#REF!</definedName>
    <definedName name="ixRange434_1">#REF!</definedName>
    <definedName name="ixRange435">#REF!</definedName>
    <definedName name="ixRange435_1">#REF!</definedName>
    <definedName name="ixRange436">#REF!</definedName>
    <definedName name="ixRange436_1">#REF!</definedName>
    <definedName name="ixRange437">#REF!</definedName>
    <definedName name="ixRange437_1">#REF!</definedName>
    <definedName name="ixRange438">#REF!</definedName>
    <definedName name="ixRange438_1">#REF!</definedName>
    <definedName name="ixRange439">#REF!</definedName>
    <definedName name="ixRange439_1">#REF!</definedName>
    <definedName name="ixRange44">#REF!</definedName>
    <definedName name="ixRange44_1">#REF!</definedName>
    <definedName name="ixRange440">#REF!</definedName>
    <definedName name="ixRange440_1">#REF!</definedName>
    <definedName name="ixRange441">#REF!</definedName>
    <definedName name="ixRange441_1">#REF!</definedName>
    <definedName name="ixRange442">#REF!</definedName>
    <definedName name="ixRange442_1">#REF!</definedName>
    <definedName name="ixRange443">#REF!</definedName>
    <definedName name="ixRange443_1">#REF!</definedName>
    <definedName name="ixRange444">#REF!</definedName>
    <definedName name="ixRange444_1">#REF!</definedName>
    <definedName name="ixRange445">#REF!</definedName>
    <definedName name="ixRange445_1">#REF!</definedName>
    <definedName name="ixRange446">#REF!</definedName>
    <definedName name="ixRange446_1">#REF!</definedName>
    <definedName name="ixRange447">#REF!</definedName>
    <definedName name="ixRange447_1">#REF!</definedName>
    <definedName name="ixRange448">#REF!</definedName>
    <definedName name="ixRange448_1">#REF!</definedName>
    <definedName name="ixRange449">#REF!</definedName>
    <definedName name="ixRange449_1">#REF!</definedName>
    <definedName name="ixRange45">#REF!</definedName>
    <definedName name="ixRange45_1">#REF!</definedName>
    <definedName name="ixRange450">#REF!</definedName>
    <definedName name="ixRange450_1">#REF!</definedName>
    <definedName name="ixRange451">#REF!</definedName>
    <definedName name="ixRange451_1">#REF!</definedName>
    <definedName name="ixRange452">#REF!</definedName>
    <definedName name="ixRange452_1">#REF!</definedName>
    <definedName name="ixRange453">#REF!</definedName>
    <definedName name="ixRange453_1">#REF!</definedName>
    <definedName name="ixRange454">#REF!</definedName>
    <definedName name="ixRange454_1">#REF!</definedName>
    <definedName name="ixRange455">#REF!</definedName>
    <definedName name="ixRange455_1">#REF!</definedName>
    <definedName name="ixRange456">#REF!</definedName>
    <definedName name="ixRange456_1">#REF!</definedName>
    <definedName name="ixRange457">#REF!</definedName>
    <definedName name="ixRange457_1">#REF!</definedName>
    <definedName name="ixRange458">#REF!</definedName>
    <definedName name="ixRange458_1">#REF!</definedName>
    <definedName name="ixRange459">#REF!</definedName>
    <definedName name="ixRange459_1">#REF!</definedName>
    <definedName name="ixRange46">#REF!</definedName>
    <definedName name="ixRange46_1">#REF!</definedName>
    <definedName name="ixRange460">#REF!</definedName>
    <definedName name="ixRange460_1">#REF!</definedName>
    <definedName name="ixRange461">#REF!</definedName>
    <definedName name="ixRange461_1">#REF!</definedName>
    <definedName name="ixRange462">#REF!</definedName>
    <definedName name="ixRange462_1">#REF!</definedName>
    <definedName name="ixRange463">#REF!</definedName>
    <definedName name="ixRange463_1">#REF!</definedName>
    <definedName name="ixRange464">#REF!</definedName>
    <definedName name="ixRange464_1">#REF!</definedName>
    <definedName name="ixRange465">#REF!</definedName>
    <definedName name="ixRange465_1">#REF!</definedName>
    <definedName name="ixRange466">#REF!</definedName>
    <definedName name="ixRange466_1">#REF!</definedName>
    <definedName name="ixRange467">#REF!</definedName>
    <definedName name="ixRange467_1">#REF!</definedName>
    <definedName name="ixRange468">#REF!</definedName>
    <definedName name="ixRange468_1">#REF!</definedName>
    <definedName name="ixRange469">#REF!</definedName>
    <definedName name="ixRange469_1">#REF!</definedName>
    <definedName name="ixRange47">#REF!</definedName>
    <definedName name="ixRange47_1">#REF!</definedName>
    <definedName name="ixRange470">#REF!</definedName>
    <definedName name="ixRange470_1">#REF!</definedName>
    <definedName name="ixRange471">#REF!</definedName>
    <definedName name="ixRange471_1">#REF!</definedName>
    <definedName name="ixRange472">#REF!</definedName>
    <definedName name="ixRange472_1">#REF!</definedName>
    <definedName name="ixRange473">#REF!</definedName>
    <definedName name="ixRange473_1">#REF!</definedName>
    <definedName name="ixRange474">#REF!</definedName>
    <definedName name="ixRange474_1">#REF!</definedName>
    <definedName name="ixRange475">#REF!</definedName>
    <definedName name="ixRange475_1">#REF!</definedName>
    <definedName name="ixRange476">#REF!</definedName>
    <definedName name="ixRange476_1">#REF!</definedName>
    <definedName name="ixRange477">#REF!</definedName>
    <definedName name="ixRange477_1">#REF!</definedName>
    <definedName name="ixRange478">#REF!</definedName>
    <definedName name="ixRange478_1">#REF!</definedName>
    <definedName name="ixRange479">#REF!</definedName>
    <definedName name="ixRange479_1">#REF!</definedName>
    <definedName name="ixRange48">#REF!</definedName>
    <definedName name="ixRange48_1">#REF!</definedName>
    <definedName name="ixRange480">#REF!</definedName>
    <definedName name="ixRange480_1">#REF!</definedName>
    <definedName name="ixRange481">#REF!</definedName>
    <definedName name="ixRange481_1">#REF!</definedName>
    <definedName name="ixRange482">#REF!</definedName>
    <definedName name="ixRange482_1">#REF!</definedName>
    <definedName name="ixRange483">#REF!</definedName>
    <definedName name="ixRange483_1">#REF!</definedName>
    <definedName name="ixRange484">#REF!</definedName>
    <definedName name="ixRange484_1">#REF!</definedName>
    <definedName name="ixRange485">#REF!</definedName>
    <definedName name="ixRange485_1">#REF!</definedName>
    <definedName name="ixRange486">#REF!</definedName>
    <definedName name="ixRange486_1">#REF!</definedName>
    <definedName name="ixRange487">#REF!</definedName>
    <definedName name="ixRange487_1">#REF!</definedName>
    <definedName name="ixRange488">#REF!</definedName>
    <definedName name="ixRange488_1">#REF!</definedName>
    <definedName name="ixRange489">#REF!</definedName>
    <definedName name="ixRange489_1">#REF!</definedName>
    <definedName name="ixRange49">#REF!</definedName>
    <definedName name="ixRange49_1">#REF!</definedName>
    <definedName name="ixRange490">#REF!</definedName>
    <definedName name="ixRange490_1">#REF!</definedName>
    <definedName name="ixRange491">#REF!</definedName>
    <definedName name="ixRange491_1">#REF!</definedName>
    <definedName name="ixRange492">#REF!</definedName>
    <definedName name="ixRange492_1">#REF!</definedName>
    <definedName name="ixRange493">#REF!</definedName>
    <definedName name="ixRange493_1">#REF!</definedName>
    <definedName name="ixRange494">#REF!</definedName>
    <definedName name="ixRange494_1">#REF!</definedName>
    <definedName name="ixRange495">#REF!</definedName>
    <definedName name="ixRange495_1">#REF!</definedName>
    <definedName name="ixRange496">#REF!</definedName>
    <definedName name="ixRange496_1">#REF!</definedName>
    <definedName name="ixRange497">#REF!</definedName>
    <definedName name="ixRange497_1">#REF!</definedName>
    <definedName name="ixRange498">#REF!</definedName>
    <definedName name="ixRange498_1">#REF!</definedName>
    <definedName name="ixRange499">#REF!</definedName>
    <definedName name="ixRange499_1">#REF!</definedName>
    <definedName name="ixRange5">#REF!</definedName>
    <definedName name="ixRange5_1">#REF!</definedName>
    <definedName name="ixRange50">#REF!</definedName>
    <definedName name="ixRange50_1">#REF!</definedName>
    <definedName name="ixRange500">#REF!</definedName>
    <definedName name="ixRange500_1">#REF!</definedName>
    <definedName name="ixRange501">#REF!</definedName>
    <definedName name="ixRange501_1">#REF!</definedName>
    <definedName name="ixRange502">#REF!</definedName>
    <definedName name="ixRange502_1">#REF!</definedName>
    <definedName name="ixRange503">#REF!</definedName>
    <definedName name="ixRange503_1">#REF!</definedName>
    <definedName name="ixRange504">#REF!</definedName>
    <definedName name="ixRange504_1">#REF!</definedName>
    <definedName name="ixRange505">#REF!</definedName>
    <definedName name="ixRange505_1">#REF!</definedName>
    <definedName name="ixRange506">#REF!</definedName>
    <definedName name="ixRange506_1">#REF!</definedName>
    <definedName name="ixRange507">#REF!</definedName>
    <definedName name="ixRange507_1">#REF!</definedName>
    <definedName name="ixRange508">#REF!</definedName>
    <definedName name="ixRange508_1">#REF!</definedName>
    <definedName name="ixRange509">#REF!</definedName>
    <definedName name="ixRange509_1">#REF!</definedName>
    <definedName name="ixRange51">#REF!</definedName>
    <definedName name="ixRange51_1">#REF!</definedName>
    <definedName name="ixRange510">#REF!</definedName>
    <definedName name="ixRange510_1">#REF!</definedName>
    <definedName name="ixRange511">#REF!</definedName>
    <definedName name="ixRange511_1">#REF!</definedName>
    <definedName name="ixRange512">#REF!</definedName>
    <definedName name="ixRange512_1">#REF!</definedName>
    <definedName name="ixRange513">#REF!</definedName>
    <definedName name="ixRange513_1">#REF!</definedName>
    <definedName name="ixRange514">#REF!</definedName>
    <definedName name="ixRange514_1">#REF!</definedName>
    <definedName name="ixRange515">#REF!</definedName>
    <definedName name="ixRange515_1">#REF!</definedName>
    <definedName name="ixRange516">#REF!</definedName>
    <definedName name="ixRange516_1">#REF!</definedName>
    <definedName name="ixRange517">#REF!</definedName>
    <definedName name="ixRange517_1">#REF!</definedName>
    <definedName name="ixRange518">#REF!</definedName>
    <definedName name="ixRange518_1">#REF!</definedName>
    <definedName name="ixRange519">#REF!</definedName>
    <definedName name="ixRange519_1">#REF!</definedName>
    <definedName name="ixRange52">#REF!</definedName>
    <definedName name="ixRange52_1">#REF!</definedName>
    <definedName name="ixRange520">#REF!</definedName>
    <definedName name="ixRange520_1">#REF!</definedName>
    <definedName name="ixRange521">#REF!</definedName>
    <definedName name="ixRange521_1">#REF!</definedName>
    <definedName name="ixRange522">#REF!</definedName>
    <definedName name="ixRange522_1">#REF!</definedName>
    <definedName name="ixRange523">#REF!</definedName>
    <definedName name="ixRange523_1">#REF!</definedName>
    <definedName name="ixRange524">#REF!</definedName>
    <definedName name="ixRange524_1">#REF!</definedName>
    <definedName name="ixRange525">#REF!</definedName>
    <definedName name="ixRange525_1">#REF!</definedName>
    <definedName name="ixRange526">#REF!</definedName>
    <definedName name="ixRange526_1">#REF!</definedName>
    <definedName name="ixRange527">#REF!</definedName>
    <definedName name="ixRange527_1">#REF!</definedName>
    <definedName name="ixRange528">#REF!</definedName>
    <definedName name="ixRange528_1">#REF!</definedName>
    <definedName name="ixRange529">#REF!</definedName>
    <definedName name="ixRange529_1">#REF!</definedName>
    <definedName name="ixRange53">#REF!</definedName>
    <definedName name="ixRange53_1">#REF!</definedName>
    <definedName name="ixRange530">#REF!</definedName>
    <definedName name="ixRange530_1">#REF!</definedName>
    <definedName name="ixRange531">#REF!</definedName>
    <definedName name="ixRange531_1">#REF!</definedName>
    <definedName name="ixRange532">#REF!</definedName>
    <definedName name="ixRange532_1">#REF!</definedName>
    <definedName name="ixRange533">#REF!</definedName>
    <definedName name="ixRange533_1">#REF!</definedName>
    <definedName name="ixRange534">#REF!</definedName>
    <definedName name="ixRange534_1">#REF!</definedName>
    <definedName name="ixRange535">#REF!</definedName>
    <definedName name="ixRange535_1">#REF!</definedName>
    <definedName name="ixRange536">#REF!</definedName>
    <definedName name="ixRange536_1">#REF!</definedName>
    <definedName name="ixRange537">#REF!</definedName>
    <definedName name="ixRange537_1">#REF!</definedName>
    <definedName name="ixRange538">#REF!</definedName>
    <definedName name="ixRange538_1">#REF!</definedName>
    <definedName name="ixRange539">#REF!</definedName>
    <definedName name="ixRange539_1">#REF!</definedName>
    <definedName name="ixRange54">#REF!</definedName>
    <definedName name="ixRange54_1">#REF!</definedName>
    <definedName name="ixRange540">#REF!</definedName>
    <definedName name="ixRange540_1">#REF!</definedName>
    <definedName name="ixRange541">#REF!</definedName>
    <definedName name="ixRange541_1">#REF!</definedName>
    <definedName name="ixRange542">#REF!</definedName>
    <definedName name="ixRange542_1">#REF!</definedName>
    <definedName name="ixRange543">#REF!</definedName>
    <definedName name="ixRange543_1">#REF!</definedName>
    <definedName name="ixRange544">#REF!</definedName>
    <definedName name="ixRange544_1">#REF!</definedName>
    <definedName name="ixRange545">#REF!</definedName>
    <definedName name="ixRange545_1">#REF!</definedName>
    <definedName name="ixRange546">#REF!</definedName>
    <definedName name="ixRange546_1">#REF!</definedName>
    <definedName name="ixRange547">#REF!</definedName>
    <definedName name="ixRange547_1">#REF!</definedName>
    <definedName name="ixRange548">#REF!</definedName>
    <definedName name="ixRange548_1">#REF!</definedName>
    <definedName name="ixRange549">#REF!</definedName>
    <definedName name="ixRange549_1">#REF!</definedName>
    <definedName name="ixRange55">#REF!</definedName>
    <definedName name="ixRange55_1">#REF!</definedName>
    <definedName name="ixRange550">#REF!</definedName>
    <definedName name="ixRange550_1">#REF!</definedName>
    <definedName name="ixRange551">#REF!</definedName>
    <definedName name="ixRange551_1">#REF!</definedName>
    <definedName name="ixRange552">#REF!</definedName>
    <definedName name="ixRange552_1">#REF!</definedName>
    <definedName name="ixRange553">#REF!</definedName>
    <definedName name="ixRange553_1">#REF!</definedName>
    <definedName name="ixRange554">#REF!</definedName>
    <definedName name="ixRange554_1">#REF!</definedName>
    <definedName name="ixRange555">#REF!</definedName>
    <definedName name="ixRange555_1">#REF!</definedName>
    <definedName name="ixRange556">#REF!</definedName>
    <definedName name="ixRange556_1">#REF!</definedName>
    <definedName name="ixRange557">#REF!</definedName>
    <definedName name="ixRange557_1">#REF!</definedName>
    <definedName name="ixRange558">#REF!</definedName>
    <definedName name="ixRange558_1">#REF!</definedName>
    <definedName name="ixRange559">#REF!</definedName>
    <definedName name="ixRange559_1">#REF!</definedName>
    <definedName name="ixRange56">#REF!</definedName>
    <definedName name="ixRange56_1">#REF!</definedName>
    <definedName name="ixRange560">#REF!</definedName>
    <definedName name="ixRange560_1">#REF!</definedName>
    <definedName name="ixRange561">#REF!</definedName>
    <definedName name="ixRange561_1">#REF!</definedName>
    <definedName name="ixRange562">#REF!</definedName>
    <definedName name="ixRange562_1">#REF!</definedName>
    <definedName name="ixRange563">#REF!</definedName>
    <definedName name="ixRange563_1">#REF!</definedName>
    <definedName name="ixRange564">#REF!</definedName>
    <definedName name="ixRange564_1">#REF!</definedName>
    <definedName name="ixRange565">#REF!</definedName>
    <definedName name="ixRange566">#REF!</definedName>
    <definedName name="ixRange567">#REF!</definedName>
    <definedName name="ixRange568">#REF!</definedName>
    <definedName name="ixRange569">#REF!</definedName>
    <definedName name="ixRange57">#REF!</definedName>
    <definedName name="ixRange57_1">#REF!</definedName>
    <definedName name="ixRange570">#REF!</definedName>
    <definedName name="ixRange571">#REF!</definedName>
    <definedName name="ixRange572">#REF!</definedName>
    <definedName name="ixRange573">#REF!</definedName>
    <definedName name="ixRange574">#REF!</definedName>
    <definedName name="ixRange575">#REF!</definedName>
    <definedName name="ixRange576">#REF!</definedName>
    <definedName name="ixRange577">#REF!</definedName>
    <definedName name="ixRange578">#REF!</definedName>
    <definedName name="ixRange579">#REF!</definedName>
    <definedName name="ixRange58">#REF!</definedName>
    <definedName name="ixRange58_1">#REF!</definedName>
    <definedName name="ixRange580">#REF!</definedName>
    <definedName name="ixRange581">#REF!</definedName>
    <definedName name="ixRange582">#REF!</definedName>
    <definedName name="ixRange583">#REF!</definedName>
    <definedName name="ixRange584">#REF!</definedName>
    <definedName name="ixRange585">#REF!</definedName>
    <definedName name="ixRange586">#REF!</definedName>
    <definedName name="ixRange587">#REF!</definedName>
    <definedName name="ixRange588">#REF!</definedName>
    <definedName name="ixRange589">#REF!</definedName>
    <definedName name="ixRange59">#REF!</definedName>
    <definedName name="ixRange59_1">#REF!</definedName>
    <definedName name="ixRange590">#REF!</definedName>
    <definedName name="ixRange591">#REF!</definedName>
    <definedName name="ixRange592">#REF!</definedName>
    <definedName name="ixRange593">#REF!</definedName>
    <definedName name="ixRange594">#REF!</definedName>
    <definedName name="ixRange595">#REF!</definedName>
    <definedName name="ixRange596">#REF!</definedName>
    <definedName name="ixRange597">#REF!</definedName>
    <definedName name="ixRange598">#REF!</definedName>
    <definedName name="ixRange599">#REF!</definedName>
    <definedName name="ixRange6">#REF!</definedName>
    <definedName name="ixRange6_1">#REF!</definedName>
    <definedName name="ixRange60">#REF!</definedName>
    <definedName name="ixRange60_1">#REF!</definedName>
    <definedName name="ixRange600">#REF!</definedName>
    <definedName name="ixRange601">#REF!</definedName>
    <definedName name="ixRange602">#REF!</definedName>
    <definedName name="ixRange603">#REF!</definedName>
    <definedName name="ixRange604">#REF!</definedName>
    <definedName name="ixRange605">#REF!</definedName>
    <definedName name="ixRange606">#REF!</definedName>
    <definedName name="ixRange607">#REF!</definedName>
    <definedName name="ixRange608">#REF!</definedName>
    <definedName name="ixRange609">#REF!</definedName>
    <definedName name="ixRange61">#REF!</definedName>
    <definedName name="ixRange61_1">#REF!</definedName>
    <definedName name="ixRange610">#REF!</definedName>
    <definedName name="ixRange611">#REF!</definedName>
    <definedName name="ixRange612">#REF!</definedName>
    <definedName name="ixRange613">#REF!</definedName>
    <definedName name="ixRange614">#REF!</definedName>
    <definedName name="ixRange615">#REF!</definedName>
    <definedName name="ixRange616">#REF!</definedName>
    <definedName name="ixRange617">#REF!</definedName>
    <definedName name="ixRange618">#REF!</definedName>
    <definedName name="ixRange619">#REF!</definedName>
    <definedName name="ixRange62">#REF!</definedName>
    <definedName name="ixRange62_1">#REF!</definedName>
    <definedName name="ixRange620">#REF!</definedName>
    <definedName name="ixRange621">#REF!</definedName>
    <definedName name="ixRange622">#REF!</definedName>
    <definedName name="ixRange623">#REF!</definedName>
    <definedName name="ixRange624">#REF!</definedName>
    <definedName name="ixRange625">#REF!</definedName>
    <definedName name="ixRange626">#REF!</definedName>
    <definedName name="ixRange627">#REF!</definedName>
    <definedName name="ixRange628">#REF!</definedName>
    <definedName name="ixRange629">#REF!</definedName>
    <definedName name="ixRange63">#REF!</definedName>
    <definedName name="ixRange63_1">#REF!</definedName>
    <definedName name="ixRange630">#REF!</definedName>
    <definedName name="ixRange631">#REF!</definedName>
    <definedName name="ixRange632">#REF!</definedName>
    <definedName name="ixRange633">#REF!</definedName>
    <definedName name="ixRange634">#REF!</definedName>
    <definedName name="ixRange635">#REF!</definedName>
    <definedName name="ixRange636">#REF!</definedName>
    <definedName name="ixRange637">#REF!</definedName>
    <definedName name="ixRange638">#REF!</definedName>
    <definedName name="ixRange639">#REF!</definedName>
    <definedName name="ixRange64">#REF!</definedName>
    <definedName name="ixRange64_1">#REF!</definedName>
    <definedName name="ixRange640">#REF!</definedName>
    <definedName name="ixRange641">#REF!</definedName>
    <definedName name="ixRange642">#REF!</definedName>
    <definedName name="ixRange643">#REF!</definedName>
    <definedName name="ixRange644">#REF!</definedName>
    <definedName name="ixRange645">#REF!</definedName>
    <definedName name="ixRange646">#REF!</definedName>
    <definedName name="ixRange647">#REF!</definedName>
    <definedName name="ixRange648">#REF!</definedName>
    <definedName name="ixRange649">#REF!</definedName>
    <definedName name="ixRange65">#REF!</definedName>
    <definedName name="ixRange65_1">#REF!</definedName>
    <definedName name="ixRange650">#REF!</definedName>
    <definedName name="ixRange651">#REF!</definedName>
    <definedName name="ixRange652">#REF!</definedName>
    <definedName name="ixRange653">#REF!</definedName>
    <definedName name="ixRange654">#REF!</definedName>
    <definedName name="ixRange655">#REF!</definedName>
    <definedName name="ixRange656">#REF!</definedName>
    <definedName name="ixRange657">#REF!</definedName>
    <definedName name="ixRange658">#REF!</definedName>
    <definedName name="ixRange659">#REF!</definedName>
    <definedName name="ixRange66">#REF!</definedName>
    <definedName name="ixRange66_1">#REF!</definedName>
    <definedName name="ixRange660">#REF!</definedName>
    <definedName name="ixRange661">#REF!</definedName>
    <definedName name="ixRange662">#REF!</definedName>
    <definedName name="ixRange663">#REF!</definedName>
    <definedName name="ixRange664">#REF!</definedName>
    <definedName name="ixRange665">#REF!</definedName>
    <definedName name="ixRange666">#REF!</definedName>
    <definedName name="ixRange667">#REF!</definedName>
    <definedName name="ixRange668">#REF!</definedName>
    <definedName name="ixRange669">#REF!</definedName>
    <definedName name="ixRange67">#REF!</definedName>
    <definedName name="ixRange67_1">#REF!</definedName>
    <definedName name="ixRange670">#REF!</definedName>
    <definedName name="ixRange671">#REF!</definedName>
    <definedName name="ixRange672">#REF!</definedName>
    <definedName name="ixRange673">#REF!</definedName>
    <definedName name="ixRange674">#REF!</definedName>
    <definedName name="ixRange675">#REF!</definedName>
    <definedName name="ixRange676">#REF!</definedName>
    <definedName name="ixRange677">#REF!</definedName>
    <definedName name="ixRange678">#REF!</definedName>
    <definedName name="ixRange679">#REF!</definedName>
    <definedName name="ixRange68">#REF!</definedName>
    <definedName name="ixRange68_1">#REF!</definedName>
    <definedName name="ixRange680">#REF!</definedName>
    <definedName name="ixRange681">#REF!</definedName>
    <definedName name="ixRange682">#REF!</definedName>
    <definedName name="ixRange683">#REF!</definedName>
    <definedName name="ixRange684">#REF!</definedName>
    <definedName name="ixRange685">#REF!</definedName>
    <definedName name="ixRange686">#REF!</definedName>
    <definedName name="ixRange687">#REF!</definedName>
    <definedName name="ixRange688">#REF!</definedName>
    <definedName name="ixRange689">#REF!</definedName>
    <definedName name="ixRange69">#REF!</definedName>
    <definedName name="ixRange69_1">#REF!</definedName>
    <definedName name="ixRange690">#REF!</definedName>
    <definedName name="ixRange691">#REF!</definedName>
    <definedName name="ixRange692">#REF!</definedName>
    <definedName name="ixRange693">#REF!</definedName>
    <definedName name="ixRange694">#REF!</definedName>
    <definedName name="ixRange695">#REF!</definedName>
    <definedName name="ixRange696">#REF!</definedName>
    <definedName name="ixRange697">#REF!</definedName>
    <definedName name="ixRange698">#REF!</definedName>
    <definedName name="ixRange699">#REF!</definedName>
    <definedName name="ixRange7">#REF!</definedName>
    <definedName name="ixRange7_1">#REF!</definedName>
    <definedName name="ixRange70">#REF!</definedName>
    <definedName name="ixRange70_1">#REF!</definedName>
    <definedName name="ixRange700">#REF!</definedName>
    <definedName name="ixRange701">#REF!</definedName>
    <definedName name="ixRange702">#REF!</definedName>
    <definedName name="ixRange703">#REF!</definedName>
    <definedName name="ixRange704">#REF!</definedName>
    <definedName name="ixRange705">#REF!</definedName>
    <definedName name="ixRange706">#REF!</definedName>
    <definedName name="ixRange707">#REF!</definedName>
    <definedName name="ixRange708">#REF!</definedName>
    <definedName name="ixRange709">#REF!</definedName>
    <definedName name="ixRange71">#REF!</definedName>
    <definedName name="ixRange71_1">#REF!</definedName>
    <definedName name="ixRange710">#REF!</definedName>
    <definedName name="ixRange711">#REF!</definedName>
    <definedName name="ixRange712">#REF!</definedName>
    <definedName name="ixRange713">#REF!</definedName>
    <definedName name="ixRange714">#REF!</definedName>
    <definedName name="ixRange715">#REF!</definedName>
    <definedName name="ixRange716">#REF!</definedName>
    <definedName name="ixRange717">#REF!</definedName>
    <definedName name="ixRange718">#REF!</definedName>
    <definedName name="ixRange719">#REF!</definedName>
    <definedName name="ixRange72">#REF!</definedName>
    <definedName name="ixRange72_1">#REF!</definedName>
    <definedName name="ixRange720">#REF!</definedName>
    <definedName name="ixRange721">#REF!</definedName>
    <definedName name="ixRange722">#REF!</definedName>
    <definedName name="ixRange723">#REF!</definedName>
    <definedName name="ixRange724">#REF!</definedName>
    <definedName name="ixRange725">#REF!</definedName>
    <definedName name="ixRange726">#REF!</definedName>
    <definedName name="ixRange727">#REF!</definedName>
    <definedName name="ixRange728">#REF!</definedName>
    <definedName name="ixRange729">#REF!</definedName>
    <definedName name="ixRange73">#REF!</definedName>
    <definedName name="ixRange73_1">#REF!</definedName>
    <definedName name="ixRange730">#REF!</definedName>
    <definedName name="ixRange731">#REF!</definedName>
    <definedName name="ixRange732">#REF!</definedName>
    <definedName name="ixRange733">#REF!</definedName>
    <definedName name="ixRange734">#REF!</definedName>
    <definedName name="ixRange735">#REF!</definedName>
    <definedName name="ixRange736">#REF!</definedName>
    <definedName name="ixRange737">#REF!</definedName>
    <definedName name="ixRange738">#REF!</definedName>
    <definedName name="ixRange739">#REF!</definedName>
    <definedName name="ixRange74">#REF!</definedName>
    <definedName name="ixRange74_1">#REF!</definedName>
    <definedName name="ixRange740">#REF!</definedName>
    <definedName name="ixRange741">#REF!</definedName>
    <definedName name="ixRange742">#REF!</definedName>
    <definedName name="ixRange743">#REF!</definedName>
    <definedName name="ixRange744">#REF!</definedName>
    <definedName name="ixRange745">#REF!</definedName>
    <definedName name="ixRange746">#REF!</definedName>
    <definedName name="ixRange747">#REF!</definedName>
    <definedName name="ixRange748">#REF!</definedName>
    <definedName name="ixRange749">#REF!</definedName>
    <definedName name="ixRange75">#REF!</definedName>
    <definedName name="ixRange75_1">#REF!</definedName>
    <definedName name="ixRange750">#REF!</definedName>
    <definedName name="ixRange76">#REF!</definedName>
    <definedName name="ixRange76_1">#REF!</definedName>
    <definedName name="ixRange761">#REF!</definedName>
    <definedName name="ixRange77">#REF!</definedName>
    <definedName name="ixRange77_1">#REF!</definedName>
    <definedName name="ixRange78">#REF!</definedName>
    <definedName name="ixRange78_1">#REF!</definedName>
    <definedName name="ixRange780">#REF!</definedName>
    <definedName name="ixRange79">#REF!</definedName>
    <definedName name="ixRange79_1">#REF!</definedName>
    <definedName name="ixRange8">#REF!</definedName>
    <definedName name="ixRange8_1">#REF!</definedName>
    <definedName name="ixRange80">#REF!</definedName>
    <definedName name="ixRange80_1">#REF!</definedName>
    <definedName name="ixRange81">#REF!</definedName>
    <definedName name="ixRange81_1">#REF!</definedName>
    <definedName name="ixRange82">#REF!</definedName>
    <definedName name="ixRange82_1">#REF!</definedName>
    <definedName name="ixRange83">#REF!</definedName>
    <definedName name="ixRange83_1">#REF!</definedName>
    <definedName name="ixRange84">#REF!</definedName>
    <definedName name="ixRange84_1">#REF!</definedName>
    <definedName name="ixRange85">#REF!</definedName>
    <definedName name="ixRange85_1">#REF!</definedName>
    <definedName name="ixRange86">#REF!</definedName>
    <definedName name="ixRange86_1">#REF!</definedName>
    <definedName name="ixRange87">#REF!</definedName>
    <definedName name="ixRange87_1">#REF!</definedName>
    <definedName name="ixRange88">#REF!</definedName>
    <definedName name="ixRange88_1">#REF!</definedName>
    <definedName name="ixRange89">#REF!</definedName>
    <definedName name="ixRange89_1">#REF!</definedName>
    <definedName name="ixRange9">#REF!</definedName>
    <definedName name="ixRange9_1">#REF!</definedName>
    <definedName name="ixRange90">#REF!</definedName>
    <definedName name="ixRange90_1">#REF!</definedName>
    <definedName name="ixRange91">#REF!</definedName>
    <definedName name="ixRange91_1">#REF!</definedName>
    <definedName name="ixRange92">#REF!</definedName>
    <definedName name="ixRange92_1">#REF!</definedName>
    <definedName name="ixRange93">#REF!</definedName>
    <definedName name="ixRange93_1">#REF!</definedName>
    <definedName name="ixRange94">#REF!</definedName>
    <definedName name="ixRange94_1">#REF!</definedName>
    <definedName name="ixRange95">#REF!</definedName>
    <definedName name="ixRange95_1">#REF!</definedName>
    <definedName name="ixRange96">#REF!</definedName>
    <definedName name="ixRange96_1">#REF!</definedName>
    <definedName name="ixRange97">#REF!</definedName>
    <definedName name="ixRange97_1">#REF!</definedName>
    <definedName name="ixRange98">#REF!</definedName>
    <definedName name="ixRange98_1">#REF!</definedName>
    <definedName name="ixRange99">#REF!</definedName>
    <definedName name="ixRange99_1">#REF!</definedName>
    <definedName name="IZS">#REF!</definedName>
    <definedName name="Jan">#REF!</definedName>
    <definedName name="Jan09SPEND">#REF!</definedName>
    <definedName name="jfdijf">#REF!</definedName>
    <definedName name="JKHJF">#REF!</definedName>
    <definedName name="JNL">#REF!</definedName>
    <definedName name="JPYEOMSPOT">#REF!</definedName>
    <definedName name="Jul">#REF!</definedName>
    <definedName name="JUL09SPEND">#REF!</definedName>
    <definedName name="Jun">#REF!</definedName>
    <definedName name="jun08data">#REF!</definedName>
    <definedName name="JUN09SPEND">#REF!</definedName>
    <definedName name="June08">#REF!</definedName>
    <definedName name="Katnook">#REF!</definedName>
    <definedName name="KCAPrint">#REF!</definedName>
    <definedName name="Kleenheat">#REF!</definedName>
    <definedName name="KoganNorthAdminFee">#REF!</definedName>
    <definedName name="KoganNorthBookBase">#REF!</definedName>
    <definedName name="KoganNorthBookDepnRate">#REF!</definedName>
    <definedName name="KoganNorthBookLife">#REF!</definedName>
    <definedName name="KoganNorthEndOps">#REF!</definedName>
    <definedName name="KoganNorthOMMargin">#REF!</definedName>
    <definedName name="KoganNorthOpexContingency">#REF!</definedName>
    <definedName name="KoganNorthOpexSens">#REF!</definedName>
    <definedName name="KoganNorthOpsFlag">#REF!</definedName>
    <definedName name="KoganNorthOpsStart">#REF!</definedName>
    <definedName name="KoganNorthOptionAmount">#REF!</definedName>
    <definedName name="KoganNorthOptionExerciseDate">#REF!</definedName>
    <definedName name="KoganNorthOptionIndicator">#REF!</definedName>
    <definedName name="KoganNorthRealInsurance">#REF!</definedName>
    <definedName name="KoganNorthRealOpex">#REF!</definedName>
    <definedName name="KoganNorthRealRev">#REF!</definedName>
    <definedName name="KoganNorthRevSens">#REF!</definedName>
    <definedName name="KoganNorthTaxBase">#REF!</definedName>
    <definedName name="LABELTEXTCOLUMN1">#REF!</definedName>
    <definedName name="LABELTEXTROW1">#REF!</definedName>
    <definedName name="LastMonth">#REF!</definedName>
    <definedName name="laterals">#REF!</definedName>
    <definedName name="Latrobe03">#REF!</definedName>
    <definedName name="LCCtnAmount">#REF!</definedName>
    <definedName name="LCCtnDrawnAmount">#REF!</definedName>
    <definedName name="LCCtnMarginTable">#REF!</definedName>
    <definedName name="LCFacBuffer">#REF!</definedName>
    <definedName name="LCFacilitySwitch">#REF!</definedName>
    <definedName name="LeadIndicator">#REF!</definedName>
    <definedName name="LEASE">#REF!</definedName>
    <definedName name="LeaseReceivableDiff">#REF!</definedName>
    <definedName name="LeaseReceivableDiscRate">#REF!</definedName>
    <definedName name="Led">#REF!</definedName>
    <definedName name="LetterA17">#REF!</definedName>
    <definedName name="LetterA20">#REF!</definedName>
    <definedName name="LF">#REF!</definedName>
    <definedName name="Lfmktrate">#REF!</definedName>
    <definedName name="liability">#REF!</definedName>
    <definedName name="limcount" hidden="1">1</definedName>
    <definedName name="List.PayFreq">#REF!</definedName>
    <definedName name="List.States">#REF!</definedName>
    <definedName name="List.YN">#REF!</definedName>
    <definedName name="Lithogow">#REF!</definedName>
    <definedName name="LoansForgiven">#REF!</definedName>
    <definedName name="LockupDSCR">#REF!</definedName>
    <definedName name="LOG_No.">#REF!</definedName>
    <definedName name="Lookup">#REF!</definedName>
    <definedName name="Lookup_sheets">#REF!</definedName>
    <definedName name="LTI_Per_Cent">#REF!</definedName>
    <definedName name="LU_Denom">#REF!</definedName>
    <definedName name="LU_Halves">#REF!</definedName>
    <definedName name="LU_Mths">#REF!</definedName>
    <definedName name="LU_Per_Names">#REF!</definedName>
    <definedName name="LU_Pers">#REF!</definedName>
    <definedName name="LU_Pers_In_Yr">#REF!</definedName>
    <definedName name="LU_Qtrs">#REF!</definedName>
    <definedName name="LU_Yes_No">#REF!</definedName>
    <definedName name="LYN">#REF!</definedName>
    <definedName name="Lytton">#REF!</definedName>
    <definedName name="m_no">#REF!</definedName>
    <definedName name="Mackay">#REF!</definedName>
    <definedName name="Mackay_Cost">#REF!</definedName>
    <definedName name="MAIN">#REF!</definedName>
    <definedName name="MAINT">#REF!</definedName>
    <definedName name="Maintenance">#REF!</definedName>
    <definedName name="makeupgas">#REF!</definedName>
    <definedName name="Map">#REF!</definedName>
    <definedName name="MAP_Retail_Vol">#REF!</definedName>
    <definedName name="MAP_Wholesale_Vol">#REF!</definedName>
    <definedName name="Mar">#REF!</definedName>
    <definedName name="MAR09SPEND">#REF!</definedName>
    <definedName name="MAR10SPEND">#REF!</definedName>
    <definedName name="margin">#REF!</definedName>
    <definedName name="MarubeniShare">#REF!</definedName>
    <definedName name="Maryborough">#REF!</definedName>
    <definedName name="Maryborough_cost">#REF!</definedName>
    <definedName name="MaryboroughPrison">#REF!</definedName>
    <definedName name="MaxFacilitiesReq">#REF!</definedName>
    <definedName name="MaxX">#REF!</definedName>
    <definedName name="May">#REF!</definedName>
    <definedName name="MAY09AL">#REF!</definedName>
    <definedName name="MAY09SPEND">#REF!</definedName>
    <definedName name="MAY09TB">#REF!</definedName>
    <definedName name="MCMS_AS_Jun">#REF!</definedName>
    <definedName name="MCMS_OM_Jun">#REF!</definedName>
    <definedName name="MCMS_SP_Jun">#REF!</definedName>
    <definedName name="MDQ">#REF!</definedName>
    <definedName name="MDQ_Cost">#REF!</definedName>
    <definedName name="MDQc">#REF!</definedName>
    <definedName name="medvolsheet">#REF!</definedName>
    <definedName name="MER">#REF!</definedName>
    <definedName name="meter">#REF!</definedName>
    <definedName name="METRICSLIST">#REF!</definedName>
    <definedName name="METRICSTAB">#REF!</definedName>
    <definedName name="MezzHsty">#REF!</definedName>
    <definedName name="MezzSch">#REF!</definedName>
    <definedName name="MgmtRgts_B002">#REF!</definedName>
    <definedName name="MHFile">#REF!</definedName>
    <definedName name="mhpath">#REF!</definedName>
    <definedName name="MHQ">#REF!</definedName>
    <definedName name="MIDWESTSUMM">#REF!</definedName>
    <definedName name="Mild_cust">#REF!</definedName>
    <definedName name="MILDURA_BudgetData">#REF!</definedName>
    <definedName name="Million">#REF!</definedName>
    <definedName name="Millions">#REF!</definedName>
    <definedName name="MinCashFlowDate">#REF!</definedName>
    <definedName name="MinChg">#REF!</definedName>
    <definedName name="MinPayTarBud03">#REF!</definedName>
    <definedName name="Mins_In_Hr">#REF!</definedName>
    <definedName name="MinX">#REF!</definedName>
    <definedName name="MinYear">#REF!</definedName>
    <definedName name="MizuhoMaxSwap">#REF!</definedName>
    <definedName name="MizuhoTermDebt">#REF!</definedName>
    <definedName name="MLACCC_CorpTaxRate">#REF!</definedName>
    <definedName name="MLACCC_InflationRate">#REF!</definedName>
    <definedName name="MLACCC_LTPropDebtFunding">#REF!</definedName>
    <definedName name="MLACCC_LTPropEquityFunding">#REF!</definedName>
    <definedName name="MLACCC_NomPreTaxCostOfDebt">#REF!</definedName>
    <definedName name="MLACCC_PropFrankingCredits">#REF!</definedName>
    <definedName name="MLACCC_RealAssetLife_1">#REF!</definedName>
    <definedName name="MLACCC_RealAssetLife_2">#REF!</definedName>
    <definedName name="MLACCC_RealAssetLife_3">#REF!</definedName>
    <definedName name="MLACCC_RealAssetValue_1">#REF!</definedName>
    <definedName name="MLACCC_RealAssetValue_2">#REF!</definedName>
    <definedName name="MLACCC_RealAssetValue_3">#REF!</definedName>
    <definedName name="MLACCC_RealAssetValueOB_1">#REF!</definedName>
    <definedName name="MLACCC_RealAssetValueOB_2">#REF!</definedName>
    <definedName name="MLACCC_RealAssetValueOB_3">#REF!</definedName>
    <definedName name="MLACCC_TaxAssetLife_1">#REF!</definedName>
    <definedName name="MLACCC_TaxAssetLife_2">#REF!</definedName>
    <definedName name="MLACCC_TaxAssetLife_3">#REF!</definedName>
    <definedName name="MLACCC_TaxAssetValue_1">#REF!</definedName>
    <definedName name="MLACCC_TaxAssetValue_2">#REF!</definedName>
    <definedName name="MLACCC_TaxAssetValue_3">#REF!</definedName>
    <definedName name="MLACCC_TaxAssetValueOB_1">#REF!</definedName>
    <definedName name="MLACCC_TaxAssetValueOB_2">#REF!</definedName>
    <definedName name="MLACCC_TaxAssetValueOB_3">#REF!</definedName>
    <definedName name="MLAssetClass_1BookOriginal">#REF!</definedName>
    <definedName name="MLAssetClass_1TaxOriginal">#REF!</definedName>
    <definedName name="MLAssetClass_2BookOriginal">#REF!</definedName>
    <definedName name="MLAssetClass_2TaxOriginal">#REF!</definedName>
    <definedName name="MLAssetClass_3BookOriginal">#REF!</definedName>
    <definedName name="MLAssetClass_3TaxOriginal">#REF!</definedName>
    <definedName name="MLAssetClass_4BookOriginal">#REF!</definedName>
    <definedName name="MLAssetClass_4TaxOriginal">#REF!</definedName>
    <definedName name="MLAssetClass_5BookOriginal">#REF!</definedName>
    <definedName name="MLAssetClass_5TaxOriginal">#REF!</definedName>
    <definedName name="MLAssetClass_ProjectPool">#REF!</definedName>
    <definedName name="MLBookDepnRateAssetClass_1">#REF!</definedName>
    <definedName name="MLBookDepnRateAssetClass_2">#REF!</definedName>
    <definedName name="MLBookDepnRateAssetClass_3">#REF!</definedName>
    <definedName name="MLBookDepnRateAssetClass_4">#REF!</definedName>
    <definedName name="MLBookDepnRateAssetClass_5">#REF!</definedName>
    <definedName name="MLBookDepnRateCapex">#REF!</definedName>
    <definedName name="MLCapexBaseDate">#REF!</definedName>
    <definedName name="MLCapexInd">#REF!</definedName>
    <definedName name="MLEndOps">#REF!</definedName>
    <definedName name="MLFifthRegResetDate">#REF!</definedName>
    <definedName name="MLFirstRegResetDate">#REF!</definedName>
    <definedName name="MLFourthRegResetDate">#REF!</definedName>
    <definedName name="MLOMMargin">#REF!</definedName>
    <definedName name="MLOMPerformancePerc">#REF!</definedName>
    <definedName name="MLOpexContingency">#REF!</definedName>
    <definedName name="MLOpexEscDate">#REF!</definedName>
    <definedName name="MLOpexSens">#REF!</definedName>
    <definedName name="MLOpsFlag">#REF!</definedName>
    <definedName name="MLRABCapexAssetLife">#REF!</definedName>
    <definedName name="MLRegCostsInd">#REF!</definedName>
    <definedName name="MLRegPeriodStart">#REF!</definedName>
    <definedName name="MLRegResetAssTable">#REF!</definedName>
    <definedName name="MLTaxDepnRateAssetClass_1">#REF!</definedName>
    <definedName name="MLTaxDepnRateAssetClass_2">#REF!</definedName>
    <definedName name="MLTaxDepnRateAssetClass_3">#REF!</definedName>
    <definedName name="MLTaxDepnRateAssetClass_4">#REF!</definedName>
    <definedName name="MLTaxDepnRateAssetClass_5">#REF!</definedName>
    <definedName name="MLTaxDepnRateAssetClass_ProjectPool">#REF!</definedName>
    <definedName name="MLTaxDepnRateCapex">#REF!</definedName>
    <definedName name="MLThirdRegResetDate">#REF!</definedName>
    <definedName name="MLYearsRegReset">#REF!</definedName>
    <definedName name="Model_Input">#REF!</definedName>
    <definedName name="Model_Start_Date">#REF!</definedName>
    <definedName name="ModelStartDate">#REF!</definedName>
    <definedName name="Month">#REF!</definedName>
    <definedName name="MonthEnd">#REF!</definedName>
    <definedName name="MonthNum">#REF!</definedName>
    <definedName name="Months">#REF!</definedName>
    <definedName name="MonthsInYear">#REF!</definedName>
    <definedName name="Moomba">#REF!</definedName>
    <definedName name="moomba1">#REF!</definedName>
    <definedName name="Moomba2">#REF!</definedName>
    <definedName name="Moombap">#REF!</definedName>
    <definedName name="MPS_Rating_2011">#REF!</definedName>
    <definedName name="MRAIndicator">#REF!</definedName>
    <definedName name="MRAYears">#REF!</definedName>
    <definedName name="Mrp">#REF!</definedName>
    <definedName name="MSP_TT">#REF!</definedName>
    <definedName name="MSPCONS">#REF!</definedName>
    <definedName name="mspdetailed">#REF!</definedName>
    <definedName name="MSPSUMMARY">#REF!</definedName>
    <definedName name="Mt_Isa">#REF!</definedName>
    <definedName name="Mt_Isa_Cost">#REF!</definedName>
    <definedName name="MT_Resid_Input">#REF!</definedName>
    <definedName name="MT_Resid_Mrgins">#REF!</definedName>
    <definedName name="MTDDate">#REF!</definedName>
    <definedName name="mth">#REF!</definedName>
    <definedName name="Mth_Name">#REF!</definedName>
    <definedName name="MTHACT98">#REF!</definedName>
    <definedName name="MTHACT99">#REF!</definedName>
    <definedName name="MTHBUD99">#REF!</definedName>
    <definedName name="Mthly">#REF!</definedName>
    <definedName name="Mths_In_Half_Yr">#REF!</definedName>
    <definedName name="Mths_In_Qtr">#REF!</definedName>
    <definedName name="Mths_In_Yr">#REF!</definedName>
    <definedName name="MTHVAR99">#REF!</definedName>
    <definedName name="MtIsaAdminFee">#REF!</definedName>
    <definedName name="MtIsaAnnualVariableOM">#REF!</definedName>
    <definedName name="MtIsaBookBase">#REF!</definedName>
    <definedName name="MtIsaEndOps">#REF!</definedName>
    <definedName name="MtIsaOMMargin">#REF!</definedName>
    <definedName name="MtIsaOpexContingency">#REF!</definedName>
    <definedName name="MtIsaOpexSens">#REF!</definedName>
    <definedName name="MtIsaOpsFlag">#REF!</definedName>
    <definedName name="MtIsaOpsStart">#REF!</definedName>
    <definedName name="MtIsaOptionAmount">#REF!</definedName>
    <definedName name="MtIsaOptionExerciseDate">#REF!</definedName>
    <definedName name="MtIsaOptionIndicator">#REF!</definedName>
    <definedName name="MtIsaRealInsurance">#REF!</definedName>
    <definedName name="MtIsaRealRev">#REF!</definedName>
    <definedName name="MtIsaRevSens">#REF!</definedName>
    <definedName name="MtIsaTaxBase">#REF!</definedName>
    <definedName name="n">OFFSET(ADSWAPCount,0,1+ItemsCols,1,ADSWAPCount)</definedName>
    <definedName name="NABMaxTermDebt">#REF!</definedName>
    <definedName name="name">#REF!</definedName>
    <definedName name="Names">#REF!</definedName>
    <definedName name="NaturallyAustralianFoods">#REF!</definedName>
    <definedName name="NegService">#REF!</definedName>
    <definedName name="NetEquity">#REF!</definedName>
    <definedName name="NEW">#REF!</definedName>
    <definedName name="NEW_PROJ">#REF!</definedName>
    <definedName name="Newcastle">#REF!</definedName>
    <definedName name="Newcastle_Cost_2">#REF!</definedName>
    <definedName name="NewMatrix1">#REF!</definedName>
    <definedName name="NiftyCapitalCost">#REF!</definedName>
    <definedName name="NiftyEndOps">#REF!</definedName>
    <definedName name="NiftyMinimumPayment">#REF!</definedName>
    <definedName name="NiftyOMMargin">#REF!</definedName>
    <definedName name="NiftyOpexContingency">#REF!</definedName>
    <definedName name="NiftyOpexSens">#REF!</definedName>
    <definedName name="NiftyOpsFlag">#REF!</definedName>
    <definedName name="NiftyOptionContractEnd">#REF!</definedName>
    <definedName name="NiftyOptionContractLength">#REF!</definedName>
    <definedName name="NiftyOptionContractStart">#REF!</definedName>
    <definedName name="NiftyOptionExerciseDate">#REF!</definedName>
    <definedName name="NIftyOptionWACC">#REF!</definedName>
    <definedName name="NiftyPaymentChooser">#REF!</definedName>
    <definedName name="NiftyRevSens">#REF!</definedName>
    <definedName name="NiftyTaxBase">#REF!</definedName>
    <definedName name="No">#REF!</definedName>
    <definedName name="No.">TRUE</definedName>
    <definedName name="nocheck">#REF!</definedName>
    <definedName name="Node">#REF!</definedName>
    <definedName name="NomBondInd">#REF!</definedName>
    <definedName name="NominalSwapBanks">#REF!</definedName>
    <definedName name="Non_Target_MDQ">#REF!</definedName>
    <definedName name="NonAssPTT_B021">#REF!</definedName>
    <definedName name="NonAssPTT_B038">#REF!</definedName>
    <definedName name="NonAssPTT_B053">#REF!</definedName>
    <definedName name="NonAssPTT_J050">#REF!</definedName>
    <definedName name="NonAssPTT_J980">#REF!</definedName>
    <definedName name="NonDed_Donations">#REF!</definedName>
    <definedName name="NonDed_Ent">#REF!</definedName>
    <definedName name="NonDed_Fines">#REF!</definedName>
    <definedName name="NonDed_ROS">#REF!</definedName>
    <definedName name="NonDedInt">#REF!</definedName>
    <definedName name="NonExistingTelfNiftBanks">#REF!</definedName>
    <definedName name="NonLCCtnAmount">#REF!</definedName>
    <definedName name="NonLCCtnEstabFee">#REF!</definedName>
    <definedName name="NOOFFFSEGMENTS1">#REF!</definedName>
    <definedName name="Normalisation_Adjustments">#REF!</definedName>
    <definedName name="Northern_NSW">#REF!</definedName>
    <definedName name="Northern_NSW_Cost">#REF!</definedName>
    <definedName name="NOTE34_35">#REF!</definedName>
    <definedName name="NOTE35_36">#REF!</definedName>
    <definedName name="Note41a">#REF!</definedName>
    <definedName name="Note41b">#REF!</definedName>
    <definedName name="NOTE42_1">#REF!</definedName>
    <definedName name="NOTE42_44">#REF!</definedName>
    <definedName name="NOTE44_1">#REF!</definedName>
    <definedName name="NOTE44_2">#REF!</definedName>
    <definedName name="NOTE44_3">#REF!</definedName>
    <definedName name="NOTE44_45">#REF!</definedName>
    <definedName name="NOTEPP_30">#REF!</definedName>
    <definedName name="NOTEPP_31">#REF!</definedName>
    <definedName name="NOTEPP_32">#REF!</definedName>
    <definedName name="NOTEPP_33">#REF!</definedName>
    <definedName name="NOTEPP_34">#REF!</definedName>
    <definedName name="NOTEPP_35">#REF!</definedName>
    <definedName name="NOTEPP_36">#REF!</definedName>
    <definedName name="NOTEPP_37">#REF!</definedName>
    <definedName name="NOTEPP_38">#REF!</definedName>
    <definedName name="NOTEPP_39">#REF!</definedName>
    <definedName name="NOTEPP_40">#REF!</definedName>
    <definedName name="NOTEPP_41">#REF!</definedName>
    <definedName name="NOTEPP21">#REF!</definedName>
    <definedName name="NOTEPP21_1">#REF!</definedName>
    <definedName name="NOTEPP21_10">#REF!</definedName>
    <definedName name="NOTEPP21_11">#REF!</definedName>
    <definedName name="NOTEPP21_12">#REF!</definedName>
    <definedName name="NOTEPP21_13">#REF!</definedName>
    <definedName name="NOTEPP21_2">#REF!</definedName>
    <definedName name="NOTEPP21_3">#REF!</definedName>
    <definedName name="NOTEPP21_4">#REF!</definedName>
    <definedName name="NOTEPP21_5">#REF!</definedName>
    <definedName name="NOTEPP21_7">#REF!</definedName>
    <definedName name="NOTEPP21_8">#REF!</definedName>
    <definedName name="NOTEPP21_9">#REF!</definedName>
    <definedName name="Notes">#REF!</definedName>
    <definedName name="notes1">#REF!</definedName>
    <definedName name="notes2">#REF!</definedName>
    <definedName name="notes3">#REF!</definedName>
    <definedName name="Notes38_39">#REF!</definedName>
    <definedName name="NOTESP11">#REF!</definedName>
    <definedName name="NOTESP12">#REF!</definedName>
    <definedName name="NOTESP13">#REF!</definedName>
    <definedName name="NOTESP14">#REF!</definedName>
    <definedName name="NOTESP15">#REF!</definedName>
    <definedName name="NOTESP16">#REF!</definedName>
    <definedName name="NOTESP17">#REF!</definedName>
    <definedName name="NOTESP18">#REF!</definedName>
    <definedName name="NOTESP19">#REF!</definedName>
    <definedName name="NOTESP22">#REF!</definedName>
    <definedName name="NOTESP23">#REF!</definedName>
    <definedName name="NOTESP24">#REF!</definedName>
    <definedName name="NOTESP25">#REF!</definedName>
    <definedName name="Nov">#REF!</definedName>
    <definedName name="NOV09SPEND">#REF!</definedName>
    <definedName name="now">#REF!</definedName>
    <definedName name="NPVValnDate">#REF!</definedName>
    <definedName name="NSWMortgageDuty">#REF!</definedName>
    <definedName name="NT_BudgetData">#REF!</definedName>
    <definedName name="NTCY">OFFSET(#REF!,,COUNTA(#REF!)-37,,37)</definedName>
    <definedName name="NTGD">#REF!</definedName>
    <definedName name="NTmat">OFFSET(#REF!,,COUNTA(#REF!)-37,,37)</definedName>
    <definedName name="NTpY">OFFSET(#REF!,,COUNTA(#REF!)-37,,24)</definedName>
    <definedName name="NTXAxis">OFFSET(#REF!,,COUNTA(#REF!)-37,,37)</definedName>
    <definedName name="NUMBEROFDETAILFIELDS1">#REF!</definedName>
    <definedName name="NUMBEROFHEADERFIELDS1">#REF!</definedName>
    <definedName name="Numbers">#REF!</definedName>
    <definedName name="NVS">#REF!</definedName>
    <definedName name="NvsASD">"V2007-12-31"</definedName>
    <definedName name="NvsAutoDrillOk">"VN"</definedName>
    <definedName name="NvsElapsedTime">0.000138888884976041</definedName>
    <definedName name="NvsEndTime">39513.5166782407</definedName>
    <definedName name="NvsInstLang">"VENG"</definedName>
    <definedName name="NvsInstSpec">"%,FBUSINESS_UNIT,TCONS_ACT,NEE CONSOLIDATION"</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"%,X,RZT.ACCOUNT.,CZF.BUSINESS_UNIT."</definedName>
    <definedName name="NvsPanelBusUnit">"V"</definedName>
    <definedName name="NvsPanelEffdt">"V1998-12-31"</definedName>
    <definedName name="NvsPanelSetid">"VEPIC"</definedName>
    <definedName name="NvsParentRef">#REF!</definedName>
    <definedName name="NvsReqBU">"VEE"</definedName>
    <definedName name="NvsReqBUOnly">"VN"</definedName>
    <definedName name="NvsTransLed">"VN"</definedName>
    <definedName name="NvsTreeASD">"V2007-12-31"</definedName>
    <definedName name="NvsValTbl.ACCOUNT">"GL_ACCOUNT_TBL"</definedName>
    <definedName name="NvsValTbl.BUSINESS_UNIT">"BUS_UNIT_TBL_GL"</definedName>
    <definedName name="NvsValTbl.DEPTID">"DEPARTMENT_TBL"</definedName>
    <definedName name="NvsValTbl.PROJECT_ID">"PROJECT_ID_VW"</definedName>
    <definedName name="NZCASHRTCodes">OFFSET(ADSWAPCount,0,1+ItemsCols,1,ADSWAPCount)</definedName>
    <definedName name="NZCASHRTCount">#REF!</definedName>
    <definedName name="NZCASHRTItems">OFFSET(NZCASHRTCount,0,1,1,NZCASHRTCount)</definedName>
    <definedName name="NZTable">#REF!</definedName>
    <definedName name="O_Number">#REF!</definedName>
    <definedName name="O_Price">#REF!</definedName>
    <definedName name="O_ShareFValue">#REF!</definedName>
    <definedName name="OCATYTD1">#REF!</definedName>
    <definedName name="Oct">#REF!</definedName>
    <definedName name="OCT08SPEND">#REF!</definedName>
    <definedName name="OCT09SPEND">#REF!</definedName>
    <definedName name="ODBCDataSource1">#REF!</definedName>
    <definedName name="OE_COPYROW">#REF!</definedName>
    <definedName name="OE_DAILY">#REF!</definedName>
    <definedName name="OE_END">#REF!</definedName>
    <definedName name="OE_ENDDATE">#REF!</definedName>
    <definedName name="OE_ENDYEAR">#REF!</definedName>
    <definedName name="OE_PASTEROW">#REF!</definedName>
    <definedName name="OE_PASTEYRROW">#REF!</definedName>
    <definedName name="OE_PIPELINES">#REF!</definedName>
    <definedName name="OE_PIPEMDQ">#REF!</definedName>
    <definedName name="OE_SELECTION">#REF!</definedName>
    <definedName name="OE_SOURCES">#REF!</definedName>
    <definedName name="OE_START">#REF!</definedName>
    <definedName name="OE_STARTDATE">#REF!</definedName>
    <definedName name="OE_STARTYEAR">#REF!</definedName>
    <definedName name="OE_SUPPLY">#REF!</definedName>
    <definedName name="OE_YEAR">#REF!</definedName>
    <definedName name="OE_YEARLY">#REF!</definedName>
    <definedName name="OEIDistn_B021">#REF!</definedName>
    <definedName name="OEIDistn_J980">#REF!</definedName>
    <definedName name="OffTakeEndDate">#REF!</definedName>
    <definedName name="OffTakeEndDateQtr">#REF!</definedName>
    <definedName name="old">#REF!</definedName>
    <definedName name="Oldgrades">#REF!</definedName>
    <definedName name="olijanstaff">#REF!</definedName>
    <definedName name="OMBaseDate">#REF!</definedName>
    <definedName name="OMManagementMargin">#REF!</definedName>
    <definedName name="OMMarginAccrInd">#REF!</definedName>
    <definedName name="OMRebateFlag">#REF!</definedName>
    <definedName name="OMSensitivityInd">#REF!</definedName>
    <definedName name="op">#REF!</definedName>
    <definedName name="OpenCashAcctDrawdownDate">#REF!</definedName>
    <definedName name="OpenDITL">#REF!</definedName>
    <definedName name="OpenDSRA">#REF!</definedName>
    <definedName name="OpenDSRALookup">#REF!</definedName>
    <definedName name="OpenEYR">#REF!</definedName>
    <definedName name="OpenEYRInput">#REF!</definedName>
    <definedName name="OpenFITB">#REF!</definedName>
    <definedName name="OpenFrankingCredits">#REF!</definedName>
    <definedName name="OpenMRA">#REF!</definedName>
    <definedName name="OpenPPE">#REF!</definedName>
    <definedName name="Opex">#REF!</definedName>
    <definedName name="opexsagas">#REF!</definedName>
    <definedName name="OpexSensitivityTable">#REF!</definedName>
    <definedName name="OpnEndDate">#REF!</definedName>
    <definedName name="OpnEndDateQtr">#REF!</definedName>
    <definedName name="OpnStartDate">#REF!</definedName>
    <definedName name="OpRevTax_B022">#REF!</definedName>
    <definedName name="OpRevTax_B063">#REF!</definedName>
    <definedName name="Oracle_TB">#REF!</definedName>
    <definedName name="OricaCT">#REF!</definedName>
    <definedName name="OricaTT">#REF!</definedName>
    <definedName name="OsakaGasShare">#REF!</definedName>
    <definedName name="OT">#REF!</definedName>
    <definedName name="OTDAMDStartDate">#REF!</definedName>
    <definedName name="OTDAMDStartDateQtr">#REF!</definedName>
    <definedName name="other_acc">#REF!</definedName>
    <definedName name="OtherFixedAA_tbl">#REF!</definedName>
    <definedName name="OtherSecRevDSCRTable">#REF!</definedName>
    <definedName name="OtherVarAA_tbl">#REF!</definedName>
    <definedName name="othretsheet">#REF!</definedName>
    <definedName name="OUTPUT_FILE">#REF!</definedName>
    <definedName name="OwnersRepresentative">#REF!</definedName>
    <definedName name="OwnersRepresentativeDate">#REF!</definedName>
    <definedName name="p">#REF!</definedName>
    <definedName name="P_0">#REF!</definedName>
    <definedName name="P_HY">#REF!</definedName>
    <definedName name="P_L">#REF!</definedName>
    <definedName name="PacificOperations">#REF!</definedName>
    <definedName name="PacificOperations_cost">#REF!</definedName>
    <definedName name="pafsumm">#REF!</definedName>
    <definedName name="PAGE1">#REF!</definedName>
    <definedName name="Pal_Workbook_GUID" hidden="1">"5TX8I56CQ9EWKM3BWNVK968H"</definedName>
    <definedName name="PALL">#REF!</definedName>
    <definedName name="PARTAUSTDIV">#REF!</definedName>
    <definedName name="Passthrough_actual_by_month">#REF!</definedName>
    <definedName name="Passthrough_Actual_YTD">#REF!</definedName>
    <definedName name="Passthrough_budget_by_month">#REF!</definedName>
    <definedName name="Passthrough_budget_YTD">#REF!</definedName>
    <definedName name="Passthrough_lastyear_by_month">#REF!</definedName>
    <definedName name="Passthrough_lastyear_YTD">#REF!</definedName>
    <definedName name="PBT">#REF!</definedName>
    <definedName name="PBT_B021">#REF!</definedName>
    <definedName name="PBT_B038">#REF!</definedName>
    <definedName name="PBT_B053">#REF!</definedName>
    <definedName name="PBT_plusPERM">#REF!</definedName>
    <definedName name="PCtn">#REF!</definedName>
    <definedName name="PeakDayCopy">#REF!</definedName>
    <definedName name="PeakDays">#REF!</definedName>
    <definedName name="people">#REF!</definedName>
    <definedName name="PER">#REF!</definedName>
    <definedName name="Per_1_End_Date">#REF!</definedName>
    <definedName name="Per_1_End_Mth">#REF!</definedName>
    <definedName name="Per_1_Title">#REF!</definedName>
    <definedName name="PERIOD">#REF!</definedName>
    <definedName name="Period_Name">#REF!</definedName>
    <definedName name="PERIOD_NO">#REF!</definedName>
    <definedName name="PeriodNumberColumn">OFFSET(PeriodNumberHeading,0,0,_pdNoOfPayments+3,1)</definedName>
    <definedName name="PeriodNumberHeading">#REF!</definedName>
    <definedName name="PeriodNumbers">OFFSET(PeriodNumberHeading,2,0,_pdNoOfPayments+1,1)</definedName>
    <definedName name="PERIODSETNAME1">#REF!</definedName>
    <definedName name="PeriodsInYear">#REF!</definedName>
    <definedName name="Phone_No.">#REF!</definedName>
    <definedName name="Physical_Location_Listing">#REF!</definedName>
    <definedName name="PL">#REF!</definedName>
    <definedName name="PL_RepItems">#REF!</definedName>
    <definedName name="PM">#REF!</definedName>
    <definedName name="PMA_WA">#REF!</definedName>
    <definedName name="PN">#REF!</definedName>
    <definedName name="PNS">#REF!</definedName>
    <definedName name="Pnumbers">#REF!</definedName>
    <definedName name="PopCache_FA_MASS_ADDITIONS_AMORTIZE_NBV_FLAG" hidden="1">#REF!</definedName>
    <definedName name="PopCache_FA_MASS_ADDITIONS_ASSET_TYPE" hidden="1">#REF!</definedName>
    <definedName name="PopCache_FA_MASS_ADDITIONS_DEPRECIATE_FLAG" hidden="1">#REF!</definedName>
    <definedName name="PopCache_FA_MASS_ADDITIONS_IN_USE_FLAG" hidden="1">#REF!</definedName>
    <definedName name="PopCache_FA_MASS_ADDITIONS_INVENTORIAL" hidden="1">#REF!</definedName>
    <definedName name="PopCache_FA_MASS_ADDITIONS_NEW_USED" hidden="1">#REF!</definedName>
    <definedName name="PopCache_FA_MASS_ADDITIONS_OWNED_LEASED" hidden="1">#REF!</definedName>
    <definedName name="PopCache_FA_MASS_ADDITIONS_PROPERTY_1245_1250_CODE" hidden="1">#REF!</definedName>
    <definedName name="PopCache_FA_MASS_ADDITIONS_PROPERTY_TYPE_CODE" hidden="1">#REF!</definedName>
    <definedName name="PopCache_FA_MASS_ADDITIONS_SHORT_FISCAL_YEAR_FLAG" hidden="1">#REF!</definedName>
    <definedName name="Port_Douglas">#REF!</definedName>
    <definedName name="Port_Douglas_Cost">#REF!</definedName>
    <definedName name="pos">#REF!</definedName>
    <definedName name="Position_Types">#REF!</definedName>
    <definedName name="post_contract_redn">#REF!</definedName>
    <definedName name="Postcode">#REF!</definedName>
    <definedName name="POSTERRORSTOSUSP1">#REF!</definedName>
    <definedName name="PostOfftakeLeaseReceivableDiff">#REF!</definedName>
    <definedName name="PostOfftakeLeaseReceivableDiscRate">#REF!</definedName>
    <definedName name="PostTaxFiveYrYieldExSHL">#REF!</definedName>
    <definedName name="PosttaxOffTakeIRRexclSHL">#REF!</definedName>
    <definedName name="PostTaxThreeYrYieldExSHL">#REF!</definedName>
    <definedName name="PREACQ">#REF!</definedName>
    <definedName name="prepay">#REF!</definedName>
    <definedName name="press_reduc">#REF!</definedName>
    <definedName name="PreTaxUngearedIRR">#REF!</definedName>
    <definedName name="Prev_catergory">#REF!</definedName>
    <definedName name="previous_vanilla">#REF!</definedName>
    <definedName name="Previously_Claimed">#REF!,#REF!,#REF!,#REF!,#REF!,#REF!</definedName>
    <definedName name="PRICE">#REF!</definedName>
    <definedName name="PRICE_VARIANCE">#REF!</definedName>
    <definedName name="PRICEVAR">#REF!</definedName>
    <definedName name="Pricing">#REF!</definedName>
    <definedName name="Print">#REF!</definedName>
    <definedName name="_xlnm.Print_Area" localSheetId="5">'1. Pipeline information'!$A$1:$E$43</definedName>
    <definedName name="_xlnm.Print_Area" localSheetId="6">'2. Revenue and expenses'!$A$1:$H$6</definedName>
    <definedName name="_xlnm.Print_Area" localSheetId="7">'2.1 Profit &amp; Loss by component'!$A$1:$C$32</definedName>
    <definedName name="_xlnm.Print_Area" localSheetId="8">'2.2 Allocation to services'!$A$1:$J$24</definedName>
    <definedName name="_xlnm.Print_Area" localSheetId="9">'2.3 Revenue contributions '!$A$1:$F$29</definedName>
    <definedName name="_xlnm.Print_Area" localSheetId="10">'2.4 Indirect revenue'!$A$1:$I$41</definedName>
    <definedName name="_xlnm.Print_Area" localSheetId="11">'2.5 Shared expenses'!$A$1:$J$35</definedName>
    <definedName name="_xlnm.Print_Area" localSheetId="12">'3.1 Depreciated Book Value'!$A$1:$F$127</definedName>
    <definedName name="_xlnm.Print_Area" localSheetId="13">'3.2 Regulatory Asset Base'!$A$1:$F$98</definedName>
    <definedName name="_xlnm.Print_Area" localSheetId="14">'3.3 Asset useful life'!$A$1:$G$38</definedName>
    <definedName name="_xlnm.Print_Area" localSheetId="15">'3.4 Asset impairment'!$A$1:$I$57</definedName>
    <definedName name="_xlnm.Print_Area" localSheetId="16">'3.5 Depreciation amortisation'!$A$1:$P$86</definedName>
    <definedName name="_xlnm.Print_Area" localSheetId="17">'3.6 Shared supporting assets'!$A$1:$H$50</definedName>
    <definedName name="_xlnm.Print_Area" localSheetId="19">'4. Recovered Capital'!$A$1:$BL$53</definedName>
    <definedName name="_xlnm.Print_Area" localSheetId="21">'4.1 Pipelines capex'!$A$1:$F$41</definedName>
    <definedName name="_xlnm.Print_Area" localSheetId="23">'5. Historical demand'!$A$1:$BM$27</definedName>
    <definedName name="_xlnm.Print_Area" localSheetId="0">Cover!$A$2:$J$50</definedName>
    <definedName name="_xlnm.Print_Area" localSheetId="3">'Data visualisation'!$A$1:$F$88</definedName>
    <definedName name="_xlnm.Print_Area" localSheetId="28">Sheet1!$A$1:$N$32</definedName>
    <definedName name="_xlnm.Print_Area">#REF!</definedName>
    <definedName name="Print_Area1">#REF!</definedName>
    <definedName name="PRINT_CANBERRA">#REF!</definedName>
    <definedName name="PRINT_SYDNEY">#REF!</definedName>
    <definedName name="PRINT1">#REF!</definedName>
    <definedName name="PRINT10">#REF!</definedName>
    <definedName name="PRINT11">#REF!</definedName>
    <definedName name="PRINT12">#REF!</definedName>
    <definedName name="PRINT13">#REF!</definedName>
    <definedName name="PRINT14">#REF!</definedName>
    <definedName name="PRINT15">#REF!</definedName>
    <definedName name="PRINT16">#REF!</definedName>
    <definedName name="PRINT17">#REF!</definedName>
    <definedName name="PRINT18">#REF!</definedName>
    <definedName name="PRINT19">#REF!</definedName>
    <definedName name="PRINT2">#REF!</definedName>
    <definedName name="PRINT20">#REF!</definedName>
    <definedName name="PRINT21">#REF!</definedName>
    <definedName name="PRINT22">#REF!</definedName>
    <definedName name="PRINT3">#REF!</definedName>
    <definedName name="PRINT4">#REF!</definedName>
    <definedName name="PRINT5">#REF!</definedName>
    <definedName name="PRINT6">#REF!</definedName>
    <definedName name="PRINT7">#REF!</definedName>
    <definedName name="PRINT8">#REF!</definedName>
    <definedName name="PRINT9">#REF!</definedName>
    <definedName name="PrintNotes">#REF!</definedName>
    <definedName name="PrintNotesWorkings">#REF!</definedName>
    <definedName name="PrintPL">#REF!</definedName>
    <definedName name="Prior_catergory">#REF!</definedName>
    <definedName name="Prior_period">#REF!</definedName>
    <definedName name="Prior_Year___2000_2001____by_month">#REF!</definedName>
    <definedName name="Prior_Year___2000_2001____Year_to_date">#REF!</definedName>
    <definedName name="PriorYear">#REF!</definedName>
    <definedName name="Pro_Forma">#REF!</definedName>
    <definedName name="Pro_Rata_Dte">#REF!</definedName>
    <definedName name="probability">#REF!</definedName>
    <definedName name="probability_rating">#REF!</definedName>
    <definedName name="prod">#REF!</definedName>
    <definedName name="ProfEquAcc_ANPSPV">#REF!</definedName>
    <definedName name="ProfEquAcc_Eii">#REF!</definedName>
    <definedName name="ProfEquAcc_Eii2">#REF!</definedName>
    <definedName name="Profit">#REF!,#REF!</definedName>
    <definedName name="PROFITMONTH">#REF!</definedName>
    <definedName name="PROFITYTD">#REF!</definedName>
    <definedName name="ProjectDescr">#REF!</definedName>
    <definedName name="ProjectName">#REF!</definedName>
    <definedName name="projects">#REF!</definedName>
    <definedName name="Projects_Tasks_Mapped_to_Activities">#REF!</definedName>
    <definedName name="ProjList">#REF!</definedName>
    <definedName name="PROJTYPE">#REF!</definedName>
    <definedName name="Proposed">#REF!</definedName>
    <definedName name="ProtectionContents">TRUE</definedName>
    <definedName name="PublishDate">#REF!</definedName>
    <definedName name="PublishDateExists">#REF!</definedName>
    <definedName name="q_selAssetsListing">#REF!</definedName>
    <definedName name="q_selLiabilityListing">#REF!</definedName>
    <definedName name="Qld_AMS_City">#REF!</definedName>
    <definedName name="Qld_AMS_Regional">#REF!</definedName>
    <definedName name="QLD_BudgetData">#REF!</definedName>
    <definedName name="QldRepaymentInterestRate">#REF!</definedName>
    <definedName name="qqwed">#REF!</definedName>
    <definedName name="Qtr_1">#REF!</definedName>
    <definedName name="Qtr_2">#REF!</definedName>
    <definedName name="Qtr_3">#REF!</definedName>
    <definedName name="Qtr_4">#REF!</definedName>
    <definedName name="Qtr_Name">#REF!</definedName>
    <definedName name="Qtrly">#REF!</definedName>
    <definedName name="Qtrs_In_Yr">#REF!</definedName>
    <definedName name="Queensland">#REF!</definedName>
    <definedName name="Quote">#REF!</definedName>
    <definedName name="Quote_Expiry">#REF!</definedName>
    <definedName name="r_Measure">#REF!</definedName>
    <definedName name="R_Other_Income">#REF!</definedName>
    <definedName name="r_Version">#REF!</definedName>
    <definedName name="r_Year">#REF!</definedName>
    <definedName name="RAAgentsFee">#REF!</definedName>
    <definedName name="RAB">#REF!</definedName>
    <definedName name="RAB_OpenValDate">#REF!</definedName>
    <definedName name="RAFee">#REF!</definedName>
    <definedName name="rAllAssets">Sheet1!$A$3:$A$17</definedName>
    <definedName name="Rates">#REF!</definedName>
    <definedName name="RBN">#REF!</definedName>
    <definedName name="rbpdetailed">#REF!</definedName>
    <definedName name="RBPSUMMARY">#REF!</definedName>
    <definedName name="RCWP">#REF!</definedName>
    <definedName name="RECAUST1">#REF!</definedName>
    <definedName name="RECAUST2">#REF!</definedName>
    <definedName name="RECEIPTS99">#REF!</definedName>
    <definedName name="RechargeLF">#REF!</definedName>
    <definedName name="RedcliffeHospital">#REF!</definedName>
    <definedName name="RefiDate1">#REF!</definedName>
    <definedName name="RefinanceFeesBookDepnRate">#REF!</definedName>
    <definedName name="RefiTaxDepn">#REF!</definedName>
    <definedName name="RegDistInt">#REF!</definedName>
    <definedName name="RegDistMba">#REF!</definedName>
    <definedName name="RegearingIntOnlyEnd">#REF!</definedName>
    <definedName name="RegoToDriver">#REF!</definedName>
    <definedName name="rem_dollarperGJ">#REF!</definedName>
    <definedName name="Reporting_Period">#REF!</definedName>
    <definedName name="ReportingDate">#REF!</definedName>
    <definedName name="ResNo_Tbl">#REF!</definedName>
    <definedName name="ResourceList">#REF!</definedName>
    <definedName name="RESPONSIBILITYAPPLICATIONID1">#REF!</definedName>
    <definedName name="RESPONSIBILITYID1">#REF!</definedName>
    <definedName name="RESPONSIBILITYNAME1">#REF!</definedName>
    <definedName name="Retail">#REF!</definedName>
    <definedName name="retrievedata">#REF!</definedName>
    <definedName name="RetTarBud03">#REF!</definedName>
    <definedName name="Rev_Solve">#REF!</definedName>
    <definedName name="Rev_Status">#REF!</definedName>
    <definedName name="RevCat">#REF!</definedName>
    <definedName name="Revenue_End">#REF!</definedName>
    <definedName name="RevHedge_B003">#REF!</definedName>
    <definedName name="RevHedge_B080">#REF!</definedName>
    <definedName name="RevHedge_B081">#REF!</definedName>
    <definedName name="RevHedge_B111">#REF!</definedName>
    <definedName name="RevHedge_J002">#REF!</definedName>
    <definedName name="RevHedge_J074">#REF!</definedName>
    <definedName name="Revision_Status">#REF!</definedName>
    <definedName name="RevSensFlag">#REF!</definedName>
    <definedName name="Rf">#REF!</definedName>
    <definedName name="RFMLytton">#REF!</definedName>
    <definedName name="RFMRBPExp">#REF!</definedName>
    <definedName name="RIBBON_OBJECT_POINTER">1336012000</definedName>
    <definedName name="RID">#REF!</definedName>
    <definedName name="rInitialcosts">Sheet1!$G$3:$G$5</definedName>
    <definedName name="rInitialyears">Sheet1!$G$3:$H$5</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7</definedName>
    <definedName name="RiskIsInput" hidden="1">FALSE</definedName>
    <definedName name="RiskIsOptimization" hidden="1">FALSE</definedName>
    <definedName name="RiskIsOutput" hidden="1">FALSE</definedName>
    <definedName name="RiskIsStatistics" hidden="1">FALSE</definedName>
    <definedName name="RiskMinimizeOnStart" hidden="1">FALSE</definedName>
    <definedName name="RiskMonitorConvergence" hidden="1">FALSE</definedName>
    <definedName name="RiskMultipleCPUSupportEnabled" hidden="1">TRUE</definedName>
    <definedName name="RiskNumIterations" hidden="1">10000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electedCell" hidden="1">"$AB$327"</definedName>
    <definedName name="RiskSelectedNameCell1" hidden="1">"$AB$321"</definedName>
    <definedName name="RiskSelectedNameCell2" hidden="1">"$P$10"</definedName>
    <definedName name="RiskStandardRecalc" hidden="1">1</definedName>
    <definedName name="RiskSwapState" hidden="1">FALSE</definedName>
    <definedName name="RiskUpdateDisplay" hidden="1">FALSE</definedName>
    <definedName name="RiskUseDifferentSeedForEachSim" hidden="1">FALSE</definedName>
    <definedName name="RiskUseFixedSeed" hidden="1">TRUE</definedName>
    <definedName name="RiskUseMultipleCPUs" hidden="1">TRUE</definedName>
    <definedName name="RL_tbl">#REF!</definedName>
    <definedName name="RLPL">#REF!</definedName>
    <definedName name="RN">#REF!</definedName>
    <definedName name="rnPrint10">#REF!</definedName>
    <definedName name="rnPrint2">#REF!</definedName>
    <definedName name="rnPrint3">#REF!</definedName>
    <definedName name="rnPrint4">#REF!</definedName>
    <definedName name="rnPrint5">#REF!</definedName>
    <definedName name="rnPrint6">#REF!</definedName>
    <definedName name="rnPrint7">#REF!</definedName>
    <definedName name="rnPrint8">#REF!</definedName>
    <definedName name="Rockhampton">#REF!</definedName>
    <definedName name="Rockhampton_Costs">#REF!</definedName>
    <definedName name="RockhamptonPrison">#REF!</definedName>
    <definedName name="RockStep1">#REF!</definedName>
    <definedName name="RockStep2">#REF!</definedName>
    <definedName name="RockStep3">#REF!</definedName>
    <definedName name="RockStep4">#REF!</definedName>
    <definedName name="RockStep5">#REF!</definedName>
    <definedName name="RockStep6">#REF!</definedName>
    <definedName name="ron">#REF!</definedName>
    <definedName name="ROS_NonDed_B038">#REF!</definedName>
    <definedName name="ROS_NonDed_J901">#REF!</definedName>
    <definedName name="ROSConversion">#REF!</definedName>
    <definedName name="ROSConversionIndicator">#REF!</definedName>
    <definedName name="ROSCouponDeductible">#REF!</definedName>
    <definedName name="ROSIndicator">#REF!</definedName>
    <definedName name="Rounding_Switch">#REF!</definedName>
    <definedName name="row">#REF!</definedName>
    <definedName name="ROWSTOUPLOAD1">#REF!</definedName>
    <definedName name="rPipelineAssets">Sheet1!$A$3:$A$12</definedName>
    <definedName name="rpipelines">#N/A</definedName>
    <definedName name="RPSConversion">#REF!</definedName>
    <definedName name="RPSCouponDeductible">#REF!</definedName>
    <definedName name="rpt_1">#REF!</definedName>
    <definedName name="rpt_2">#REF!</definedName>
    <definedName name="rpt_3">#REF!</definedName>
    <definedName name="Rpt_BudVsAct">#REF!</definedName>
    <definedName name="Rpt_MarginExplain">#REF!</definedName>
    <definedName name="Rpt_MoombaAudit">#REF!</definedName>
    <definedName name="Rpt_QldAudit">#REF!</definedName>
    <definedName name="Rpt_QldBudSumm">#REF!</definedName>
    <definedName name="Rpt_QldSumm">#REF!</definedName>
    <definedName name="Rpt_SEAudit">#REF!</definedName>
    <definedName name="rr">INDEX(INDIRECT(CountryShortCode&amp;"Codes"),MATCH(Item,INDIRECT(CountryShortCode&amp;"Desc"),0))</definedName>
    <definedName name="rreal">#REF!</definedName>
    <definedName name="RREST">#REF!</definedName>
    <definedName name="rSharedAssets">Sheet1!$A$13:$A$17</definedName>
    <definedName name="rvanilla">#REF!</definedName>
    <definedName name="ryesno">#N/A</definedName>
    <definedName name="s_Measure">#REF!</definedName>
    <definedName name="s_Version">#REF!</definedName>
    <definedName name="s_Year">#REF!</definedName>
    <definedName name="SA_AMS_city">#REF!</definedName>
    <definedName name="SA_AMS_Regional">#REF!</definedName>
    <definedName name="SA_BudgetData">#REF!</definedName>
    <definedName name="SAMortgageDuty">#REF!</definedName>
    <definedName name="SAPBEXhrIndnt" hidden="1">"Wide"</definedName>
    <definedName name="SAPsysID" hidden="1">"708C5W7SBKP804JT78WJ0JNKI"</definedName>
    <definedName name="SAPwbID" hidden="1">"ARS"</definedName>
    <definedName name="sch3a">#REF!</definedName>
    <definedName name="SCHED_G">#REF!</definedName>
    <definedName name="SCHEDULE_A__RECONCILIATION_BETWEEN_STATUTORY_AND_REGULATORY_ACCOUNTS_REGULATORY_STATEMENT_OF_FINANCIAL_RETURNS">#REF!</definedName>
    <definedName name="SCHEDULE_B__RECONCILIATION_BETWEEN_STATUTORY_AND_REGULATORY_ACCOUNTS__REGULATORY_STATEMENT_OF_FINANCIAL_POSITION">#REF!</definedName>
    <definedName name="SCHEDULE_C__RECONCILIATION_BETWEEN_STATUTORY_ACCOUNTS_AND_REGULATORY_ACCOUNTS__REGULATORY_STATEMENT_OF_CASH_FLOWS">#REF!</definedName>
    <definedName name="SCHEDULE_E__NON_CAPITAL_COSTS">#REF!</definedName>
    <definedName name="SCHEDULE_G__DISPOSALS__BOOK_VALUE_OF_ASSETS_DISPOSED">#REF!</definedName>
    <definedName name="SCHEDULE_OF_OTHER_RECONCILIATION_ITEMS">#REF!</definedName>
    <definedName name="Scorecard_Rating">#REF!</definedName>
    <definedName name="SDT">#REF!</definedName>
    <definedName name="SE_Retail_Vol">#REF!</definedName>
    <definedName name="SE_Wholesale_Vol">#REF!</definedName>
    <definedName name="SeaGasCapexSens">#REF!</definedName>
    <definedName name="SeaGasContractEnd">#REF!</definedName>
    <definedName name="SeaGasEndOps">#REF!</definedName>
    <definedName name="SeaGasOMMargin">#REF!</definedName>
    <definedName name="SeaGasOpexEsc">#REF!</definedName>
    <definedName name="SeaGasOpexEscBaseDate">#REF!</definedName>
    <definedName name="SeaGasOpsFlag">#REF!</definedName>
    <definedName name="SeaGasOpsStart">#REF!</definedName>
    <definedName name="SeaGasRevEsc">#REF!</definedName>
    <definedName name="SeaGasRevEscBaseDate">#REF!</definedName>
    <definedName name="SeaGasRevPostContract">#REF!</definedName>
    <definedName name="SeaGasRevPostContractEndDate">#REF!</definedName>
    <definedName name="SEast">#REF!</definedName>
    <definedName name="SEast1">#REF!</definedName>
    <definedName name="Secs_In_Min">#REF!</definedName>
    <definedName name="SEGLIST">#REF!</definedName>
    <definedName name="SEGMENTSUM">#REF!</definedName>
    <definedName name="Semi_Ann">#REF!</definedName>
    <definedName name="Sep">#REF!</definedName>
    <definedName name="SEP08SPEND">#REF!</definedName>
    <definedName name="SEP09SPEND">#REF!</definedName>
    <definedName name="Series">#REF!</definedName>
    <definedName name="SETOFBOOKSID1">#REF!</definedName>
    <definedName name="SETOFBOOKSNAME1">#REF!</definedName>
    <definedName name="SGRSUYTYIUYOYO">#REF!</definedName>
    <definedName name="SGTable">#REF!</definedName>
    <definedName name="Sheet_Index">#REF!</definedName>
    <definedName name="Shell">#REF!</definedName>
    <definedName name="Shell_1">#REF!</definedName>
    <definedName name="Shell_2">#REF!</definedName>
    <definedName name="SideArrow">#REF!</definedName>
    <definedName name="Site_Address">#REF!</definedName>
    <definedName name="SMECustNo">#REF!</definedName>
    <definedName name="SN">#REF!</definedName>
    <definedName name="SolveFormulas">#REF!</definedName>
    <definedName name="Source">#REF!</definedName>
    <definedName name="sp">#REF!</definedName>
    <definedName name="Spec">#REF!</definedName>
    <definedName name="Spec_WACC">#REF!</definedName>
    <definedName name="SPECIFIC">#REF!</definedName>
    <definedName name="SPENDFEB09">#REF!</definedName>
    <definedName name="SpotUSD">#REF!</definedName>
    <definedName name="STAFFAUG08">#REF!</definedName>
    <definedName name="stafffeb10">#REF!</definedName>
    <definedName name="StampDutyFee">#REF!</definedName>
    <definedName name="StampDutyFeeDiff">#REF!</definedName>
    <definedName name="StampDutyFeePaste">#REF!</definedName>
    <definedName name="Start_date">#REF!</definedName>
    <definedName name="startdate">#REF!</definedName>
    <definedName name="STARTJOURNALIMPORT1">#REF!</definedName>
    <definedName name="StartPeriodName1">#REF!</definedName>
    <definedName name="STATEMENT_1__REGULATORY_STATEMENT_OF_FINANCIAL_RETURNS">#REF!</definedName>
    <definedName name="STATEMENT_2__REGULATORY_STATEMENT_OF_FINANCIAL_POSITION">#REF!</definedName>
    <definedName name="STATEMENT_3__REGULATORY_STATEMENT_OF_CASH_FLOWS">#REF!</definedName>
    <definedName name="StateRate">#REF!</definedName>
    <definedName name="status_ranking">#REF!</definedName>
    <definedName name="status_words">#REF!</definedName>
    <definedName name="step1_dollar">#REF!</definedName>
    <definedName name="step1_dollarperGJ">#REF!</definedName>
    <definedName name="step2_dollar">#REF!</definedName>
    <definedName name="step2_dollarperGJ">#REF!</definedName>
    <definedName name="step2_GJ">#REF!</definedName>
    <definedName name="step3_dollar">#REF!</definedName>
    <definedName name="step3_dollarperGJ">#REF!</definedName>
    <definedName name="step3_GJ">#REF!</definedName>
    <definedName name="step4_dollar">#REF!</definedName>
    <definedName name="step4_dollarperGJ">#REF!</definedName>
    <definedName name="step4_GJ">#REF!</definedName>
    <definedName name="step5_dollar">#REF!</definedName>
    <definedName name="step5_dollarperGJ">#REF!</definedName>
    <definedName name="step5_GJ">#REF!</definedName>
    <definedName name="step6_dollar">#REF!</definedName>
    <definedName name="step6_dollarperGJ">#REF!</definedName>
    <definedName name="step6_GJ">#REF!</definedName>
    <definedName name="step7_dollar">#REF!</definedName>
    <definedName name="step7_dollarperGJ">#REF!</definedName>
    <definedName name="step7_GJ">#REF!</definedName>
    <definedName name="step8_dollar">#REF!</definedName>
    <definedName name="step8_dollarperGJ">#REF!</definedName>
    <definedName name="step8_GJ">#REF!</definedName>
    <definedName name="STI_Rounding_Factor">#REF!</definedName>
    <definedName name="stop">#REF!</definedName>
    <definedName name="STP">#REF!</definedName>
    <definedName name="StructuralMargin">#REF!</definedName>
    <definedName name="Sub_Ledger_Range">#REF!</definedName>
    <definedName name="SubDebMarginTable">#REF!</definedName>
    <definedName name="SubDebtAmortPeriod">#REF!</definedName>
    <definedName name="SubDebtAmortPeriodEndDate">#REF!</definedName>
    <definedName name="SubDebtAmortPeriodStartDate">#REF!</definedName>
    <definedName name="SubDebtDeductible">#REF!</definedName>
    <definedName name="SubDebtMargin">#REF!</definedName>
    <definedName name="SubDebtYrstoAmort">#REF!</definedName>
    <definedName name="sum">#REF!</definedName>
    <definedName name="summaryconsolidation">#REF!</definedName>
    <definedName name="Sunshine">#REF!</definedName>
    <definedName name="Sunshine_Cost">#REF!</definedName>
    <definedName name="Supply_Origin">#REF!</definedName>
    <definedName name="System_Peak">#REF!</definedName>
    <definedName name="Table_QldAGLBill">#REF!</definedName>
    <definedName name="Table_QldOtherCharges">#REF!</definedName>
    <definedName name="Table_QldPGEBill">#REF!</definedName>
    <definedName name="Table_QldRechargeSumm">#REF!</definedName>
    <definedName name="Table_QldSales">#REF!</definedName>
    <definedName name="Table_QldVarSumm">#REF!</definedName>
    <definedName name="Table_QldWellheadInvoices">#REF!</definedName>
    <definedName name="Target_MDQ">#REF!</definedName>
    <definedName name="TargetDSCRTable">#REF!</definedName>
    <definedName name="TARIFF">#REF!</definedName>
    <definedName name="TariffCR">#REF!</definedName>
    <definedName name="TariffTH">#REF!</definedName>
    <definedName name="TARIFFTRANSPORT">#REF!</definedName>
    <definedName name="Task">#REF!</definedName>
    <definedName name="TaskList">#REF!</definedName>
    <definedName name="Tax_Expense">#REF!</definedName>
    <definedName name="Tax_Life">#REF!</definedName>
    <definedName name="Tax_Rate">#REF!</definedName>
    <definedName name="TAXATION">#REF!</definedName>
    <definedName name="TB">#REF!</definedName>
    <definedName name="TB_TotalTaxExp">#REF!</definedName>
    <definedName name="TCC">#REF!</definedName>
    <definedName name="Td">#REF!</definedName>
    <definedName name="TDate">#REF!</definedName>
    <definedName name="TelferBCapacity">#REF!</definedName>
    <definedName name="TelferBFlowBasedTariff">#REF!</definedName>
    <definedName name="TelferBookBase">#REF!</definedName>
    <definedName name="TelferBookDepnRate">#REF!</definedName>
    <definedName name="TelferBOverrunChargesQrtly">#REF!</definedName>
    <definedName name="TelferCapacityCharge">#REF!</definedName>
    <definedName name="TelferCapexSens">#REF!</definedName>
    <definedName name="TelferCapexYearly">#REF!</definedName>
    <definedName name="telferdefaultoption">#REF!</definedName>
    <definedName name="TelferEndOps">#REF!</definedName>
    <definedName name="TelferNewcrestProfitShareQrtly">#REF!</definedName>
    <definedName name="TelferOMMargin">#REF!</definedName>
    <definedName name="TelferOMOtherQtrly">#REF!</definedName>
    <definedName name="TelferOMQtrly">#REF!</definedName>
    <definedName name="TelferOpexContingency">#REF!</definedName>
    <definedName name="TelferOpexSens">#REF!</definedName>
    <definedName name="TelferOpsFlag">#REF!</definedName>
    <definedName name="TelferOpsStart">#REF!</definedName>
    <definedName name="TelferOption">#REF!</definedName>
    <definedName name="TelferOptionChooser">#REF!</definedName>
    <definedName name="TelferOptionExerciseDate">#REF!</definedName>
    <definedName name="TelferOptionType">#REF!</definedName>
    <definedName name="TelferRevSens">#REF!</definedName>
    <definedName name="TelferTaxBase">#REF!</definedName>
    <definedName name="TelferTaxDepnRate">#REF!</definedName>
    <definedName name="Template.WIRE">"DBACCESS"</definedName>
    <definedName name="TemplateName">#REF!</definedName>
    <definedName name="TEMPLATENUMBER1">#REF!</definedName>
    <definedName name="TEMPLATES">#REF!</definedName>
    <definedName name="TEMPLATESTYLE1">#REF!</definedName>
    <definedName name="TEMPLATETYPE1">#REF!</definedName>
    <definedName name="Ten">#REF!</definedName>
    <definedName name="TEP">#REF!</definedName>
    <definedName name="TEST0">#REF!</definedName>
    <definedName name="TEST1">#REF!</definedName>
    <definedName name="TESTHKEY">#REF!</definedName>
    <definedName name="TESTKEYS">#REF!</definedName>
    <definedName name="TESTVKEY">#REF!</definedName>
    <definedName name="TFR_2010">#REF!</definedName>
    <definedName name="TFR_2011">#REF!</definedName>
    <definedName name="TFR_Rounding_Factor">#REF!</definedName>
    <definedName name="thiessrates10">#REF!</definedName>
    <definedName name="ThinCapInd">#REF!</definedName>
    <definedName name="This_Claim">#REF!,#REF!,#REF!,#REF!,#REF!,#REF!</definedName>
    <definedName name="Thousand">#REF!</definedName>
    <definedName name="Thousands">#REF!</definedName>
    <definedName name="TI_B001">#REF!</definedName>
    <definedName name="TI_B002">#REF!</definedName>
    <definedName name="TI_B003">#REF!</definedName>
    <definedName name="TI_B004">#REF!</definedName>
    <definedName name="TI_B005">#REF!</definedName>
    <definedName name="TI_B006">#REF!</definedName>
    <definedName name="TI_B007">#REF!</definedName>
    <definedName name="TI_B008">#REF!</definedName>
    <definedName name="TI_B009">#REF!</definedName>
    <definedName name="TI_B010">#REF!</definedName>
    <definedName name="TI_B011">#REF!</definedName>
    <definedName name="TI_B012">#REF!</definedName>
    <definedName name="TI_B013">#REF!</definedName>
    <definedName name="TI_B014">#REF!</definedName>
    <definedName name="TI_B015">#REF!</definedName>
    <definedName name="TI_B016">#REF!</definedName>
    <definedName name="TI_B017">#REF!</definedName>
    <definedName name="TI_B018">#REF!</definedName>
    <definedName name="TI_B019">#REF!</definedName>
    <definedName name="TI_B020">#REF!</definedName>
    <definedName name="TI_B021">#REF!</definedName>
    <definedName name="TI_B022">#REF!</definedName>
    <definedName name="TI_B023">#REF!</definedName>
    <definedName name="TI_B024">#REF!</definedName>
    <definedName name="TI_B025">#REF!</definedName>
    <definedName name="TI_B026">#REF!</definedName>
    <definedName name="TI_B027">#REF!</definedName>
    <definedName name="TI_B028">#REF!</definedName>
    <definedName name="TI_B031">#REF!</definedName>
    <definedName name="TI_B032">#REF!</definedName>
    <definedName name="TI_B033">#REF!</definedName>
    <definedName name="TI_B034">#REF!</definedName>
    <definedName name="TI_B035">#REF!</definedName>
    <definedName name="TI_B036">#REF!</definedName>
    <definedName name="TI_B038">#REF!</definedName>
    <definedName name="TI_B044">#REF!</definedName>
    <definedName name="TI_B045">#REF!</definedName>
    <definedName name="TI_B046">#REF!</definedName>
    <definedName name="TI_B047">#REF!</definedName>
    <definedName name="TI_B048">#REF!</definedName>
    <definedName name="TI_B050">#REF!</definedName>
    <definedName name="TI_B051">#REF!</definedName>
    <definedName name="TI_B052">#REF!</definedName>
    <definedName name="tier1">#REF!</definedName>
    <definedName name="tier2">#REF!</definedName>
    <definedName name="TiptonOpexContingency">#REF!</definedName>
    <definedName name="TiptonOpexSens">#REF!</definedName>
    <definedName name="TiptonWestAdminFee">#REF!</definedName>
    <definedName name="TiptonWestBookBase">#REF!</definedName>
    <definedName name="TiptonWestEndOps">#REF!</definedName>
    <definedName name="TiptonWestOMMargin">#REF!</definedName>
    <definedName name="TiptonWestOpsFlag">#REF!</definedName>
    <definedName name="TiptonWestOpsStart">#REF!</definedName>
    <definedName name="TiptonWestOptionAmount">#REF!</definedName>
    <definedName name="TiptonWestOptionExerciseDate">#REF!</definedName>
    <definedName name="TiptonWestOptionIndicator">#REF!</definedName>
    <definedName name="TiptonWestRealInsurance">#REF!</definedName>
    <definedName name="TiptonWestRealOpex">#REF!</definedName>
    <definedName name="TiptonWestRealRev">#REF!</definedName>
    <definedName name="TiptonWestRevSens">#REF!</definedName>
    <definedName name="TiptonWestTaxBase">#REF!</definedName>
    <definedName name="TIS">#REF!</definedName>
    <definedName name="TITLE">#REF!</definedName>
    <definedName name="TOP">#REF!</definedName>
    <definedName name="TOS_Cl_Bal">#REF!</definedName>
    <definedName name="TOS_IRR">#REF!</definedName>
    <definedName name="Tot199AA">#REF!</definedName>
    <definedName name="Tot199CR">#REF!</definedName>
    <definedName name="Tot220CR">#REF!</definedName>
    <definedName name="Tot221Cr">#REF!</definedName>
    <definedName name="Tot245AA">#REF!</definedName>
    <definedName name="tot253CR">#REF!</definedName>
    <definedName name="Tot255AA">#REF!</definedName>
    <definedName name="Tot257AA">#REF!</definedName>
    <definedName name="Tot257CR">#REF!</definedName>
    <definedName name="Tot259AA">#REF!</definedName>
    <definedName name="Tot259PPS">#REF!</definedName>
    <definedName name="Tot261AA">#REF!</definedName>
    <definedName name="Tot261CR">#REF!</definedName>
    <definedName name="Tot262AA">#REF!</definedName>
    <definedName name="Tot262CR">#REF!</definedName>
    <definedName name="Tot263AA">#REF!</definedName>
    <definedName name="Tot263CR">#REF!</definedName>
    <definedName name="Tot266AA">#REF!</definedName>
    <definedName name="Totals">#REF!</definedName>
    <definedName name="TotalTrancheDebt">#REF!</definedName>
    <definedName name="TotalTxnCostsDepn">#REF!</definedName>
    <definedName name="TotCR044">#REF!</definedName>
    <definedName name="TotSA013">#REF!</definedName>
    <definedName name="TotSA031">#REF!</definedName>
    <definedName name="TotSA033">#REF!</definedName>
    <definedName name="TotSA034">#REF!</definedName>
    <definedName name="TotSA035">#REF!</definedName>
    <definedName name="TotSA036">#REF!</definedName>
    <definedName name="TotSA040">#REF!</definedName>
    <definedName name="TotSA041">#REF!</definedName>
    <definedName name="TotSA044">#REF!</definedName>
    <definedName name="TotSA046">#REF!</definedName>
    <definedName name="TOTW05CG">#REF!</definedName>
    <definedName name="TOTW05CLCFWD">#REF!</definedName>
    <definedName name="TOTW05CLR">#REF!</definedName>
    <definedName name="TOTW05CLT">#REF!</definedName>
    <definedName name="TOTW05NCG">#REF!</definedName>
    <definedName name="TOTW11">#REF!</definedName>
    <definedName name="TOTW19DEFA">#REF!</definedName>
    <definedName name="TOTW19DEFD">#REF!</definedName>
    <definedName name="TOTW19PROV">#REF!</definedName>
    <definedName name="TOTW19RES">#REF!</definedName>
    <definedName name="TOTW36">#REF!</definedName>
    <definedName name="TOTW42A">#REF!</definedName>
    <definedName name="TOTW42B">#REF!</definedName>
    <definedName name="TOTW42REBATE">#REF!</definedName>
    <definedName name="TOTW52RECOUPED">#REF!</definedName>
    <definedName name="TOTW53IN">#REF!</definedName>
    <definedName name="TOTW53OUT">#REF!</definedName>
    <definedName name="TOTW54IN">#REF!</definedName>
    <definedName name="TOTW54OUT">#REF!</definedName>
    <definedName name="Townsville">#REF!</definedName>
    <definedName name="Townsville_Cost">#REF!</definedName>
    <definedName name="TPWAssets">#REF!</definedName>
    <definedName name="TradeCreditors">#REF!</definedName>
    <definedName name="TradeDebtors">#REF!</definedName>
    <definedName name="Tradingname">Cover!$C$17</definedName>
    <definedName name="TRAIN">#REF!</definedName>
    <definedName name="TrancheAAmount">#REF!</definedName>
    <definedName name="TrancheAEstabPayment">#REF!</definedName>
    <definedName name="TrancheBAmount">#REF!</definedName>
    <definedName name="TrancheBEstabPayment">#REF!</definedName>
    <definedName name="TrancheCEstabPayment">#REF!</definedName>
    <definedName name="TrancheCPostTOCapexInd">#REF!</definedName>
    <definedName name="TrancheDEstabPayment">#REF!</definedName>
    <definedName name="TrancheEEstabPayment">#REF!</definedName>
    <definedName name="Transm_Pricing_Zone">#REF!</definedName>
    <definedName name="TRANSPORT99">#REF!</definedName>
    <definedName name="trunk_chrge">#REF!</definedName>
    <definedName name="TT">#REF!</definedName>
    <definedName name="TUOS">#REF!</definedName>
    <definedName name="TUOS_FC">#REF!</definedName>
    <definedName name="TUOS_Var">#REF!</definedName>
    <definedName name="TUOS_VC">#REF!</definedName>
    <definedName name="TV_EBITDA_multiple">#REF!</definedName>
    <definedName name="TV_switch">#REF!</definedName>
    <definedName name="TxnCostsTaxDepn">#REF!</definedName>
    <definedName name="type">#REF!</definedName>
    <definedName name="TYPES">#REF!</definedName>
    <definedName name="TYPESP5">#REF!</definedName>
    <definedName name="UAGDATA">#REF!</definedName>
    <definedName name="UCHOICES">#REF!</definedName>
    <definedName name="UKTable">#REF!</definedName>
    <definedName name="UnEarRev_B027">#REF!</definedName>
    <definedName name="UnEarRev_B028">#REF!</definedName>
    <definedName name="UNLNK">#REF!</definedName>
    <definedName name="UnRegCR">#REF!</definedName>
    <definedName name="UnRegMinChg">#REF!</definedName>
    <definedName name="UnRegTH">#REF!</definedName>
    <definedName name="UnSecRevDSCRTable">#REF!</definedName>
    <definedName name="UOS_1">#REF!</definedName>
    <definedName name="UOS_2">#REF!</definedName>
    <definedName name="UpArrow">#REF!</definedName>
    <definedName name="Upstream">#REF!</definedName>
    <definedName name="USA">#REF!</definedName>
    <definedName name="USATable">#REF!</definedName>
    <definedName name="USDEOMSPOT">#REF!</definedName>
    <definedName name="uselist">INDEX(valdata,1,MATCH(#REF!,#REF!,0)):INDEX(valdata,counter,MATCH(#REF!,#REF!,0))</definedName>
    <definedName name="uselist2">INDEX(valdata2,1,MATCH(#REF!,#REF!,0)):INDEX(valdata2,counter2,MATCH(#REF!,#REF!,0))</definedName>
    <definedName name="uselist3">INDEX(valdata3,1,MATCH(#REF!,#REF!,0)):INDEX(valdata3,counter3,MATCH(#REF!,#REF!,0))</definedName>
    <definedName name="uselist4">INDEX(valdata4,1,MATCH(#REF!,#REF!,0)):INDEX(valdata4,counter4,MATCH(#REF!,#REF!,0))</definedName>
    <definedName name="valdata">#REF!:INDEX(#REF!,100,COUNTA(#REF!))</definedName>
    <definedName name="valdata2">#REF!:INDEX(#REF!,100,COUNTA(#REF!))</definedName>
    <definedName name="valdata3">#REF!:INDEX(#REF!,100,COUNTA(#REF!))</definedName>
    <definedName name="valdata4">#REF!:INDEX(#REF!,100,COUNTA(#REF!))</definedName>
    <definedName name="Validations">#REF!</definedName>
    <definedName name="ValleyBeef">#REF!</definedName>
    <definedName name="valn_date">#REF!</definedName>
    <definedName name="vanilla">#REF!</definedName>
    <definedName name="vanilla1">#REF!</definedName>
    <definedName name="vanilla10">#REF!</definedName>
    <definedName name="vanilla2">#REF!</definedName>
    <definedName name="vanilla3">#REF!</definedName>
    <definedName name="vanilla4">#REF!</definedName>
    <definedName name="vanilla5">#REF!</definedName>
    <definedName name="vanilla6">#REF!</definedName>
    <definedName name="vanilla7">#REF!</definedName>
    <definedName name="vanilla8">#REF!</definedName>
    <definedName name="vanilla9">#REF!</definedName>
    <definedName name="VarAA_tbl">#REF!</definedName>
    <definedName name="vAutoFilter">#REF!</definedName>
    <definedName name="vAutoFilterFLAG">#REF!</definedName>
    <definedName name="vCube" hidden="1">#REF!</definedName>
    <definedName name="Version.WIRE">1</definedName>
    <definedName name="vFormulas" hidden="1">#REF!</definedName>
    <definedName name="vGetRange" hidden="1">#REF!</definedName>
    <definedName name="VIC_BudgetData">#REF!</definedName>
    <definedName name="Vic_CY">OFFSET(#REF!,0,#REF!,,24)</definedName>
    <definedName name="Vic_mat">OFFSET(#REF!,0,#REF!,,36)</definedName>
    <definedName name="Vic_PY">OFFSET(#REF!,0,#REF!,,36)</definedName>
    <definedName name="Vicgas_April">#REF!</definedName>
    <definedName name="Vicgas_August">#REF!</definedName>
    <definedName name="Vicgas_December">#REF!</definedName>
    <definedName name="Vicgas_February">#REF!</definedName>
    <definedName name="Vicgas_January">#REF!</definedName>
    <definedName name="Vicgas_July">#REF!</definedName>
    <definedName name="Vicgas_June">#REF!</definedName>
    <definedName name="Vicgas_March">#REF!</definedName>
    <definedName name="Vicgas_May">#REF!</definedName>
    <definedName name="Vicgas_November">#REF!</definedName>
    <definedName name="Vicgas_October">#REF!</definedName>
    <definedName name="Vicgas_September">#REF!</definedName>
    <definedName name="Visy">#REF!</definedName>
    <definedName name="Vol">#REF!</definedName>
    <definedName name="volume">#REF!</definedName>
    <definedName name="vPasteBackFrom" hidden="1">#REF!</definedName>
    <definedName name="vPasteBackTo" hidden="1">#REF!</definedName>
    <definedName name="vProjectEntry" hidden="1">#REF!</definedName>
    <definedName name="vProjectPaste" hidden="1">#REF!</definedName>
    <definedName name="vSendStatus" hidden="1">#REF!</definedName>
    <definedName name="vServer" hidden="1">#REF!</definedName>
    <definedName name="VTyp">#REF!</definedName>
    <definedName name="W53_Company_Name">#REF!</definedName>
    <definedName name="W5ADDCOST">#REF!</definedName>
    <definedName name="W5COST">#REF!</definedName>
    <definedName name="W5DISPCOST">#REF!</definedName>
    <definedName name="W5INDEX">#REF!</definedName>
    <definedName name="W5LOSS">#REF!</definedName>
    <definedName name="W5NEWCOST">#REF!</definedName>
    <definedName name="W5NOGAIN">#REF!</definedName>
    <definedName name="W5PROCEED">#REF!</definedName>
    <definedName name="W5PROFIT">#REF!</definedName>
    <definedName name="WACC">#REF!</definedName>
    <definedName name="WAPLInvoice">#REF!</definedName>
    <definedName name="Warwick">#REF!</definedName>
    <definedName name="Warwick_Cost">#REF!</definedName>
    <definedName name="WB_BudgetData">#REF!</definedName>
    <definedName name="WBSList">#REF!</definedName>
    <definedName name="wc">#REF!</definedName>
    <definedName name="wcbal">#REF!</definedName>
    <definedName name="WCCommitmentFeePerc">#REF!</definedName>
    <definedName name="wcdebtors">#REF!</definedName>
    <definedName name="WCDrawdownDate">#REF!</definedName>
    <definedName name="WCEndDate">#REF!</definedName>
    <definedName name="WCEstablishmentFee">#REF!</definedName>
    <definedName name="WCFacilityLimit">#REF!</definedName>
    <definedName name="WCMargin">#REF!</definedName>
    <definedName name="wcother">#REF!</definedName>
    <definedName name="wcsumm">#REF!</definedName>
    <definedName name="Weather_Grid">#REF!</definedName>
    <definedName name="Weighted_Price">#REF!</definedName>
    <definedName name="WELCOME_TO_PAGE">#REF!</definedName>
    <definedName name="WH_Rates">#REF!</definedName>
    <definedName name="Wholesale_Trade">#REF!</definedName>
    <definedName name="Whprice">#REF!</definedName>
    <definedName name="WickhamCapexBookDepnRate">#REF!</definedName>
    <definedName name="WickhamCapexFacAmtExclInt">#REF!</definedName>
    <definedName name="WickhamCapexSens">#REF!</definedName>
    <definedName name="WickhamContractEndDate">#REF!</definedName>
    <definedName name="WickhamOpexContingency">#REF!</definedName>
    <definedName name="WickhamOpexSens">#REF!</definedName>
    <definedName name="WickhamOpsFlag">#REF!</definedName>
    <definedName name="WickhamPointOMMargin">#REF!</definedName>
    <definedName name="WickhamRealYrlyRevenue">#REF!</definedName>
    <definedName name="WickhamRevPostContract">#REF!</definedName>
    <definedName name="WickhamRevPostContractEndDate">#REF!</definedName>
    <definedName name="WickhamRevSens">#REF!</definedName>
    <definedName name="WickhamStartOps">#REF!</definedName>
    <definedName name="Wide50_100">#REF!</definedName>
    <definedName name="WithholdingDistributions">#REF!</definedName>
    <definedName name="WithholdingRPSInt">#REF!</definedName>
    <definedName name="WithholdingRPSPrincipal">#REF!</definedName>
    <definedName name="WithholdingTaxChooser">#REF!</definedName>
    <definedName name="Wks_In_Yr">#REF!</definedName>
    <definedName name="WPCInvoice">#REF!</definedName>
    <definedName name="WrapFeeBondDiff">#REF!</definedName>
    <definedName name="WrapFeeFinClose">#REF!</definedName>
    <definedName name="WrappingFeeCFEndDate">#REF!</definedName>
    <definedName name="WrappingFeeDiscRate">#REF!</definedName>
    <definedName name="WrappingFeePerc">#REF!</definedName>
    <definedName name="WrappingFeePeriod">#REF!</definedName>
    <definedName name="wrn.1st._.Quarter." hidden="1">{#N/A,#N/A,FALSE,"1st quarter"}</definedName>
    <definedName name="wrn.1stqtr." hidden="1">{#N/A,#N/A,FALSE,"1st quarter"}</definedName>
    <definedName name="wrn.Annual._.Summary." hidden="1">{#N/A,#N/A,FALSE,"Annual Summary"}</definedName>
    <definedName name="wrn.Assumptions." hidden="1">{#N/A,#N/A,FALSE,"Assumptions"}</definedName>
    <definedName name="wrn.Both._.Outputs." hidden="1">{"LTV Output",#N/A,FALSE,"Output";"DCR Output",#N/A,FALSE,"Output"}</definedName>
    <definedName name="wrn.DCR._.Output." hidden="1">{"DCR Output",#N/A,FALSE,"Output"}</definedName>
    <definedName name="wrn.Five._.Year." hidden="1">{#N/A,"Five Year",FALSE,"Assumptions";#N/A,"Five Year",FALSE,"Annual Summary";#N/A,"Five Year",FALSE,"Quarterly Summary";#N/A,#N/A,FALSE,"IRR"}</definedName>
    <definedName name="wrn.Forecasts." hidden="1">{#N/A,#N/A,FALSE,"Forecasts"}</definedName>
    <definedName name="wrn.Inputs." hidden="1">{#N/A,#N/A,FALSE,"Input"}</definedName>
    <definedName name="wrn.IRR." hidden="1">{#N/A,#N/A,FALSE,"IRR"}</definedName>
    <definedName name="wrn.LTV._.Output." hidden="1">{"LTV Output",#N/A,FALSE,"Output"}</definedName>
    <definedName name="wrn.Printout." hidden="1">{"Zone1",#N/A,FALSE,"Parameters";"Zone2",#N/A,FALSE,"Parameters"}</definedName>
    <definedName name="wrn.Quarter1." hidden="1">{#N/A,#N/A,FALSE,"1st quarter 1997"}</definedName>
    <definedName name="wrn.Quarterly._.Summary." hidden="1">{#N/A,#N/A,FALSE,"Quarterly Summary"}</definedName>
    <definedName name="wrn.Report." hidden="1">{#N/A,#N/A,FALSE,"1996 BS";#N/A,#N/A,FALSE,"Income Stmt"}</definedName>
    <definedName name="wrn.Ten._.Year." hidden="1">{#N/A,"Ten Year",FALSE,"Assumptions";#N/A,"Ten Year",FALSE,"Annual Summary";#N/A,"Ten Year",FALSE,"Quarterly Summary";#N/A,#N/A,FALSE,"IRR"}</definedName>
    <definedName name="wtsheet">#REF!</definedName>
    <definedName name="x">#REF!</definedName>
    <definedName name="x_1">#REF!</definedName>
    <definedName name="X_2">#REF!</definedName>
    <definedName name="X_3">#REF!</definedName>
    <definedName name="X_4">#REF!</definedName>
    <definedName name="XAXIS">OFFSET(#REF!,,COUNTIF(#REF!,"&gt;0")-36,,36)</definedName>
    <definedName name="XAXISV">OFFSET(#REF!,,COUNT(#REF!)-36,,36)</definedName>
    <definedName name="xx">#REF!</definedName>
    <definedName name="xxAnnl_CorpTax_Rate">#REF!</definedName>
    <definedName name="xxINDANNUAL">#REF!</definedName>
    <definedName name="xxINITEQUITYINJ">#REF!</definedName>
    <definedName name="xxx">#REF!</definedName>
    <definedName name="XXXXXXXXXXXXXXXXXXXXX">#REF!</definedName>
    <definedName name="xxYearNo">#REF!</definedName>
    <definedName name="y">#REF!</definedName>
    <definedName name="Y_N">#REF!</definedName>
    <definedName name="YEAR">#REF!</definedName>
    <definedName name="Yearending">Cover!$C$27</definedName>
    <definedName name="YearEndMonth">#REF!</definedName>
    <definedName name="years">#REF!</definedName>
    <definedName name="Yearstart">Cover!$C$25</definedName>
    <definedName name="Yes">#REF!</definedName>
    <definedName name="YesNo">#REF!</definedName>
    <definedName name="Yr_Name">#REF!</definedName>
    <definedName name="Yrs_In_Yr">#REF!</definedName>
    <definedName name="YTD_Months">#REF!</definedName>
    <definedName name="ytdact98">#REF!</definedName>
    <definedName name="YTDACT99">#REF!</definedName>
    <definedName name="YTDACTTJ">#REF!</definedName>
    <definedName name="YTDBUD99">#REF!</definedName>
    <definedName name="YTDLIFE">#REF!</definedName>
    <definedName name="YTDLIFEE">#REF!</definedName>
    <definedName name="YTDVAR99">#REF!</definedName>
    <definedName name="yy">#REF!</definedName>
    <definedName name="z">OFFSET(ADSWAPCount,0,1+ItemsCols,1,ADSWAPCount)</definedName>
    <definedName name="Zeitwert">#REF!</definedName>
    <definedName name="ZW">#REF!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7" i="34" l="1"/>
  <c r="E66" i="34"/>
  <c r="F67" i="34"/>
  <c r="F16" i="34"/>
  <c r="F66" i="34"/>
  <c r="E19" i="34" l="1"/>
  <c r="E16" i="34"/>
  <c r="F23" i="34"/>
  <c r="F21" i="34"/>
  <c r="F22" i="34" l="1"/>
  <c r="L28" i="34"/>
  <c r="N28" i="34"/>
  <c r="Q28" i="34" s="1"/>
  <c r="L29" i="34"/>
  <c r="N29" i="34" s="1"/>
  <c r="Q29" i="34" s="1"/>
  <c r="L30" i="34"/>
  <c r="N30" i="34" s="1"/>
  <c r="Q30" i="34" s="1"/>
  <c r="L31" i="34"/>
  <c r="N31" i="34" s="1"/>
  <c r="Q31" i="34" s="1"/>
  <c r="L32" i="34"/>
  <c r="N32" i="34"/>
  <c r="Q32" i="34"/>
  <c r="L33" i="34"/>
  <c r="N33" i="34" s="1"/>
  <c r="Q33" i="34" s="1"/>
  <c r="L34" i="34"/>
  <c r="N34" i="34"/>
  <c r="Q34" i="34" s="1"/>
  <c r="L35" i="34"/>
  <c r="N35" i="34"/>
  <c r="Q35" i="34" s="1"/>
  <c r="L36" i="34"/>
  <c r="N36" i="34"/>
  <c r="Q36" i="34"/>
  <c r="F19" i="34" l="1"/>
  <c r="E23" i="34" l="1"/>
  <c r="E22" i="34"/>
  <c r="E21" i="34"/>
  <c r="E20" i="34"/>
  <c r="E18" i="34"/>
  <c r="E17" i="34"/>
  <c r="E15" i="34"/>
  <c r="F20" i="34"/>
  <c r="F17" i="34"/>
  <c r="F15" i="34"/>
  <c r="I18" i="16"/>
  <c r="E30" i="111"/>
  <c r="F30" i="111"/>
  <c r="G30" i="111"/>
  <c r="H30" i="111"/>
  <c r="I30" i="111"/>
  <c r="J30" i="111"/>
  <c r="K30" i="111"/>
  <c r="L30" i="111"/>
  <c r="M30" i="111"/>
  <c r="D30" i="111"/>
  <c r="E28" i="111"/>
  <c r="F28" i="111"/>
  <c r="G28" i="111"/>
  <c r="H28" i="111"/>
  <c r="I28" i="111"/>
  <c r="J28" i="111"/>
  <c r="K28" i="111"/>
  <c r="L28" i="111"/>
  <c r="M28" i="111"/>
  <c r="D28" i="111"/>
  <c r="K23" i="111"/>
  <c r="J23" i="111"/>
  <c r="I23" i="111"/>
  <c r="G23" i="111"/>
  <c r="F23" i="111"/>
  <c r="D23" i="111"/>
  <c r="L23" i="111"/>
  <c r="E23" i="111"/>
  <c r="H23" i="111"/>
  <c r="M23" i="111"/>
  <c r="D130" i="6"/>
  <c r="E15" i="87"/>
  <c r="D15" i="87"/>
  <c r="F15" i="87"/>
  <c r="G15" i="87"/>
  <c r="H15" i="87"/>
  <c r="B16" i="44"/>
  <c r="B15" i="44"/>
  <c r="D118" i="6"/>
  <c r="D116" i="6"/>
  <c r="D110" i="6"/>
  <c r="D108" i="6"/>
  <c r="D95" i="6"/>
  <c r="D94" i="6"/>
  <c r="D93" i="6" s="1"/>
  <c r="D92" i="6"/>
  <c r="D91" i="6"/>
  <c r="D90" i="6"/>
  <c r="D86" i="6"/>
  <c r="D78" i="6"/>
  <c r="D71" i="6"/>
  <c r="D63" i="6"/>
  <c r="D55" i="6"/>
  <c r="D47" i="6"/>
  <c r="D39" i="6"/>
  <c r="D31" i="6"/>
  <c r="D23" i="6"/>
  <c r="G98" i="66"/>
  <c r="E73" i="66"/>
  <c r="E41" i="66"/>
  <c r="E14" i="47"/>
  <c r="G46" i="59"/>
  <c r="I84" i="34"/>
  <c r="G59" i="34"/>
  <c r="D93" i="87"/>
  <c r="E91" i="87"/>
  <c r="E93" i="87" s="1"/>
  <c r="F91" i="87" s="1"/>
  <c r="F93" i="87" s="1"/>
  <c r="G91" i="87" s="1"/>
  <c r="G93" i="87" s="1"/>
  <c r="H91" i="87" s="1"/>
  <c r="H93" i="87" s="1"/>
  <c r="D90" i="87"/>
  <c r="E86" i="87" s="1"/>
  <c r="E90" i="87" s="1"/>
  <c r="F86" i="87" s="1"/>
  <c r="F90" i="87" s="1"/>
  <c r="G86" i="87" s="1"/>
  <c r="G90" i="87" s="1"/>
  <c r="H86" i="87" s="1"/>
  <c r="H90" i="87" s="1"/>
  <c r="D84" i="87"/>
  <c r="D29" i="87"/>
  <c r="E25" i="87" s="1"/>
  <c r="E29" i="87" s="1"/>
  <c r="F25" i="87" s="1"/>
  <c r="F29" i="87" s="1"/>
  <c r="G25" i="87" s="1"/>
  <c r="G29" i="87" s="1"/>
  <c r="H25" i="87" s="1"/>
  <c r="H29" i="87" s="1"/>
  <c r="D20" i="87"/>
  <c r="D23" i="87" s="1"/>
  <c r="E18" i="87" s="1"/>
  <c r="E20" i="87" s="1"/>
  <c r="E23" i="87" s="1"/>
  <c r="D102" i="6"/>
  <c r="E102" i="6"/>
  <c r="E96" i="6"/>
  <c r="I35" i="16"/>
  <c r="I34" i="16"/>
  <c r="I33" i="16"/>
  <c r="I32" i="16"/>
  <c r="I31" i="16"/>
  <c r="I30" i="16"/>
  <c r="I29" i="16"/>
  <c r="I28" i="16"/>
  <c r="I27" i="16"/>
  <c r="I22" i="16"/>
  <c r="E41" i="76" s="1"/>
  <c r="I21" i="16"/>
  <c r="E40" i="76" s="1"/>
  <c r="I20" i="16"/>
  <c r="E39" i="76" s="1"/>
  <c r="I19" i="16"/>
  <c r="I17" i="16"/>
  <c r="I16" i="16"/>
  <c r="J16" i="16" s="1"/>
  <c r="I15" i="16"/>
  <c r="E34" i="76" s="1"/>
  <c r="H35" i="16"/>
  <c r="H34" i="16"/>
  <c r="H33" i="16"/>
  <c r="H32" i="16"/>
  <c r="H31" i="16"/>
  <c r="J31" i="16" s="1"/>
  <c r="H30" i="16"/>
  <c r="J30" i="16" s="1"/>
  <c r="H29" i="16"/>
  <c r="J29" i="16"/>
  <c r="H28" i="16"/>
  <c r="H27" i="16"/>
  <c r="J27" i="16" s="1"/>
  <c r="H22" i="16"/>
  <c r="D41" i="76" s="1"/>
  <c r="H21" i="16"/>
  <c r="J21" i="16" s="1"/>
  <c r="H20" i="16"/>
  <c r="H19" i="16"/>
  <c r="H17" i="16"/>
  <c r="D36" i="76" s="1"/>
  <c r="H16" i="16"/>
  <c r="H15" i="16"/>
  <c r="D34" i="76" s="1"/>
  <c r="F23" i="16"/>
  <c r="F36" i="16" s="1"/>
  <c r="I16" i="45"/>
  <c r="H41" i="45"/>
  <c r="H40" i="45"/>
  <c r="H39" i="45"/>
  <c r="H38" i="45"/>
  <c r="H37" i="45"/>
  <c r="H36" i="45"/>
  <c r="H35" i="45"/>
  <c r="H34" i="45"/>
  <c r="H33" i="45"/>
  <c r="H32" i="45"/>
  <c r="H31" i="45"/>
  <c r="H30" i="45"/>
  <c r="H29" i="45"/>
  <c r="H28" i="45"/>
  <c r="H27" i="45"/>
  <c r="H26" i="45"/>
  <c r="H25" i="45"/>
  <c r="I25" i="45" s="1"/>
  <c r="H24" i="45"/>
  <c r="H23" i="45"/>
  <c r="H22" i="45"/>
  <c r="H21" i="45"/>
  <c r="H20" i="45"/>
  <c r="H19" i="45"/>
  <c r="H18" i="45"/>
  <c r="H17" i="45"/>
  <c r="H16" i="45"/>
  <c r="H15" i="45"/>
  <c r="G18" i="45"/>
  <c r="G17" i="45"/>
  <c r="G16" i="45"/>
  <c r="G15" i="45"/>
  <c r="I15" i="45" s="1"/>
  <c r="D42" i="45"/>
  <c r="E42" i="45"/>
  <c r="D29" i="57"/>
  <c r="C17" i="57"/>
  <c r="D17" i="57"/>
  <c r="E16" i="57"/>
  <c r="E15" i="57"/>
  <c r="E14" i="57"/>
  <c r="E13" i="57"/>
  <c r="E12" i="57"/>
  <c r="E11" i="57"/>
  <c r="H18" i="76"/>
  <c r="E35" i="76"/>
  <c r="D35" i="76"/>
  <c r="D38" i="76"/>
  <c r="D40" i="76"/>
  <c r="H150" i="80"/>
  <c r="H151" i="80"/>
  <c r="H152" i="80"/>
  <c r="H153" i="80"/>
  <c r="H154" i="80"/>
  <c r="H155" i="80"/>
  <c r="H156" i="80"/>
  <c r="H157" i="80"/>
  <c r="H158" i="80"/>
  <c r="H138" i="80"/>
  <c r="H139" i="80"/>
  <c r="H140" i="80"/>
  <c r="H141" i="80"/>
  <c r="H142" i="80"/>
  <c r="H143" i="80"/>
  <c r="H144" i="80"/>
  <c r="H145" i="80"/>
  <c r="H146" i="80"/>
  <c r="E150" i="80"/>
  <c r="E151" i="80"/>
  <c r="E152" i="80"/>
  <c r="E153" i="80"/>
  <c r="E154" i="80"/>
  <c r="E155" i="80"/>
  <c r="E156" i="80"/>
  <c r="E157" i="80"/>
  <c r="E158" i="80"/>
  <c r="D150" i="80"/>
  <c r="D151" i="80"/>
  <c r="D152" i="80"/>
  <c r="D153" i="80"/>
  <c r="D154" i="80"/>
  <c r="D155" i="80"/>
  <c r="D156" i="80"/>
  <c r="D157" i="80"/>
  <c r="D158" i="80"/>
  <c r="F117" i="80"/>
  <c r="F118" i="80"/>
  <c r="F119" i="80"/>
  <c r="F120" i="80"/>
  <c r="F121" i="80"/>
  <c r="F122" i="80"/>
  <c r="F123" i="80"/>
  <c r="F124" i="80"/>
  <c r="F125" i="80"/>
  <c r="E105" i="80"/>
  <c r="E106" i="80"/>
  <c r="E107" i="80"/>
  <c r="E108" i="80"/>
  <c r="E109" i="80"/>
  <c r="E110" i="80"/>
  <c r="E111" i="80"/>
  <c r="E112" i="80"/>
  <c r="E113" i="80"/>
  <c r="E80" i="80"/>
  <c r="E81" i="80"/>
  <c r="E82" i="80"/>
  <c r="E83" i="80"/>
  <c r="E84" i="80"/>
  <c r="E85" i="80"/>
  <c r="E86" i="80"/>
  <c r="E87" i="80"/>
  <c r="E88" i="80"/>
  <c r="D77" i="87"/>
  <c r="E73" i="87" s="1"/>
  <c r="E77" i="87" s="1"/>
  <c r="F73" i="87" s="1"/>
  <c r="F77" i="87" s="1"/>
  <c r="G73" i="87" s="1"/>
  <c r="G77" i="87" s="1"/>
  <c r="H73" i="87" s="1"/>
  <c r="H77" i="87" s="1"/>
  <c r="D71" i="87"/>
  <c r="E67" i="87" s="1"/>
  <c r="E71" i="87" s="1"/>
  <c r="F67" i="87" s="1"/>
  <c r="F71" i="87" s="1"/>
  <c r="G67" i="87" s="1"/>
  <c r="G71" i="87" s="1"/>
  <c r="H67" i="87" s="1"/>
  <c r="H71" i="87" s="1"/>
  <c r="D65" i="87"/>
  <c r="E61" i="87" s="1"/>
  <c r="E65" i="87" s="1"/>
  <c r="F61" i="87" s="1"/>
  <c r="F65" i="87" s="1"/>
  <c r="G61" i="87" s="1"/>
  <c r="G65" i="87" s="1"/>
  <c r="H61" i="87" s="1"/>
  <c r="H65" i="87" s="1"/>
  <c r="D59" i="87"/>
  <c r="E55" i="87" s="1"/>
  <c r="E59" i="87" s="1"/>
  <c r="F55" i="87" s="1"/>
  <c r="F59" i="87" s="1"/>
  <c r="G55" i="87" s="1"/>
  <c r="G59" i="87" s="1"/>
  <c r="H55" i="87" s="1"/>
  <c r="H59" i="87" s="1"/>
  <c r="D53" i="87"/>
  <c r="E49" i="87" s="1"/>
  <c r="E53" i="87" s="1"/>
  <c r="F49" i="87" s="1"/>
  <c r="F53" i="87" s="1"/>
  <c r="G49" i="87" s="1"/>
  <c r="G53" i="87" s="1"/>
  <c r="H49" i="87" s="1"/>
  <c r="H53" i="87" s="1"/>
  <c r="D47" i="87"/>
  <c r="E43" i="87" s="1"/>
  <c r="E47" i="87" s="1"/>
  <c r="F43" i="87" s="1"/>
  <c r="F47" i="87" s="1"/>
  <c r="G43" i="87" s="1"/>
  <c r="G47" i="87" s="1"/>
  <c r="H43" i="87" s="1"/>
  <c r="H47" i="87" s="1"/>
  <c r="D41" i="87"/>
  <c r="E37" i="87"/>
  <c r="E41" i="87" s="1"/>
  <c r="F37" i="87" s="1"/>
  <c r="F41" i="87" s="1"/>
  <c r="G37" i="87" s="1"/>
  <c r="G41" i="87" s="1"/>
  <c r="H37" i="87" s="1"/>
  <c r="H41" i="87" s="1"/>
  <c r="D35" i="87"/>
  <c r="E31" i="87"/>
  <c r="E35" i="87" s="1"/>
  <c r="F31" i="87" s="1"/>
  <c r="F35" i="87" s="1"/>
  <c r="G31" i="87" s="1"/>
  <c r="G35" i="87" s="1"/>
  <c r="H31" i="87" s="1"/>
  <c r="H35" i="87" s="1"/>
  <c r="C4" i="87"/>
  <c r="F36" i="47"/>
  <c r="C3" i="87"/>
  <c r="B2" i="87"/>
  <c r="D42" i="74"/>
  <c r="E23" i="47"/>
  <c r="F28" i="47"/>
  <c r="F29" i="47" s="1"/>
  <c r="G38" i="47" s="1"/>
  <c r="F20" i="47"/>
  <c r="E15" i="47"/>
  <c r="B43" i="74"/>
  <c r="C3" i="84"/>
  <c r="B2" i="84"/>
  <c r="C3" i="66"/>
  <c r="C3" i="47"/>
  <c r="C3" i="59"/>
  <c r="C3" i="34"/>
  <c r="C3" i="63"/>
  <c r="C3" i="55"/>
  <c r="C3" i="6"/>
  <c r="C3" i="16"/>
  <c r="C3" i="45"/>
  <c r="C3" i="57"/>
  <c r="C3" i="56"/>
  <c r="C3" i="76"/>
  <c r="C3" i="5"/>
  <c r="C3" i="44"/>
  <c r="C3" i="82"/>
  <c r="C3" i="69"/>
  <c r="D3" i="4"/>
  <c r="C3" i="74"/>
  <c r="C43" i="47"/>
  <c r="F12" i="47" s="1"/>
  <c r="G12" i="47" s="1"/>
  <c r="H12" i="47" s="1"/>
  <c r="I12" i="47" s="1"/>
  <c r="J12" i="47" s="1"/>
  <c r="K12" i="47" s="1"/>
  <c r="L12" i="47" s="1"/>
  <c r="M12" i="47" s="1"/>
  <c r="N12" i="47" s="1"/>
  <c r="O12" i="47" s="1"/>
  <c r="P12" i="47" s="1"/>
  <c r="Q12" i="47" s="1"/>
  <c r="R12" i="47" s="1"/>
  <c r="S12" i="47" s="1"/>
  <c r="T12" i="47" s="1"/>
  <c r="U12" i="47" s="1"/>
  <c r="V12" i="47" s="1"/>
  <c r="W12" i="47" s="1"/>
  <c r="X12" i="47" s="1"/>
  <c r="Y12" i="47" s="1"/>
  <c r="Z12" i="47" s="1"/>
  <c r="AA12" i="47" s="1"/>
  <c r="AB12" i="47" s="1"/>
  <c r="AC12" i="47" s="1"/>
  <c r="AD12" i="47" s="1"/>
  <c r="AE12" i="47" s="1"/>
  <c r="AF12" i="47" s="1"/>
  <c r="AG12" i="47" s="1"/>
  <c r="AH12" i="47" s="1"/>
  <c r="AI12" i="47" s="1"/>
  <c r="AJ12" i="47" s="1"/>
  <c r="AK12" i="47" s="1"/>
  <c r="AL12" i="47" s="1"/>
  <c r="AM12" i="47" s="1"/>
  <c r="AN12" i="47" s="1"/>
  <c r="AO12" i="47" s="1"/>
  <c r="AP12" i="47" s="1"/>
  <c r="AQ12" i="47" s="1"/>
  <c r="AR12" i="47" s="1"/>
  <c r="AS12" i="47" s="1"/>
  <c r="AT12" i="47" s="1"/>
  <c r="AU12" i="47" s="1"/>
  <c r="AV12" i="47" s="1"/>
  <c r="AW12" i="47" s="1"/>
  <c r="AX12" i="47" s="1"/>
  <c r="AY12" i="47" s="1"/>
  <c r="AZ12" i="47" s="1"/>
  <c r="BA12" i="47" s="1"/>
  <c r="BB12" i="47" s="1"/>
  <c r="BC12" i="47" s="1"/>
  <c r="BD12" i="47" s="1"/>
  <c r="BE12" i="47" s="1"/>
  <c r="BF12" i="47" s="1"/>
  <c r="BG12" i="47" s="1"/>
  <c r="BH12" i="47" s="1"/>
  <c r="C3" i="80"/>
  <c r="B2" i="80"/>
  <c r="B2" i="74"/>
  <c r="B2" i="66"/>
  <c r="B2" i="47"/>
  <c r="B2" i="59"/>
  <c r="B2" i="34"/>
  <c r="B2" i="63"/>
  <c r="B2" i="55"/>
  <c r="B2" i="6"/>
  <c r="B2" i="16"/>
  <c r="B2" i="45"/>
  <c r="B2" i="57"/>
  <c r="B2" i="56"/>
  <c r="B2" i="76"/>
  <c r="B2" i="5"/>
  <c r="B2" i="44"/>
  <c r="B2" i="82"/>
  <c r="B2" i="69"/>
  <c r="C2" i="4"/>
  <c r="J78" i="56"/>
  <c r="J35" i="56"/>
  <c r="E149" i="80"/>
  <c r="D149" i="80"/>
  <c r="H21" i="76"/>
  <c r="J47" i="56" s="1"/>
  <c r="I14" i="76"/>
  <c r="E32" i="76"/>
  <c r="F66" i="56" s="1"/>
  <c r="H32" i="76"/>
  <c r="H43" i="76"/>
  <c r="J90" i="56" s="1"/>
  <c r="G17" i="59"/>
  <c r="L57" i="34"/>
  <c r="N57" i="34" s="1"/>
  <c r="Q57" i="34" s="1"/>
  <c r="G36" i="47"/>
  <c r="H36" i="47"/>
  <c r="I36" i="47"/>
  <c r="J36" i="47"/>
  <c r="K36" i="47"/>
  <c r="L36" i="47"/>
  <c r="M36" i="47"/>
  <c r="N36" i="47"/>
  <c r="O36" i="47"/>
  <c r="P36" i="47"/>
  <c r="Q36" i="47"/>
  <c r="R36" i="47"/>
  <c r="S36" i="47"/>
  <c r="T36" i="47"/>
  <c r="U36" i="47"/>
  <c r="V36" i="47"/>
  <c r="W36" i="47"/>
  <c r="X36" i="47"/>
  <c r="Y36" i="47"/>
  <c r="Z36" i="47"/>
  <c r="AA36" i="47"/>
  <c r="AB36" i="47"/>
  <c r="AC36" i="47"/>
  <c r="AD36" i="47"/>
  <c r="AE36" i="47"/>
  <c r="AF36" i="47"/>
  <c r="AG36" i="47"/>
  <c r="AH36" i="47"/>
  <c r="AI36" i="47"/>
  <c r="AJ36" i="47"/>
  <c r="AK36" i="47"/>
  <c r="AL36" i="47"/>
  <c r="AM36" i="47"/>
  <c r="AN36" i="47"/>
  <c r="AO36" i="47"/>
  <c r="AO37" i="47"/>
  <c r="AP36" i="47"/>
  <c r="AQ36" i="47"/>
  <c r="AR36" i="47"/>
  <c r="AR37" i="47" s="1"/>
  <c r="AS36" i="47"/>
  <c r="AT36" i="47"/>
  <c r="AU36" i="47"/>
  <c r="AV36" i="47"/>
  <c r="AW36" i="47"/>
  <c r="AX36" i="47"/>
  <c r="AY36" i="47"/>
  <c r="AZ36" i="47"/>
  <c r="BA36" i="47"/>
  <c r="BB36" i="47"/>
  <c r="BC36" i="47"/>
  <c r="BD36" i="47"/>
  <c r="BE36" i="47"/>
  <c r="BE37" i="47" s="1"/>
  <c r="BF36" i="47"/>
  <c r="BG36" i="47"/>
  <c r="BG37" i="47" s="1"/>
  <c r="BH36" i="47"/>
  <c r="BH28" i="47"/>
  <c r="BG28" i="47"/>
  <c r="BG29" i="47" s="1"/>
  <c r="BF28" i="47"/>
  <c r="BF29" i="47" s="1"/>
  <c r="BE28" i="47"/>
  <c r="BD28" i="47"/>
  <c r="BC28" i="47"/>
  <c r="BB28" i="47"/>
  <c r="BA28" i="47"/>
  <c r="BA37" i="47" s="1"/>
  <c r="AZ28" i="47"/>
  <c r="AZ29" i="47" s="1"/>
  <c r="AY28" i="47"/>
  <c r="AX28" i="47"/>
  <c r="AW28" i="47"/>
  <c r="AV28" i="47"/>
  <c r="AV29" i="47" s="1"/>
  <c r="AU28" i="47"/>
  <c r="AT28" i="47"/>
  <c r="AS28" i="47"/>
  <c r="AR28" i="47"/>
  <c r="AR29" i="47" s="1"/>
  <c r="AQ28" i="47"/>
  <c r="AP28" i="47"/>
  <c r="AO28" i="47"/>
  <c r="AN28" i="47"/>
  <c r="AM28" i="47"/>
  <c r="AL28" i="47"/>
  <c r="AK28" i="47"/>
  <c r="AK37" i="47" s="1"/>
  <c r="AJ28" i="47"/>
  <c r="AI28" i="47"/>
  <c r="AH28" i="47"/>
  <c r="AG28" i="47"/>
  <c r="AF28" i="47"/>
  <c r="AE28" i="47"/>
  <c r="AE37" i="47" s="1"/>
  <c r="AD28" i="47"/>
  <c r="AC28" i="47"/>
  <c r="AC37" i="47" s="1"/>
  <c r="AB28" i="47"/>
  <c r="AA28" i="47"/>
  <c r="Z28" i="47"/>
  <c r="Y28" i="47"/>
  <c r="X28" i="47"/>
  <c r="W28" i="47"/>
  <c r="V28" i="47"/>
  <c r="U28" i="47"/>
  <c r="T28" i="47"/>
  <c r="S28" i="47"/>
  <c r="R28" i="47"/>
  <c r="Q28" i="47"/>
  <c r="Q37" i="47" s="1"/>
  <c r="P28" i="47"/>
  <c r="O28" i="47"/>
  <c r="N28" i="47"/>
  <c r="M28" i="47"/>
  <c r="M37" i="47" s="1"/>
  <c r="L28" i="47"/>
  <c r="K28" i="47"/>
  <c r="J28" i="47"/>
  <c r="I28" i="47"/>
  <c r="H28" i="47"/>
  <c r="G28" i="47"/>
  <c r="BH20" i="47"/>
  <c r="BH37" i="47" s="1"/>
  <c r="BG20" i="47"/>
  <c r="BF20" i="47"/>
  <c r="BE20" i="47"/>
  <c r="BD20" i="47"/>
  <c r="BC20" i="47"/>
  <c r="BC29" i="47" s="1"/>
  <c r="BC37" i="47"/>
  <c r="BB20" i="47"/>
  <c r="BA20" i="47"/>
  <c r="BA29" i="47" s="1"/>
  <c r="AZ20" i="47"/>
  <c r="AY20" i="47"/>
  <c r="AY29" i="47" s="1"/>
  <c r="AX20" i="47"/>
  <c r="AW20" i="47"/>
  <c r="AV20" i="47"/>
  <c r="AU20" i="47"/>
  <c r="AT20" i="47"/>
  <c r="AS20" i="47"/>
  <c r="AR20" i="47"/>
  <c r="AQ20" i="47"/>
  <c r="AQ29" i="47"/>
  <c r="AP20" i="47"/>
  <c r="AP37" i="47" s="1"/>
  <c r="AO20" i="47"/>
  <c r="AO29" i="47" s="1"/>
  <c r="AN20" i="47"/>
  <c r="AN37" i="47" s="1"/>
  <c r="AM20" i="47"/>
  <c r="AM29" i="47" s="1"/>
  <c r="AL20" i="47"/>
  <c r="AK20" i="47"/>
  <c r="AJ20" i="47"/>
  <c r="AI20" i="47"/>
  <c r="AH20" i="47"/>
  <c r="AH29" i="47" s="1"/>
  <c r="AG20" i="47"/>
  <c r="AG29" i="47" s="1"/>
  <c r="AF20" i="47"/>
  <c r="AE20" i="47"/>
  <c r="AD20" i="47"/>
  <c r="AC20" i="47"/>
  <c r="AB20" i="47"/>
  <c r="AA20" i="47"/>
  <c r="AA29" i="47" s="1"/>
  <c r="Z20" i="47"/>
  <c r="Z37" i="47" s="1"/>
  <c r="Y20" i="47"/>
  <c r="X20" i="47"/>
  <c r="X29" i="47" s="1"/>
  <c r="W20" i="47"/>
  <c r="V20" i="47"/>
  <c r="U20" i="47"/>
  <c r="T20" i="47"/>
  <c r="T29" i="47" s="1"/>
  <c r="S20" i="47"/>
  <c r="R20" i="47"/>
  <c r="R37" i="47" s="1"/>
  <c r="Q20" i="47"/>
  <c r="P20" i="47"/>
  <c r="P37" i="47" s="1"/>
  <c r="O20" i="47"/>
  <c r="N20" i="47"/>
  <c r="M20" i="47"/>
  <c r="L20" i="47"/>
  <c r="K20" i="47"/>
  <c r="J20" i="47"/>
  <c r="J37" i="47" s="1"/>
  <c r="I20" i="47"/>
  <c r="H20" i="47"/>
  <c r="G20" i="47"/>
  <c r="E34" i="47"/>
  <c r="E27" i="47"/>
  <c r="E19" i="47"/>
  <c r="G37" i="59"/>
  <c r="G38" i="59"/>
  <c r="G39" i="59"/>
  <c r="G40" i="59"/>
  <c r="G41" i="59"/>
  <c r="E26" i="47"/>
  <c r="E25" i="47"/>
  <c r="E24" i="47"/>
  <c r="E22" i="47"/>
  <c r="C34" i="55"/>
  <c r="C23" i="55"/>
  <c r="C28" i="55"/>
  <c r="C18" i="55"/>
  <c r="C17" i="55"/>
  <c r="C16" i="55"/>
  <c r="C15" i="55"/>
  <c r="C14" i="55"/>
  <c r="C13" i="55"/>
  <c r="C12" i="55"/>
  <c r="C11" i="55"/>
  <c r="L24" i="34"/>
  <c r="N24" i="34" s="1"/>
  <c r="Q24" i="34" s="1"/>
  <c r="L25" i="34"/>
  <c r="N25" i="34" s="1"/>
  <c r="Q25" i="34" s="1"/>
  <c r="L26" i="34"/>
  <c r="N26" i="34" s="1"/>
  <c r="Q26" i="34" s="1"/>
  <c r="L27" i="34"/>
  <c r="N27" i="34" s="1"/>
  <c r="Q27" i="34" s="1"/>
  <c r="L37" i="34"/>
  <c r="N37" i="34" s="1"/>
  <c r="Q37" i="34" s="1"/>
  <c r="L38" i="34"/>
  <c r="N38" i="34" s="1"/>
  <c r="Q38" i="34" s="1"/>
  <c r="L39" i="34"/>
  <c r="N39" i="34" s="1"/>
  <c r="Q39" i="34" s="1"/>
  <c r="L40" i="34"/>
  <c r="N40" i="34" s="1"/>
  <c r="Q40" i="34" s="1"/>
  <c r="L41" i="34"/>
  <c r="N41" i="34" s="1"/>
  <c r="Q41" i="34" s="1"/>
  <c r="L42" i="34"/>
  <c r="N42" i="34" s="1"/>
  <c r="Q42" i="34" s="1"/>
  <c r="L43" i="34"/>
  <c r="N43" i="34" s="1"/>
  <c r="Q43" i="34" s="1"/>
  <c r="L44" i="34"/>
  <c r="N44" i="34" s="1"/>
  <c r="Q44" i="34" s="1"/>
  <c r="L45" i="34"/>
  <c r="N45" i="34" s="1"/>
  <c r="Q45" i="34" s="1"/>
  <c r="L46" i="34"/>
  <c r="N46" i="34" s="1"/>
  <c r="Q46" i="34" s="1"/>
  <c r="L47" i="34"/>
  <c r="N47" i="34" s="1"/>
  <c r="Q47" i="34" s="1"/>
  <c r="L48" i="34"/>
  <c r="N48" i="34" s="1"/>
  <c r="Q48" i="34" s="1"/>
  <c r="L49" i="34"/>
  <c r="N49" i="34" s="1"/>
  <c r="Q49" i="34" s="1"/>
  <c r="L50" i="34"/>
  <c r="N50" i="34" s="1"/>
  <c r="Q50" i="34" s="1"/>
  <c r="L51" i="34"/>
  <c r="N51" i="34" s="1"/>
  <c r="Q51" i="34" s="1"/>
  <c r="E17" i="47"/>
  <c r="K68" i="34"/>
  <c r="M68" i="34" s="1"/>
  <c r="P68" i="34" s="1"/>
  <c r="K69" i="34"/>
  <c r="M69" i="34" s="1"/>
  <c r="P69" i="34" s="1"/>
  <c r="K70" i="34"/>
  <c r="M70" i="34" s="1"/>
  <c r="P70" i="34" s="1"/>
  <c r="K71" i="34"/>
  <c r="M71" i="34" s="1"/>
  <c r="P71" i="34" s="1"/>
  <c r="K72" i="34"/>
  <c r="M72" i="34" s="1"/>
  <c r="P72" i="34" s="1"/>
  <c r="K73" i="34"/>
  <c r="M73" i="34" s="1"/>
  <c r="P73" i="34" s="1"/>
  <c r="K74" i="34"/>
  <c r="M74" i="34" s="1"/>
  <c r="P74" i="34" s="1"/>
  <c r="K75" i="34"/>
  <c r="M75" i="34" s="1"/>
  <c r="P75" i="34" s="1"/>
  <c r="K76" i="34"/>
  <c r="M76" i="34" s="1"/>
  <c r="P76" i="34" s="1"/>
  <c r="K77" i="34"/>
  <c r="M77" i="34" s="1"/>
  <c r="P77" i="34" s="1"/>
  <c r="K78" i="34"/>
  <c r="M78" i="34" s="1"/>
  <c r="P78" i="34" s="1"/>
  <c r="K79" i="34"/>
  <c r="M79" i="34" s="1"/>
  <c r="P79" i="34" s="1"/>
  <c r="K80" i="34"/>
  <c r="M80" i="34" s="1"/>
  <c r="P80" i="34" s="1"/>
  <c r="K81" i="34"/>
  <c r="M81" i="34"/>
  <c r="P81" i="34" s="1"/>
  <c r="K82" i="34"/>
  <c r="M82" i="34" s="1"/>
  <c r="P82" i="34" s="1"/>
  <c r="L52" i="34"/>
  <c r="N52" i="34" s="1"/>
  <c r="Q52" i="34" s="1"/>
  <c r="L53" i="34"/>
  <c r="N53" i="34" s="1"/>
  <c r="Q53" i="34" s="1"/>
  <c r="L54" i="34"/>
  <c r="N54" i="34" s="1"/>
  <c r="Q54" i="34" s="1"/>
  <c r="G45" i="59"/>
  <c r="G44" i="59"/>
  <c r="G43" i="59"/>
  <c r="G42" i="59"/>
  <c r="G36" i="59"/>
  <c r="G35" i="59"/>
  <c r="G34" i="59"/>
  <c r="G33" i="59"/>
  <c r="G32" i="59"/>
  <c r="G31" i="59"/>
  <c r="G30" i="59"/>
  <c r="G29" i="59"/>
  <c r="G28" i="59"/>
  <c r="G27" i="59"/>
  <c r="G26" i="59"/>
  <c r="G25" i="59"/>
  <c r="G24" i="59"/>
  <c r="G23" i="59"/>
  <c r="G22" i="59"/>
  <c r="G21" i="59"/>
  <c r="G20" i="59"/>
  <c r="G19" i="59"/>
  <c r="G18" i="59"/>
  <c r="E31" i="47"/>
  <c r="E32" i="47"/>
  <c r="E33" i="47"/>
  <c r="E35" i="47"/>
  <c r="G19" i="45"/>
  <c r="G20" i="45"/>
  <c r="I20" i="45" s="1"/>
  <c r="G21" i="45"/>
  <c r="I21" i="45" s="1"/>
  <c r="G22" i="45"/>
  <c r="I22" i="45" s="1"/>
  <c r="G23" i="45"/>
  <c r="I23" i="45" s="1"/>
  <c r="G24" i="45"/>
  <c r="I24" i="45" s="1"/>
  <c r="G25" i="45"/>
  <c r="G26" i="45"/>
  <c r="G27" i="45"/>
  <c r="G28" i="45"/>
  <c r="I28" i="45" s="1"/>
  <c r="G29" i="45"/>
  <c r="I29" i="45" s="1"/>
  <c r="G30" i="45"/>
  <c r="G31" i="45"/>
  <c r="I31" i="45" s="1"/>
  <c r="G32" i="45"/>
  <c r="G33" i="45"/>
  <c r="I33" i="45" s="1"/>
  <c r="G34" i="45"/>
  <c r="I34" i="45" s="1"/>
  <c r="G35" i="45"/>
  <c r="G36" i="45"/>
  <c r="I36" i="45" s="1"/>
  <c r="G37" i="45"/>
  <c r="I37" i="45" s="1"/>
  <c r="G38" i="45"/>
  <c r="I38" i="45" s="1"/>
  <c r="G39" i="45"/>
  <c r="I39" i="45" s="1"/>
  <c r="G40" i="45"/>
  <c r="I40" i="45" s="1"/>
  <c r="G41" i="45"/>
  <c r="I41" i="45" s="1"/>
  <c r="E16" i="47"/>
  <c r="E18" i="47"/>
  <c r="K83" i="34"/>
  <c r="M83" i="34" s="1"/>
  <c r="P83" i="34" s="1"/>
  <c r="L55" i="34"/>
  <c r="N55" i="34" s="1"/>
  <c r="Q55" i="34" s="1"/>
  <c r="L56" i="34"/>
  <c r="N56" i="34" s="1"/>
  <c r="Q56" i="34" s="1"/>
  <c r="L58" i="34"/>
  <c r="N58" i="34" s="1"/>
  <c r="Q58" i="34" s="1"/>
  <c r="D15" i="76"/>
  <c r="F15" i="76" s="1"/>
  <c r="E14" i="76"/>
  <c r="F35" i="56" s="1"/>
  <c r="AN29" i="47"/>
  <c r="M29" i="47"/>
  <c r="AM37" i="47"/>
  <c r="AJ37" i="47"/>
  <c r="BE29" i="47"/>
  <c r="O29" i="47"/>
  <c r="W37" i="47"/>
  <c r="B44" i="74"/>
  <c r="J33" i="16"/>
  <c r="J34" i="16"/>
  <c r="E78" i="87" l="1"/>
  <c r="Z29" i="47"/>
  <c r="AD29" i="47"/>
  <c r="I32" i="45"/>
  <c r="O37" i="47"/>
  <c r="I18" i="45"/>
  <c r="I30" i="45"/>
  <c r="BH29" i="47"/>
  <c r="F37" i="47"/>
  <c r="J15" i="16"/>
  <c r="I17" i="45"/>
  <c r="I42" i="45" s="1"/>
  <c r="BF37" i="47"/>
  <c r="X37" i="47"/>
  <c r="I27" i="45"/>
  <c r="I29" i="47"/>
  <c r="I19" i="45"/>
  <c r="I35" i="45"/>
  <c r="J35" i="16"/>
  <c r="J32" i="16"/>
  <c r="I26" i="45"/>
  <c r="AK29" i="47"/>
  <c r="AY37" i="47"/>
  <c r="AZ37" i="47"/>
  <c r="K29" i="47"/>
  <c r="AP29" i="47"/>
  <c r="J20" i="16"/>
  <c r="E18" i="76"/>
  <c r="F23" i="56" s="1"/>
  <c r="W29" i="47"/>
  <c r="L37" i="47"/>
  <c r="J22" i="16"/>
  <c r="AD37" i="47"/>
  <c r="H42" i="45"/>
  <c r="E20" i="76" s="1"/>
  <c r="E21" i="76" s="1"/>
  <c r="J19" i="16"/>
  <c r="E38" i="76"/>
  <c r="F38" i="76" s="1"/>
  <c r="J28" i="16"/>
  <c r="E28" i="47"/>
  <c r="S29" i="47"/>
  <c r="Q29" i="47"/>
  <c r="J29" i="47"/>
  <c r="N37" i="47"/>
  <c r="P29" i="47"/>
  <c r="K37" i="47"/>
  <c r="R29" i="47"/>
  <c r="H29" i="47"/>
  <c r="L29" i="47"/>
  <c r="G37" i="47"/>
  <c r="I37" i="47"/>
  <c r="T37" i="47"/>
  <c r="H37" i="47"/>
  <c r="S37" i="47"/>
  <c r="U37" i="47"/>
  <c r="H18" i="16"/>
  <c r="J18" i="16" s="1"/>
  <c r="D24" i="6"/>
  <c r="D77" i="6"/>
  <c r="E37" i="76"/>
  <c r="F78" i="56" s="1"/>
  <c r="D19" i="6"/>
  <c r="F18" i="34"/>
  <c r="D44" i="6"/>
  <c r="D119" i="6"/>
  <c r="E112" i="6"/>
  <c r="B45" i="74"/>
  <c r="AX37" i="47"/>
  <c r="AX29" i="47"/>
  <c r="V37" i="47"/>
  <c r="V29" i="47"/>
  <c r="AL37" i="47"/>
  <c r="AL29" i="47"/>
  <c r="J66" i="56"/>
  <c r="J91" i="56" s="1"/>
  <c r="H44" i="76"/>
  <c r="F18" i="87"/>
  <c r="F20" i="87" s="1"/>
  <c r="F23" i="87" s="1"/>
  <c r="C129" i="80"/>
  <c r="D14" i="76"/>
  <c r="E17" i="57"/>
  <c r="N29" i="47"/>
  <c r="E20" i="47"/>
  <c r="E29" i="47" s="1"/>
  <c r="C26" i="69" s="1"/>
  <c r="AS29" i="47"/>
  <c r="AS37" i="47"/>
  <c r="AC29" i="47"/>
  <c r="BD37" i="47"/>
  <c r="E36" i="76"/>
  <c r="F36" i="76" s="1"/>
  <c r="J17" i="16"/>
  <c r="AG37" i="47"/>
  <c r="AT37" i="47"/>
  <c r="AT29" i="47"/>
  <c r="AU37" i="47"/>
  <c r="AU29" i="47"/>
  <c r="AH37" i="47"/>
  <c r="AW37" i="47"/>
  <c r="AW29" i="47"/>
  <c r="BD29" i="47"/>
  <c r="U29" i="47"/>
  <c r="AI29" i="47"/>
  <c r="AI37" i="47"/>
  <c r="AJ29" i="47"/>
  <c r="Y37" i="47"/>
  <c r="Y29" i="47"/>
  <c r="J23" i="56"/>
  <c r="J48" i="56" s="1"/>
  <c r="H22" i="76"/>
  <c r="D94" i="87"/>
  <c r="E80" i="87"/>
  <c r="E84" i="87" s="1"/>
  <c r="D39" i="76"/>
  <c r="F39" i="76" s="1"/>
  <c r="G42" i="45"/>
  <c r="D20" i="76" s="1"/>
  <c r="D78" i="87"/>
  <c r="D95" i="87" s="1"/>
  <c r="AA37" i="47"/>
  <c r="AB37" i="47"/>
  <c r="AB29" i="47"/>
  <c r="AV37" i="47"/>
  <c r="G29" i="47"/>
  <c r="H38" i="47" s="1"/>
  <c r="I38" i="47" s="1"/>
  <c r="AE29" i="47"/>
  <c r="E36" i="47"/>
  <c r="AF37" i="47"/>
  <c r="AF29" i="47"/>
  <c r="AQ37" i="47"/>
  <c r="BB37" i="47"/>
  <c r="BB29" i="47"/>
  <c r="F40" i="76"/>
  <c r="F34" i="76"/>
  <c r="D96" i="6"/>
  <c r="D40" i="6"/>
  <c r="G15" i="59"/>
  <c r="D106" i="6"/>
  <c r="F41" i="76"/>
  <c r="D111" i="6"/>
  <c r="F35" i="76"/>
  <c r="D115" i="6" l="1"/>
  <c r="D107" i="6"/>
  <c r="D22" i="6"/>
  <c r="H45" i="76"/>
  <c r="J38" i="47"/>
  <c r="K38" i="47" s="1"/>
  <c r="L38" i="47" s="1"/>
  <c r="M38" i="47" s="1"/>
  <c r="N38" i="47" s="1"/>
  <c r="E22" i="76"/>
  <c r="F47" i="56"/>
  <c r="F48" i="56" s="1"/>
  <c r="D37" i="76"/>
  <c r="F37" i="76" s="1"/>
  <c r="E37" i="47"/>
  <c r="E80" i="6"/>
  <c r="D38" i="6"/>
  <c r="E41" i="6"/>
  <c r="D85" i="6"/>
  <c r="E88" i="6"/>
  <c r="D70" i="6"/>
  <c r="E33" i="6"/>
  <c r="D62" i="6"/>
  <c r="E65" i="6"/>
  <c r="D54" i="6"/>
  <c r="E57" i="6"/>
  <c r="E49" i="6"/>
  <c r="E73" i="6"/>
  <c r="E21" i="6"/>
  <c r="E25" i="6" s="1"/>
  <c r="D60" i="6"/>
  <c r="D43" i="6"/>
  <c r="D18" i="6"/>
  <c r="D56" i="6"/>
  <c r="D59" i="6"/>
  <c r="D52" i="6"/>
  <c r="D76" i="6"/>
  <c r="D20" i="6"/>
  <c r="D61" i="6"/>
  <c r="D27" i="6"/>
  <c r="D28" i="6"/>
  <c r="D53" i="6"/>
  <c r="D83" i="6"/>
  <c r="D32" i="6"/>
  <c r="D84" i="6"/>
  <c r="O84" i="34"/>
  <c r="D48" i="6"/>
  <c r="D35" i="6"/>
  <c r="D82" i="6"/>
  <c r="D46" i="6"/>
  <c r="D37" i="6"/>
  <c r="D68" i="6"/>
  <c r="D72" i="6"/>
  <c r="D87" i="6"/>
  <c r="D79" i="6"/>
  <c r="J84" i="34"/>
  <c r="K66" i="34"/>
  <c r="M66" i="34" s="1"/>
  <c r="H84" i="34"/>
  <c r="P59" i="34"/>
  <c r="D109" i="6"/>
  <c r="I31" i="76"/>
  <c r="I38" i="76"/>
  <c r="I29" i="76"/>
  <c r="I28" i="76"/>
  <c r="B46" i="74"/>
  <c r="I30" i="76"/>
  <c r="O38" i="47"/>
  <c r="P38" i="47" s="1"/>
  <c r="Q38" i="47" s="1"/>
  <c r="R38" i="47" s="1"/>
  <c r="S38" i="47" s="1"/>
  <c r="T38" i="47" s="1"/>
  <c r="U38" i="47" s="1"/>
  <c r="V38" i="47" s="1"/>
  <c r="W38" i="47" s="1"/>
  <c r="X38" i="47" s="1"/>
  <c r="Y38" i="47" s="1"/>
  <c r="Z38" i="47" s="1"/>
  <c r="AA38" i="47" s="1"/>
  <c r="AB38" i="47" s="1"/>
  <c r="AC38" i="47" s="1"/>
  <c r="AD38" i="47" s="1"/>
  <c r="AE38" i="47" s="1"/>
  <c r="AF38" i="47" s="1"/>
  <c r="AG38" i="47" s="1"/>
  <c r="AH38" i="47" s="1"/>
  <c r="AI38" i="47" s="1"/>
  <c r="AJ38" i="47" s="1"/>
  <c r="AK38" i="47" s="1"/>
  <c r="AL38" i="47" s="1"/>
  <c r="AM38" i="47" s="1"/>
  <c r="AN38" i="47" s="1"/>
  <c r="AO38" i="47" s="1"/>
  <c r="AP38" i="47" s="1"/>
  <c r="AQ38" i="47" s="1"/>
  <c r="AR38" i="47" s="1"/>
  <c r="AS38" i="47" s="1"/>
  <c r="AT38" i="47" s="1"/>
  <c r="AU38" i="47" s="1"/>
  <c r="AV38" i="47" s="1"/>
  <c r="AW38" i="47" s="1"/>
  <c r="AX38" i="47" s="1"/>
  <c r="AY38" i="47" s="1"/>
  <c r="AZ38" i="47" s="1"/>
  <c r="BA38" i="47" s="1"/>
  <c r="BB38" i="47" s="1"/>
  <c r="BC38" i="47" s="1"/>
  <c r="BD38" i="47" s="1"/>
  <c r="BE38" i="47" s="1"/>
  <c r="BF38" i="47" s="1"/>
  <c r="BG38" i="47" s="1"/>
  <c r="BH38" i="47" s="1"/>
  <c r="I41" i="76"/>
  <c r="I37" i="76"/>
  <c r="F80" i="87"/>
  <c r="F84" i="87" s="1"/>
  <c r="E94" i="87"/>
  <c r="E95" i="87" s="1"/>
  <c r="I40" i="76"/>
  <c r="I25" i="76"/>
  <c r="I35" i="76"/>
  <c r="F20" i="76"/>
  <c r="F21" i="76" s="1"/>
  <c r="C11" i="69" s="1"/>
  <c r="D21" i="76"/>
  <c r="E47" i="56" s="1"/>
  <c r="E35" i="56"/>
  <c r="F14" i="76"/>
  <c r="C130" i="80"/>
  <c r="C131" i="80" s="1"/>
  <c r="C132" i="80" s="1"/>
  <c r="C133" i="80" s="1"/>
  <c r="D145" i="80"/>
  <c r="D137" i="80"/>
  <c r="D142" i="80"/>
  <c r="D139" i="80"/>
  <c r="D146" i="80"/>
  <c r="D141" i="80"/>
  <c r="D140" i="80"/>
  <c r="D143" i="80"/>
  <c r="D138" i="80"/>
  <c r="D144" i="80"/>
  <c r="I36" i="76"/>
  <c r="I39" i="76"/>
  <c r="F78" i="87"/>
  <c r="G18" i="87"/>
  <c r="G20" i="87" s="1"/>
  <c r="G23" i="87" s="1"/>
  <c r="D30" i="6"/>
  <c r="I27" i="76"/>
  <c r="D69" i="6"/>
  <c r="F26" i="76"/>
  <c r="I24" i="16"/>
  <c r="H24" i="16"/>
  <c r="E23" i="16"/>
  <c r="E36" i="16" s="1"/>
  <c r="D112" i="6" l="1"/>
  <c r="F16" i="76"/>
  <c r="F17" i="76"/>
  <c r="E78" i="56"/>
  <c r="E103" i="6"/>
  <c r="L15" i="34"/>
  <c r="N15" i="34" s="1"/>
  <c r="L16" i="34"/>
  <c r="N16" i="34" s="1"/>
  <c r="Q16" i="34" s="1"/>
  <c r="D21" i="6"/>
  <c r="D25" i="6" s="1"/>
  <c r="D29" i="6"/>
  <c r="D33" i="6" s="1"/>
  <c r="L20" i="34"/>
  <c r="N20" i="34" s="1"/>
  <c r="Q20" i="34" s="1"/>
  <c r="L19" i="34"/>
  <c r="N19" i="34" s="1"/>
  <c r="Q19" i="34" s="1"/>
  <c r="J59" i="34"/>
  <c r="H59" i="34"/>
  <c r="L17" i="34"/>
  <c r="N17" i="34" s="1"/>
  <c r="Q17" i="34" s="1"/>
  <c r="D45" i="6"/>
  <c r="D49" i="6" s="1"/>
  <c r="D64" i="6"/>
  <c r="D65" i="6" s="1"/>
  <c r="D51" i="6"/>
  <c r="D57" i="6" s="1"/>
  <c r="L18" i="34"/>
  <c r="N18" i="34" s="1"/>
  <c r="Q18" i="34" s="1"/>
  <c r="L21" i="34"/>
  <c r="N21" i="34" s="1"/>
  <c r="Q21" i="34" s="1"/>
  <c r="O59" i="34"/>
  <c r="L23" i="34"/>
  <c r="N23" i="34" s="1"/>
  <c r="Q23" i="34" s="1"/>
  <c r="K59" i="34"/>
  <c r="L22" i="34"/>
  <c r="N22" i="34" s="1"/>
  <c r="Q22" i="34" s="1"/>
  <c r="D88" i="6"/>
  <c r="D67" i="6"/>
  <c r="D73" i="6" s="1"/>
  <c r="D75" i="6"/>
  <c r="D80" i="6" s="1"/>
  <c r="D36" i="6"/>
  <c r="D41" i="6" s="1"/>
  <c r="I59" i="34"/>
  <c r="G78" i="87"/>
  <c r="H18" i="87"/>
  <c r="H20" i="87" s="1"/>
  <c r="H23" i="87" s="1"/>
  <c r="H78" i="87" s="1"/>
  <c r="E146" i="80"/>
  <c r="E137" i="80"/>
  <c r="E139" i="80"/>
  <c r="E144" i="80"/>
  <c r="E141" i="80"/>
  <c r="E140" i="80"/>
  <c r="E143" i="80"/>
  <c r="E138" i="80"/>
  <c r="E145" i="80"/>
  <c r="E142" i="80"/>
  <c r="F28" i="76"/>
  <c r="F30" i="76"/>
  <c r="I16" i="76"/>
  <c r="I17" i="76"/>
  <c r="F25" i="76"/>
  <c r="C134" i="80"/>
  <c r="I34" i="76"/>
  <c r="G21" i="76"/>
  <c r="I47" i="56" s="1"/>
  <c r="I20" i="76"/>
  <c r="I21" i="76" s="1"/>
  <c r="F94" i="87"/>
  <c r="F95" i="87" s="1"/>
  <c r="G80" i="87"/>
  <c r="G84" i="87" s="1"/>
  <c r="F27" i="76"/>
  <c r="G32" i="76"/>
  <c r="I24" i="76"/>
  <c r="F29" i="76"/>
  <c r="F31" i="76"/>
  <c r="B47" i="74"/>
  <c r="I26" i="76"/>
  <c r="I78" i="56"/>
  <c r="F24" i="76"/>
  <c r="J24" i="16"/>
  <c r="H25" i="16"/>
  <c r="I25" i="16"/>
  <c r="P66" i="34"/>
  <c r="L59" i="34" l="1"/>
  <c r="D103" i="6"/>
  <c r="I32" i="76"/>
  <c r="B48" i="74"/>
  <c r="I35" i="56"/>
  <c r="I15" i="76"/>
  <c r="F32" i="76"/>
  <c r="C13" i="69" s="1"/>
  <c r="I66" i="56"/>
  <c r="D32" i="76"/>
  <c r="E66" i="56" s="1"/>
  <c r="G94" i="87"/>
  <c r="H80" i="87"/>
  <c r="H84" i="87" s="1"/>
  <c r="H94" i="87" s="1"/>
  <c r="H95" i="87" s="1"/>
  <c r="C23" i="69" s="1"/>
  <c r="G95" i="87"/>
  <c r="Q15" i="34"/>
  <c r="Q59" i="34" s="1"/>
  <c r="N59" i="34"/>
  <c r="H26" i="16"/>
  <c r="I26" i="16"/>
  <c r="I23" i="16" s="1"/>
  <c r="J25" i="16"/>
  <c r="C119" i="80" l="1"/>
  <c r="F71" i="56"/>
  <c r="D82" i="80"/>
  <c r="G82" i="80" s="1"/>
  <c r="D67" i="80" s="1"/>
  <c r="C122" i="80"/>
  <c r="F62" i="56"/>
  <c r="E74" i="56"/>
  <c r="C92" i="80"/>
  <c r="E56" i="56"/>
  <c r="C104" i="80"/>
  <c r="F58" i="56"/>
  <c r="F70" i="56"/>
  <c r="C118" i="80"/>
  <c r="E37" i="56"/>
  <c r="F39" i="56"/>
  <c r="E43" i="56"/>
  <c r="E31" i="56"/>
  <c r="E27" i="56"/>
  <c r="B49" i="74"/>
  <c r="E25" i="56"/>
  <c r="F25" i="56"/>
  <c r="F28" i="56"/>
  <c r="E28" i="56"/>
  <c r="F13" i="76"/>
  <c r="F18" i="76" s="1"/>
  <c r="D18" i="76"/>
  <c r="E40" i="56"/>
  <c r="F40" i="56"/>
  <c r="E42" i="76"/>
  <c r="E43" i="76" s="1"/>
  <c r="I36" i="16"/>
  <c r="J26" i="16"/>
  <c r="H23" i="16"/>
  <c r="D92" i="80" l="1"/>
  <c r="F56" i="56"/>
  <c r="F59" i="56"/>
  <c r="E68" i="56"/>
  <c r="E58" i="56"/>
  <c r="F13" i="56"/>
  <c r="D95" i="80"/>
  <c r="C107" i="80"/>
  <c r="F107" i="80" s="1"/>
  <c r="E67" i="80" s="1"/>
  <c r="E71" i="56"/>
  <c r="G71" i="56" s="1"/>
  <c r="E62" i="56"/>
  <c r="G62" i="56" s="1"/>
  <c r="F68" i="56"/>
  <c r="D107" i="80"/>
  <c r="G107" i="80" s="1"/>
  <c r="F67" i="80" s="1"/>
  <c r="D79" i="80"/>
  <c r="E59" i="56"/>
  <c r="D104" i="80"/>
  <c r="J84" i="56"/>
  <c r="J88" i="56"/>
  <c r="J81" i="56"/>
  <c r="J89" i="56"/>
  <c r="J82" i="56"/>
  <c r="J87" i="56"/>
  <c r="J83" i="56"/>
  <c r="J86" i="56"/>
  <c r="J85" i="56"/>
  <c r="J13" i="56"/>
  <c r="F37" i="56"/>
  <c r="C116" i="80"/>
  <c r="E39" i="56"/>
  <c r="G39" i="56" s="1"/>
  <c r="F43" i="56"/>
  <c r="G43" i="56" s="1"/>
  <c r="J25" i="56"/>
  <c r="I37" i="56"/>
  <c r="D81" i="80"/>
  <c r="G81" i="80" s="1"/>
  <c r="D66" i="80" s="1"/>
  <c r="F15" i="56"/>
  <c r="D85" i="80"/>
  <c r="G85" i="80" s="1"/>
  <c r="D70" i="80" s="1"/>
  <c r="F31" i="56"/>
  <c r="C98" i="80"/>
  <c r="D98" i="80"/>
  <c r="F74" i="56"/>
  <c r="G74" i="56" s="1"/>
  <c r="C95" i="80"/>
  <c r="C106" i="80"/>
  <c r="F106" i="80" s="1"/>
  <c r="E66" i="80" s="1"/>
  <c r="D94" i="80"/>
  <c r="D106" i="80"/>
  <c r="G106" i="80" s="1"/>
  <c r="F66" i="80" s="1"/>
  <c r="E70" i="56"/>
  <c r="G70" i="56" s="1"/>
  <c r="F27" i="56"/>
  <c r="G27" i="56" s="1"/>
  <c r="D110" i="80"/>
  <c r="G110" i="80" s="1"/>
  <c r="F70" i="80" s="1"/>
  <c r="C110" i="80"/>
  <c r="F110" i="80" s="1"/>
  <c r="E70" i="80" s="1"/>
  <c r="F16" i="56"/>
  <c r="E92" i="80"/>
  <c r="D116" i="80" s="1"/>
  <c r="F19" i="56"/>
  <c r="C94" i="80"/>
  <c r="C139" i="80" s="1"/>
  <c r="C125" i="80"/>
  <c r="C101" i="80"/>
  <c r="C120" i="80"/>
  <c r="C96" i="80"/>
  <c r="C117" i="80"/>
  <c r="C93" i="80"/>
  <c r="C124" i="80"/>
  <c r="C100" i="80"/>
  <c r="C121" i="80"/>
  <c r="C97" i="80"/>
  <c r="G31" i="56"/>
  <c r="C123" i="80"/>
  <c r="C99" i="80"/>
  <c r="C149" i="80"/>
  <c r="C137" i="80"/>
  <c r="C31" i="80"/>
  <c r="B50" i="74"/>
  <c r="G18" i="76"/>
  <c r="I13" i="76"/>
  <c r="I18" i="76" s="1"/>
  <c r="I22" i="76" s="1"/>
  <c r="G28" i="56"/>
  <c r="D78" i="56"/>
  <c r="D23" i="56"/>
  <c r="G56" i="56"/>
  <c r="D90" i="56"/>
  <c r="E23" i="56"/>
  <c r="E21" i="56" s="1"/>
  <c r="D22" i="76"/>
  <c r="F57" i="56"/>
  <c r="E57" i="56"/>
  <c r="D80" i="80"/>
  <c r="G80" i="80" s="1"/>
  <c r="D65" i="80" s="1"/>
  <c r="E38" i="56"/>
  <c r="F38" i="56"/>
  <c r="F41" i="56"/>
  <c r="E41" i="56"/>
  <c r="F72" i="56"/>
  <c r="E72" i="56"/>
  <c r="D108" i="80"/>
  <c r="G108" i="80" s="1"/>
  <c r="F68" i="80" s="1"/>
  <c r="C108" i="80"/>
  <c r="F108" i="80" s="1"/>
  <c r="E68" i="80" s="1"/>
  <c r="D96" i="80"/>
  <c r="E29" i="56"/>
  <c r="F29" i="56"/>
  <c r="F73" i="56"/>
  <c r="E73" i="56"/>
  <c r="D97" i="80"/>
  <c r="D109" i="80"/>
  <c r="G109" i="80" s="1"/>
  <c r="F69" i="80" s="1"/>
  <c r="C109" i="80"/>
  <c r="F109" i="80" s="1"/>
  <c r="E69" i="80" s="1"/>
  <c r="F20" i="56"/>
  <c r="F22" i="56"/>
  <c r="E60" i="56"/>
  <c r="F60" i="56"/>
  <c r="D83" i="80"/>
  <c r="G83" i="80" s="1"/>
  <c r="D68" i="80" s="1"/>
  <c r="D66" i="56"/>
  <c r="F65" i="56"/>
  <c r="E65" i="56"/>
  <c r="D88" i="80"/>
  <c r="G88" i="80" s="1"/>
  <c r="D73" i="80" s="1"/>
  <c r="E61" i="56"/>
  <c r="F61" i="56"/>
  <c r="D84" i="80"/>
  <c r="G84" i="80" s="1"/>
  <c r="D69" i="80" s="1"/>
  <c r="F34" i="56"/>
  <c r="E34" i="56"/>
  <c r="E32" i="56"/>
  <c r="F32" i="56"/>
  <c r="E44" i="56"/>
  <c r="F44" i="56"/>
  <c r="F17" i="56"/>
  <c r="E45" i="56"/>
  <c r="F45" i="56"/>
  <c r="E76" i="56"/>
  <c r="F76" i="56"/>
  <c r="C112" i="80"/>
  <c r="F112" i="80" s="1"/>
  <c r="E72" i="80" s="1"/>
  <c r="D100" i="80"/>
  <c r="D112" i="80"/>
  <c r="G112" i="80" s="1"/>
  <c r="F72" i="80" s="1"/>
  <c r="E77" i="56"/>
  <c r="F77" i="56"/>
  <c r="D101" i="80"/>
  <c r="D113" i="80"/>
  <c r="G113" i="80" s="1"/>
  <c r="F73" i="80" s="1"/>
  <c r="C113" i="80"/>
  <c r="F113" i="80" s="1"/>
  <c r="E73" i="80" s="1"/>
  <c r="D35" i="56"/>
  <c r="F22" i="76"/>
  <c r="C12" i="69" s="1"/>
  <c r="C10" i="69"/>
  <c r="E46" i="56"/>
  <c r="F46" i="56"/>
  <c r="F21" i="56"/>
  <c r="G40" i="56"/>
  <c r="E33" i="56"/>
  <c r="F33" i="56"/>
  <c r="G58" i="56"/>
  <c r="F75" i="56"/>
  <c r="E75" i="56"/>
  <c r="C111" i="80"/>
  <c r="F111" i="80" s="1"/>
  <c r="E71" i="80" s="1"/>
  <c r="D99" i="80"/>
  <c r="D111" i="80"/>
  <c r="G111" i="80" s="1"/>
  <c r="F71" i="80" s="1"/>
  <c r="F42" i="56"/>
  <c r="E42" i="56"/>
  <c r="F30" i="56"/>
  <c r="E30" i="56"/>
  <c r="F64" i="56"/>
  <c r="E64" i="56"/>
  <c r="D87" i="80"/>
  <c r="G87" i="80" s="1"/>
  <c r="D72" i="80" s="1"/>
  <c r="F14" i="56"/>
  <c r="G25" i="56"/>
  <c r="F63" i="56"/>
  <c r="E63" i="56"/>
  <c r="D86" i="80"/>
  <c r="G86" i="80" s="1"/>
  <c r="D71" i="80" s="1"/>
  <c r="F18" i="56"/>
  <c r="D47" i="56"/>
  <c r="F69" i="56"/>
  <c r="E69" i="56"/>
  <c r="C105" i="80"/>
  <c r="F105" i="80" s="1"/>
  <c r="E65" i="80" s="1"/>
  <c r="D105" i="80"/>
  <c r="G105" i="80" s="1"/>
  <c r="F65" i="80" s="1"/>
  <c r="D93" i="80"/>
  <c r="G37" i="56"/>
  <c r="F26" i="56"/>
  <c r="E26" i="56"/>
  <c r="H36" i="16"/>
  <c r="D42" i="76"/>
  <c r="J23" i="16"/>
  <c r="J36" i="16" s="1"/>
  <c r="E44" i="76"/>
  <c r="E45" i="76" s="1"/>
  <c r="F90" i="56"/>
  <c r="G59" i="56" l="1"/>
  <c r="G68" i="56"/>
  <c r="E95" i="80"/>
  <c r="D119" i="80" s="1"/>
  <c r="E119" i="80" s="1"/>
  <c r="G119" i="80" s="1"/>
  <c r="G67" i="80" s="1"/>
  <c r="E44" i="80" s="1"/>
  <c r="E116" i="80"/>
  <c r="I25" i="56"/>
  <c r="K25" i="56" s="1"/>
  <c r="J37" i="56"/>
  <c r="K37" i="56" s="1"/>
  <c r="E98" i="80"/>
  <c r="D122" i="80" s="1"/>
  <c r="E122" i="80" s="1"/>
  <c r="G122" i="80" s="1"/>
  <c r="G70" i="80" s="1"/>
  <c r="E50" i="80" s="1"/>
  <c r="C155" i="80"/>
  <c r="G155" i="80" s="1"/>
  <c r="J155" i="80" s="1"/>
  <c r="K70" i="80" s="1"/>
  <c r="C143" i="80"/>
  <c r="G143" i="80" s="1"/>
  <c r="J143" i="80" s="1"/>
  <c r="I70" i="80" s="1"/>
  <c r="C152" i="80"/>
  <c r="F152" i="80" s="1"/>
  <c r="I152" i="80" s="1"/>
  <c r="J67" i="80" s="1"/>
  <c r="C140" i="80"/>
  <c r="G140" i="80" s="1"/>
  <c r="J140" i="80" s="1"/>
  <c r="I67" i="80" s="1"/>
  <c r="E99" i="80"/>
  <c r="D123" i="80" s="1"/>
  <c r="E123" i="80" s="1"/>
  <c r="G123" i="80" s="1"/>
  <c r="G71" i="80" s="1"/>
  <c r="E51" i="80" s="1"/>
  <c r="E101" i="80"/>
  <c r="D125" i="80" s="1"/>
  <c r="E125" i="80" s="1"/>
  <c r="G125" i="80" s="1"/>
  <c r="G73" i="80" s="1"/>
  <c r="E55" i="80" s="1"/>
  <c r="E94" i="80"/>
  <c r="D118" i="80" s="1"/>
  <c r="E118" i="80" s="1"/>
  <c r="G118" i="80" s="1"/>
  <c r="G66" i="80" s="1"/>
  <c r="E100" i="80"/>
  <c r="D124" i="80" s="1"/>
  <c r="E124" i="80" s="1"/>
  <c r="G124" i="80" s="1"/>
  <c r="G72" i="80" s="1"/>
  <c r="E54" i="80" s="1"/>
  <c r="C151" i="80"/>
  <c r="F151" i="80" s="1"/>
  <c r="I151" i="80" s="1"/>
  <c r="J66" i="80" s="1"/>
  <c r="J62" i="56"/>
  <c r="I62" i="56"/>
  <c r="J71" i="56"/>
  <c r="I71" i="56"/>
  <c r="J74" i="56"/>
  <c r="I74" i="56"/>
  <c r="J77" i="56"/>
  <c r="I77" i="56"/>
  <c r="J70" i="56"/>
  <c r="I70" i="56"/>
  <c r="J65" i="56"/>
  <c r="I65" i="56"/>
  <c r="J58" i="56"/>
  <c r="I58" i="56"/>
  <c r="H90" i="56"/>
  <c r="J80" i="56"/>
  <c r="J57" i="56"/>
  <c r="I57" i="56"/>
  <c r="H66" i="56"/>
  <c r="J56" i="56"/>
  <c r="I56" i="56"/>
  <c r="J69" i="56"/>
  <c r="I69" i="56"/>
  <c r="H78" i="56"/>
  <c r="J68" i="56"/>
  <c r="I68" i="56"/>
  <c r="J60" i="56"/>
  <c r="I60" i="56"/>
  <c r="J64" i="56"/>
  <c r="I64" i="56"/>
  <c r="J72" i="56"/>
  <c r="I72" i="56"/>
  <c r="J76" i="56"/>
  <c r="I76" i="56"/>
  <c r="J63" i="56"/>
  <c r="I63" i="56"/>
  <c r="J61" i="56"/>
  <c r="I61" i="56"/>
  <c r="J59" i="56"/>
  <c r="I59" i="56"/>
  <c r="J73" i="56"/>
  <c r="I73" i="56"/>
  <c r="J75" i="56"/>
  <c r="I75" i="56"/>
  <c r="E93" i="80"/>
  <c r="D117" i="80" s="1"/>
  <c r="E117" i="80" s="1"/>
  <c r="G117" i="80" s="1"/>
  <c r="G65" i="80" s="1"/>
  <c r="E39" i="80" s="1"/>
  <c r="E97" i="80"/>
  <c r="D121" i="80" s="1"/>
  <c r="E121" i="80" s="1"/>
  <c r="G121" i="80" s="1"/>
  <c r="G69" i="80" s="1"/>
  <c r="E47" i="80" s="1"/>
  <c r="E96" i="80"/>
  <c r="D120" i="80" s="1"/>
  <c r="E120" i="80" s="1"/>
  <c r="G120" i="80" s="1"/>
  <c r="G68" i="80" s="1"/>
  <c r="E45" i="80" s="1"/>
  <c r="G46" i="56"/>
  <c r="G139" i="80"/>
  <c r="J139" i="80" s="1"/>
  <c r="I66" i="80" s="1"/>
  <c r="F139" i="80"/>
  <c r="I139" i="80" s="1"/>
  <c r="H66" i="80" s="1"/>
  <c r="C154" i="80"/>
  <c r="C142" i="80"/>
  <c r="C145" i="80"/>
  <c r="C157" i="80"/>
  <c r="C150" i="80"/>
  <c r="C138" i="80"/>
  <c r="G137" i="80"/>
  <c r="F137" i="80"/>
  <c r="G149" i="80"/>
  <c r="F149" i="80"/>
  <c r="C141" i="80"/>
  <c r="C153" i="80"/>
  <c r="C156" i="80"/>
  <c r="C144" i="80"/>
  <c r="C146" i="80"/>
  <c r="C158" i="80"/>
  <c r="I23" i="56"/>
  <c r="I20" i="56" s="1"/>
  <c r="G22" i="76"/>
  <c r="H23" i="56"/>
  <c r="B51" i="74"/>
  <c r="G21" i="56"/>
  <c r="I38" i="56"/>
  <c r="J38" i="56"/>
  <c r="J40" i="56"/>
  <c r="I40" i="56"/>
  <c r="E17" i="56"/>
  <c r="G17" i="56" s="1"/>
  <c r="I28" i="56"/>
  <c r="J28" i="56"/>
  <c r="J14" i="56"/>
  <c r="J16" i="56"/>
  <c r="J31" i="56"/>
  <c r="I31" i="56"/>
  <c r="J32" i="56"/>
  <c r="I32" i="56"/>
  <c r="J19" i="56"/>
  <c r="J33" i="56"/>
  <c r="I33" i="56"/>
  <c r="J34" i="56"/>
  <c r="I34" i="56"/>
  <c r="E22" i="56"/>
  <c r="G22" i="56" s="1"/>
  <c r="J20" i="56"/>
  <c r="J43" i="56"/>
  <c r="I43" i="56"/>
  <c r="J18" i="56"/>
  <c r="E20" i="56"/>
  <c r="G20" i="56" s="1"/>
  <c r="J39" i="56"/>
  <c r="I39" i="56"/>
  <c r="J22" i="56"/>
  <c r="I26" i="56"/>
  <c r="J26" i="56"/>
  <c r="E18" i="56"/>
  <c r="G18" i="56" s="1"/>
  <c r="J44" i="56"/>
  <c r="I44" i="56"/>
  <c r="E14" i="56"/>
  <c r="G14" i="56" s="1"/>
  <c r="I27" i="56"/>
  <c r="J27" i="56"/>
  <c r="H47" i="56"/>
  <c r="H35" i="56"/>
  <c r="J15" i="56"/>
  <c r="I45" i="56"/>
  <c r="J45" i="56"/>
  <c r="G64" i="56"/>
  <c r="J29" i="56"/>
  <c r="I29" i="56"/>
  <c r="I46" i="56"/>
  <c r="J46" i="56"/>
  <c r="I30" i="56"/>
  <c r="J30" i="56"/>
  <c r="J41" i="56"/>
  <c r="I41" i="56"/>
  <c r="J21" i="56"/>
  <c r="J42" i="56"/>
  <c r="I42" i="56"/>
  <c r="J17" i="56"/>
  <c r="G63" i="56"/>
  <c r="G29" i="56"/>
  <c r="G33" i="56"/>
  <c r="G38" i="56"/>
  <c r="G41" i="56"/>
  <c r="G44" i="56"/>
  <c r="G60" i="56"/>
  <c r="G65" i="56"/>
  <c r="G61" i="56"/>
  <c r="G69" i="56"/>
  <c r="G42" i="56"/>
  <c r="G75" i="56"/>
  <c r="G77" i="56"/>
  <c r="G32" i="56"/>
  <c r="G72" i="56"/>
  <c r="G26" i="56"/>
  <c r="G34" i="56"/>
  <c r="G30" i="56"/>
  <c r="G76" i="56"/>
  <c r="G73" i="56"/>
  <c r="G57" i="56"/>
  <c r="G45" i="56"/>
  <c r="E48" i="56"/>
  <c r="E15" i="56"/>
  <c r="G15" i="56" s="1"/>
  <c r="D14" i="5" s="1"/>
  <c r="E19" i="56"/>
  <c r="G19" i="56" s="1"/>
  <c r="D18" i="5" s="1"/>
  <c r="E13" i="56"/>
  <c r="G13" i="56" s="1"/>
  <c r="E16" i="56"/>
  <c r="G16" i="56" s="1"/>
  <c r="D15" i="5" s="1"/>
  <c r="F89" i="56"/>
  <c r="F81" i="56"/>
  <c r="F85" i="56"/>
  <c r="F87" i="56"/>
  <c r="F88" i="56"/>
  <c r="F91" i="56"/>
  <c r="F80" i="56"/>
  <c r="F82" i="56"/>
  <c r="F83" i="56"/>
  <c r="F84" i="56"/>
  <c r="F86" i="56"/>
  <c r="F42" i="76"/>
  <c r="F43" i="76" s="1"/>
  <c r="D43" i="76"/>
  <c r="E43" i="80" l="1"/>
  <c r="K69" i="56"/>
  <c r="K63" i="56"/>
  <c r="K71" i="56"/>
  <c r="E49" i="80"/>
  <c r="F143" i="80"/>
  <c r="I143" i="80" s="1"/>
  <c r="H70" i="80" s="1"/>
  <c r="F155" i="80"/>
  <c r="I155" i="80" s="1"/>
  <c r="J70" i="80" s="1"/>
  <c r="G152" i="80"/>
  <c r="J152" i="80" s="1"/>
  <c r="K67" i="80" s="1"/>
  <c r="E52" i="80"/>
  <c r="F140" i="80"/>
  <c r="I140" i="80" s="1"/>
  <c r="H67" i="80" s="1"/>
  <c r="G151" i="80"/>
  <c r="J151" i="80" s="1"/>
  <c r="K66" i="80" s="1"/>
  <c r="F42" i="80" s="1"/>
  <c r="E56" i="80"/>
  <c r="K40" i="56"/>
  <c r="E53" i="80"/>
  <c r="K73" i="56"/>
  <c r="K68" i="56"/>
  <c r="K59" i="56"/>
  <c r="K70" i="56"/>
  <c r="K74" i="56"/>
  <c r="K43" i="56"/>
  <c r="K76" i="56"/>
  <c r="K77" i="56"/>
  <c r="E42" i="80"/>
  <c r="E41" i="80"/>
  <c r="K64" i="56"/>
  <c r="K58" i="56"/>
  <c r="K75" i="56"/>
  <c r="K60" i="56"/>
  <c r="K65" i="56"/>
  <c r="K61" i="56"/>
  <c r="K56" i="56"/>
  <c r="K57" i="56"/>
  <c r="K62" i="56"/>
  <c r="K72" i="56"/>
  <c r="E40" i="80"/>
  <c r="K32" i="56"/>
  <c r="E46" i="80"/>
  <c r="E48" i="80"/>
  <c r="I21" i="56"/>
  <c r="K21" i="56" s="1"/>
  <c r="I18" i="56"/>
  <c r="K18" i="56" s="1"/>
  <c r="I14" i="56"/>
  <c r="K14" i="56" s="1"/>
  <c r="I16" i="56"/>
  <c r="K16" i="56" s="1"/>
  <c r="K33" i="56"/>
  <c r="G138" i="80"/>
  <c r="J138" i="80" s="1"/>
  <c r="I65" i="80" s="1"/>
  <c r="F138" i="80"/>
  <c r="I138" i="80" s="1"/>
  <c r="H65" i="80" s="1"/>
  <c r="G150" i="80"/>
  <c r="J150" i="80" s="1"/>
  <c r="K65" i="80" s="1"/>
  <c r="F150" i="80"/>
  <c r="I150" i="80" s="1"/>
  <c r="J65" i="80" s="1"/>
  <c r="G157" i="80"/>
  <c r="J157" i="80" s="1"/>
  <c r="K72" i="80" s="1"/>
  <c r="F157" i="80"/>
  <c r="I157" i="80" s="1"/>
  <c r="J72" i="80" s="1"/>
  <c r="G145" i="80"/>
  <c r="J145" i="80" s="1"/>
  <c r="I72" i="80" s="1"/>
  <c r="F145" i="80"/>
  <c r="I145" i="80" s="1"/>
  <c r="H72" i="80" s="1"/>
  <c r="F142" i="80"/>
  <c r="I142" i="80" s="1"/>
  <c r="H69" i="80" s="1"/>
  <c r="G142" i="80"/>
  <c r="J142" i="80" s="1"/>
  <c r="I69" i="80" s="1"/>
  <c r="F154" i="80"/>
  <c r="I154" i="80" s="1"/>
  <c r="J69" i="80" s="1"/>
  <c r="G154" i="80"/>
  <c r="J154" i="80" s="1"/>
  <c r="K69" i="80" s="1"/>
  <c r="F144" i="80"/>
  <c r="I144" i="80" s="1"/>
  <c r="H71" i="80" s="1"/>
  <c r="G144" i="80"/>
  <c r="J144" i="80" s="1"/>
  <c r="I71" i="80" s="1"/>
  <c r="G146" i="80"/>
  <c r="J146" i="80" s="1"/>
  <c r="I73" i="80" s="1"/>
  <c r="F146" i="80"/>
  <c r="I146" i="80" s="1"/>
  <c r="H73" i="80" s="1"/>
  <c r="G156" i="80"/>
  <c r="J156" i="80" s="1"/>
  <c r="K71" i="80" s="1"/>
  <c r="F156" i="80"/>
  <c r="I156" i="80" s="1"/>
  <c r="J71" i="80" s="1"/>
  <c r="I19" i="56"/>
  <c r="K19" i="56" s="1"/>
  <c r="G153" i="80"/>
  <c r="J153" i="80" s="1"/>
  <c r="K68" i="80" s="1"/>
  <c r="F153" i="80"/>
  <c r="I153" i="80" s="1"/>
  <c r="J68" i="80" s="1"/>
  <c r="G141" i="80"/>
  <c r="J141" i="80" s="1"/>
  <c r="I68" i="80" s="1"/>
  <c r="F141" i="80"/>
  <c r="I141" i="80" s="1"/>
  <c r="H68" i="80" s="1"/>
  <c r="K44" i="56"/>
  <c r="F158" i="80"/>
  <c r="I158" i="80" s="1"/>
  <c r="J73" i="80" s="1"/>
  <c r="G158" i="80"/>
  <c r="J158" i="80" s="1"/>
  <c r="K73" i="80" s="1"/>
  <c r="I17" i="56"/>
  <c r="K17" i="56" s="1"/>
  <c r="K39" i="56"/>
  <c r="I22" i="56"/>
  <c r="K22" i="56" s="1"/>
  <c r="K42" i="56"/>
  <c r="I15" i="56"/>
  <c r="K15" i="56" s="1"/>
  <c r="K20" i="56"/>
  <c r="K41" i="56"/>
  <c r="B52" i="74"/>
  <c r="K27" i="56"/>
  <c r="K29" i="56"/>
  <c r="I48" i="56"/>
  <c r="I13" i="56"/>
  <c r="K13" i="56" s="1"/>
  <c r="K34" i="56"/>
  <c r="D21" i="5"/>
  <c r="K28" i="56"/>
  <c r="K46" i="56"/>
  <c r="K45" i="56"/>
  <c r="D17" i="5"/>
  <c r="K26" i="56"/>
  <c r="K30" i="56"/>
  <c r="K31" i="56"/>
  <c r="K38" i="56"/>
  <c r="G66" i="56"/>
  <c r="D16" i="5"/>
  <c r="G35" i="56"/>
  <c r="G47" i="56"/>
  <c r="D19" i="5"/>
  <c r="D13" i="5"/>
  <c r="D20" i="5"/>
  <c r="G78" i="56"/>
  <c r="G23" i="56"/>
  <c r="D12" i="5"/>
  <c r="C14" i="69"/>
  <c r="C82" i="80"/>
  <c r="F82" i="80" s="1"/>
  <c r="C67" i="80" s="1"/>
  <c r="C80" i="80"/>
  <c r="F80" i="80" s="1"/>
  <c r="C65" i="80" s="1"/>
  <c r="C84" i="80"/>
  <c r="F84" i="80" s="1"/>
  <c r="C69" i="80" s="1"/>
  <c r="C79" i="80"/>
  <c r="F44" i="76"/>
  <c r="C81" i="80"/>
  <c r="F81" i="80" s="1"/>
  <c r="C66" i="80" s="1"/>
  <c r="C83" i="80"/>
  <c r="F83" i="80" s="1"/>
  <c r="C68" i="80" s="1"/>
  <c r="C87" i="80"/>
  <c r="F87" i="80" s="1"/>
  <c r="C72" i="80" s="1"/>
  <c r="C85" i="80"/>
  <c r="F85" i="80" s="1"/>
  <c r="C70" i="80" s="1"/>
  <c r="C86" i="80"/>
  <c r="F86" i="80" s="1"/>
  <c r="C71" i="80" s="1"/>
  <c r="C88" i="80"/>
  <c r="F88" i="80" s="1"/>
  <c r="C73" i="80" s="1"/>
  <c r="E90" i="56"/>
  <c r="D44" i="76"/>
  <c r="D45" i="76" s="1"/>
  <c r="F49" i="80" l="1"/>
  <c r="F50" i="80"/>
  <c r="F44" i="80"/>
  <c r="F43" i="80"/>
  <c r="F41" i="80"/>
  <c r="K66" i="56"/>
  <c r="K78" i="56"/>
  <c r="F52" i="80"/>
  <c r="F51" i="80"/>
  <c r="F45" i="80"/>
  <c r="F46" i="80"/>
  <c r="F47" i="80"/>
  <c r="F48" i="80"/>
  <c r="F54" i="80"/>
  <c r="F53" i="80"/>
  <c r="F39" i="80"/>
  <c r="F40" i="80"/>
  <c r="F56" i="80"/>
  <c r="F55" i="80"/>
  <c r="K35" i="56"/>
  <c r="G48" i="56"/>
  <c r="K47" i="56"/>
  <c r="B53" i="74"/>
  <c r="K23" i="56"/>
  <c r="D22" i="5" a="1"/>
  <c r="D22" i="5" s="1"/>
  <c r="E87" i="56"/>
  <c r="G87" i="56" s="1"/>
  <c r="E82" i="56"/>
  <c r="G82" i="56" s="1"/>
  <c r="E81" i="56"/>
  <c r="G81" i="56" s="1"/>
  <c r="E83" i="56"/>
  <c r="G83" i="56" s="1"/>
  <c r="E80" i="56"/>
  <c r="G80" i="56" s="1"/>
  <c r="E88" i="56"/>
  <c r="G88" i="56" s="1"/>
  <c r="E89" i="56"/>
  <c r="G89" i="56" s="1"/>
  <c r="E86" i="56"/>
  <c r="G86" i="56" s="1"/>
  <c r="E85" i="56"/>
  <c r="G85" i="56" s="1"/>
  <c r="E91" i="56"/>
  <c r="E84" i="56"/>
  <c r="G84" i="56" s="1"/>
  <c r="D56" i="80"/>
  <c r="D55" i="80"/>
  <c r="D51" i="80"/>
  <c r="D52" i="80"/>
  <c r="D46" i="80"/>
  <c r="D45" i="80"/>
  <c r="D49" i="80"/>
  <c r="D50" i="80"/>
  <c r="D42" i="80"/>
  <c r="G42" i="80" s="1"/>
  <c r="D13" i="84" s="1"/>
  <c r="D41" i="80"/>
  <c r="C15" i="69"/>
  <c r="F45" i="76"/>
  <c r="D47" i="80"/>
  <c r="D48" i="80"/>
  <c r="D40" i="80"/>
  <c r="D39" i="80"/>
  <c r="D43" i="80"/>
  <c r="D44" i="80"/>
  <c r="D54" i="80"/>
  <c r="D53" i="80"/>
  <c r="G49" i="80" l="1"/>
  <c r="C17" i="84" s="1"/>
  <c r="G50" i="80"/>
  <c r="D17" i="84" s="1"/>
  <c r="G45" i="80"/>
  <c r="C15" i="84" s="1"/>
  <c r="G43" i="80"/>
  <c r="C14" i="84" s="1"/>
  <c r="F15" i="5"/>
  <c r="G15" i="5" s="1"/>
  <c r="F14" i="5"/>
  <c r="G14" i="5" s="1"/>
  <c r="F13" i="5"/>
  <c r="G13" i="5" s="1"/>
  <c r="F16" i="5"/>
  <c r="G16" i="5" s="1"/>
  <c r="F18" i="5"/>
  <c r="G18" i="5" s="1"/>
  <c r="F21" i="5"/>
  <c r="G21" i="5" s="1"/>
  <c r="F19" i="5"/>
  <c r="G19" i="5" s="1"/>
  <c r="F17" i="5"/>
  <c r="G17" i="5" s="1"/>
  <c r="F20" i="5"/>
  <c r="G20" i="5" s="1"/>
  <c r="G44" i="80"/>
  <c r="D14" i="84" s="1"/>
  <c r="G41" i="80"/>
  <c r="C13" i="84" s="1"/>
  <c r="G46" i="80"/>
  <c r="D15" i="84" s="1"/>
  <c r="G48" i="80"/>
  <c r="D16" i="84" s="1"/>
  <c r="G47" i="80"/>
  <c r="C16" i="84" s="1"/>
  <c r="C16" i="69"/>
  <c r="G53" i="80"/>
  <c r="C19" i="84" s="1"/>
  <c r="G40" i="80"/>
  <c r="D12" i="84" s="1"/>
  <c r="G52" i="80"/>
  <c r="D18" i="84" s="1"/>
  <c r="K48" i="56"/>
  <c r="G54" i="80"/>
  <c r="D19" i="84" s="1"/>
  <c r="G51" i="80"/>
  <c r="C18" i="84" s="1"/>
  <c r="G39" i="80"/>
  <c r="C12" i="84" s="1"/>
  <c r="G55" i="80"/>
  <c r="C20" i="84" s="1"/>
  <c r="G56" i="80"/>
  <c r="D20" i="84" s="1"/>
  <c r="B54" i="74"/>
  <c r="G90" i="56"/>
  <c r="G91" i="56" s="1"/>
  <c r="F12" i="5"/>
  <c r="C24" i="69" l="1"/>
  <c r="C27" i="69"/>
  <c r="B55" i="74"/>
  <c r="G12" i="5"/>
  <c r="F22" i="5" a="1"/>
  <c r="F22" i="5" s="1"/>
  <c r="G22" i="5" l="1"/>
  <c r="B56" i="74"/>
  <c r="B57" i="74" l="1"/>
  <c r="B58" i="74" l="1"/>
  <c r="B59" i="74" l="1"/>
  <c r="B60" i="74" l="1"/>
  <c r="B61" i="74" l="1"/>
  <c r="B62" i="74" l="1"/>
  <c r="B63" i="74" l="1"/>
  <c r="B64" i="74" l="1"/>
  <c r="B65" i="74" l="1"/>
  <c r="B66" i="74" l="1"/>
  <c r="B67" i="74" l="1"/>
  <c r="B68" i="74" l="1"/>
  <c r="B69" i="74" l="1"/>
  <c r="B70" i="74" l="1"/>
  <c r="B71" i="74" l="1"/>
  <c r="B72" i="74" l="1"/>
  <c r="B73" i="74" l="1"/>
  <c r="B74" i="74" l="1"/>
  <c r="B75" i="74" l="1"/>
  <c r="B76" i="74" l="1"/>
  <c r="B77" i="74" l="1"/>
  <c r="B78" i="74" l="1"/>
  <c r="B79" i="74" l="1"/>
  <c r="B80" i="74" l="1"/>
  <c r="B81" i="74" l="1"/>
  <c r="B82" i="74" l="1"/>
  <c r="B83" i="74" l="1"/>
  <c r="B84" i="74" l="1"/>
  <c r="B85" i="74" l="1"/>
  <c r="B86" i="74" l="1"/>
  <c r="B87" i="74" l="1"/>
  <c r="B88" i="74" l="1"/>
  <c r="B89" i="74" l="1"/>
  <c r="B90" i="74" l="1"/>
  <c r="B91" i="74" l="1"/>
  <c r="B92" i="74" l="1"/>
  <c r="B93" i="74" l="1"/>
  <c r="B94" i="74" l="1"/>
  <c r="B95" i="74" l="1"/>
  <c r="B96" i="74" l="1"/>
  <c r="B97" i="74" l="1"/>
  <c r="B98" i="74" l="1"/>
  <c r="B99" i="74" l="1"/>
  <c r="B100" i="74" l="1"/>
  <c r="B101" i="74" l="1"/>
  <c r="B102" i="74" l="1"/>
  <c r="B103" i="74" l="1"/>
  <c r="B104" i="74" l="1"/>
  <c r="B105" i="74" l="1"/>
  <c r="B106" i="74" l="1"/>
  <c r="B107" i="74" l="1"/>
  <c r="B108" i="74" l="1"/>
  <c r="B109" i="74" l="1"/>
  <c r="B110" i="74" l="1"/>
  <c r="B111" i="74" l="1"/>
  <c r="B112" i="74" l="1"/>
  <c r="B113" i="74" l="1"/>
  <c r="B114" i="74" l="1"/>
  <c r="B115" i="74" l="1"/>
  <c r="B116" i="74" l="1"/>
  <c r="B117" i="74" l="1"/>
  <c r="B118" i="74" l="1"/>
  <c r="B119" i="74" l="1"/>
  <c r="B120" i="74" l="1"/>
  <c r="B121" i="74" l="1"/>
  <c r="B122" i="74" l="1"/>
  <c r="B123" i="74" l="1"/>
  <c r="B124" i="74" l="1"/>
  <c r="B125" i="74" l="1"/>
  <c r="B126" i="74" l="1"/>
  <c r="B127" i="74" l="1"/>
  <c r="B128" i="74" l="1"/>
  <c r="B129" i="74" l="1"/>
  <c r="B130" i="74" l="1"/>
  <c r="B131" i="74" l="1"/>
  <c r="B132" i="74" l="1"/>
  <c r="B133" i="74" l="1"/>
  <c r="B134" i="74" l="1"/>
  <c r="B135" i="74" l="1"/>
  <c r="B136" i="74" l="1"/>
  <c r="B137" i="74" l="1"/>
  <c r="B138" i="74" l="1"/>
  <c r="B139" i="74" l="1"/>
  <c r="B140" i="74" l="1"/>
  <c r="B141" i="74" l="1"/>
  <c r="B142" i="74" l="1"/>
  <c r="B143" i="74" l="1"/>
  <c r="B144" i="74" l="1"/>
  <c r="B145" i="74" l="1"/>
  <c r="B146" i="74" l="1"/>
  <c r="B147" i="74" l="1"/>
  <c r="B148" i="74" l="1"/>
  <c r="B149" i="74" l="1"/>
  <c r="B150" i="74" l="1"/>
  <c r="B151" i="74" l="1"/>
  <c r="B152" i="74" l="1"/>
  <c r="B153" i="74" l="1"/>
  <c r="B154" i="74" l="1"/>
  <c r="B155" i="74" l="1"/>
  <c r="B156" i="74" l="1"/>
  <c r="B157" i="74" l="1"/>
  <c r="B158" i="74" l="1"/>
  <c r="B159" i="74" l="1"/>
  <c r="B160" i="74" l="1"/>
  <c r="B161" i="74" l="1"/>
  <c r="B162" i="74" l="1"/>
  <c r="B163" i="74" l="1"/>
  <c r="B164" i="74" l="1"/>
  <c r="B165" i="74" l="1"/>
  <c r="B166" i="74" l="1"/>
  <c r="B167" i="74" l="1"/>
  <c r="B168" i="74" l="1"/>
  <c r="B169" i="74" l="1"/>
  <c r="B170" i="74" l="1"/>
  <c r="B171" i="74" l="1"/>
  <c r="B172" i="74" l="1"/>
  <c r="B173" i="74" l="1"/>
  <c r="B174" i="74" l="1"/>
  <c r="B175" i="74" l="1"/>
  <c r="B176" i="74" l="1"/>
  <c r="B177" i="74" l="1"/>
  <c r="B178" i="74" l="1"/>
  <c r="B179" i="74" l="1"/>
  <c r="B180" i="74" l="1"/>
  <c r="B181" i="74" l="1"/>
  <c r="B182" i="74" l="1"/>
  <c r="B183" i="74" l="1"/>
  <c r="B184" i="74" l="1"/>
  <c r="B185" i="74" l="1"/>
  <c r="B186" i="74" l="1"/>
  <c r="B187" i="74" l="1"/>
  <c r="B188" i="74" l="1"/>
  <c r="B189" i="74" l="1"/>
  <c r="B190" i="74" l="1"/>
  <c r="B191" i="74" l="1"/>
  <c r="B192" i="74" l="1"/>
  <c r="B193" i="74" l="1"/>
  <c r="B194" i="74" l="1"/>
  <c r="B195" i="74" l="1"/>
  <c r="B196" i="74" l="1"/>
  <c r="B197" i="74" l="1"/>
  <c r="B198" i="74" l="1"/>
  <c r="B199" i="74" l="1"/>
  <c r="B200" i="74" l="1"/>
  <c r="B201" i="74" l="1"/>
  <c r="B202" i="74" l="1"/>
  <c r="B203" i="74" l="1"/>
  <c r="B204" i="74" l="1"/>
  <c r="B205" i="74" l="1"/>
  <c r="B206" i="74" l="1"/>
  <c r="B207" i="74" l="1"/>
  <c r="B208" i="74" l="1"/>
  <c r="B209" i="74" l="1"/>
  <c r="B210" i="74" l="1"/>
  <c r="B211" i="74" l="1"/>
  <c r="B212" i="74" l="1"/>
  <c r="B213" i="74" l="1"/>
  <c r="B214" i="74" l="1"/>
  <c r="B215" i="74" l="1"/>
  <c r="B216" i="74" l="1"/>
  <c r="B217" i="74" l="1"/>
  <c r="B218" i="74" l="1"/>
  <c r="B219" i="74" l="1"/>
  <c r="B220" i="74" l="1"/>
  <c r="B221" i="74" l="1"/>
  <c r="B222" i="74" l="1"/>
  <c r="B223" i="74" l="1"/>
  <c r="B224" i="74" l="1"/>
  <c r="B225" i="74" l="1"/>
  <c r="B226" i="74" l="1"/>
  <c r="B227" i="74" l="1"/>
  <c r="B228" i="74" l="1"/>
  <c r="B229" i="74" l="1"/>
  <c r="B230" i="74" l="1"/>
  <c r="B231" i="74" l="1"/>
  <c r="B232" i="74" l="1"/>
  <c r="B233" i="74" l="1"/>
  <c r="B234" i="74" l="1"/>
  <c r="B235" i="74" l="1"/>
  <c r="B236" i="74" l="1"/>
  <c r="B237" i="74" l="1"/>
  <c r="B238" i="74" l="1"/>
  <c r="B239" i="74" l="1"/>
  <c r="B240" i="74" l="1"/>
  <c r="B241" i="74" l="1"/>
  <c r="B242" i="74" l="1"/>
  <c r="B243" i="74" l="1"/>
  <c r="B244" i="74" l="1"/>
  <c r="B245" i="74" l="1"/>
  <c r="B246" i="74" l="1"/>
  <c r="B247" i="74" l="1"/>
  <c r="B248" i="74" l="1"/>
  <c r="B249" i="74" l="1"/>
  <c r="B250" i="74" l="1"/>
  <c r="B251" i="74" l="1"/>
  <c r="B252" i="74" l="1"/>
  <c r="B253" i="74" l="1"/>
  <c r="B254" i="74" l="1"/>
  <c r="B255" i="74" l="1"/>
  <c r="B256" i="74" l="1"/>
  <c r="B257" i="74" l="1"/>
  <c r="B258" i="74" l="1"/>
  <c r="B259" i="74" l="1"/>
  <c r="B260" i="74" l="1"/>
  <c r="B261" i="74" l="1"/>
  <c r="B262" i="74" l="1"/>
  <c r="B263" i="74" l="1"/>
  <c r="B264" i="74" l="1"/>
  <c r="B265" i="74" l="1"/>
  <c r="B266" i="74" l="1"/>
  <c r="B267" i="74" l="1"/>
  <c r="B268" i="74" l="1"/>
  <c r="B269" i="74" l="1"/>
  <c r="B270" i="74" l="1"/>
  <c r="B271" i="74" l="1"/>
  <c r="B272" i="74" l="1"/>
  <c r="B273" i="74" l="1"/>
  <c r="B274" i="74" l="1"/>
  <c r="B275" i="74" l="1"/>
  <c r="B276" i="74" l="1"/>
  <c r="B277" i="74" l="1"/>
  <c r="B278" i="74" l="1"/>
  <c r="B279" i="74" l="1"/>
  <c r="B280" i="74" l="1"/>
  <c r="B281" i="74" l="1"/>
  <c r="B282" i="74" l="1"/>
  <c r="B283" i="74" l="1"/>
  <c r="B284" i="74" l="1"/>
  <c r="B285" i="74" l="1"/>
  <c r="B286" i="74" l="1"/>
  <c r="B287" i="74" l="1"/>
  <c r="B288" i="74" l="1"/>
  <c r="B289" i="74" l="1"/>
  <c r="B290" i="74" l="1"/>
  <c r="B291" i="74" l="1"/>
  <c r="B292" i="74" l="1"/>
  <c r="B293" i="74" l="1"/>
  <c r="B294" i="74" l="1"/>
  <c r="B295" i="74" l="1"/>
  <c r="B296" i="74" l="1"/>
  <c r="B297" i="74" l="1"/>
  <c r="B298" i="74" l="1"/>
  <c r="B299" i="74" l="1"/>
  <c r="B300" i="74" l="1"/>
  <c r="B301" i="74" l="1"/>
  <c r="B302" i="74" l="1"/>
  <c r="B303" i="74" l="1"/>
  <c r="B304" i="74" l="1"/>
  <c r="B305" i="74" l="1"/>
  <c r="B306" i="74" l="1"/>
  <c r="B307" i="74" l="1"/>
  <c r="B308" i="74" l="1"/>
  <c r="B309" i="74" l="1"/>
  <c r="B310" i="74" l="1"/>
  <c r="B311" i="74" l="1"/>
  <c r="B312" i="74" l="1"/>
  <c r="B313" i="74" l="1"/>
  <c r="B314" i="74" l="1"/>
  <c r="B315" i="74" l="1"/>
  <c r="B316" i="74" l="1"/>
  <c r="B317" i="74" l="1"/>
  <c r="B318" i="74" l="1"/>
  <c r="B319" i="74" l="1"/>
  <c r="B320" i="74" l="1"/>
  <c r="B321" i="74" l="1"/>
  <c r="B322" i="74" l="1"/>
  <c r="B323" i="74" l="1"/>
  <c r="B324" i="74" l="1"/>
  <c r="B325" i="74" l="1"/>
  <c r="B326" i="74" l="1"/>
  <c r="B327" i="74" l="1"/>
  <c r="B328" i="74" l="1"/>
  <c r="B329" i="74" l="1"/>
  <c r="B330" i="74" l="1"/>
  <c r="B331" i="74" l="1"/>
  <c r="B332" i="74" l="1"/>
  <c r="B333" i="74" l="1"/>
  <c r="B334" i="74" l="1"/>
  <c r="B335" i="74" l="1"/>
  <c r="B336" i="74" l="1"/>
  <c r="B337" i="74" l="1"/>
  <c r="B338" i="74" l="1"/>
  <c r="B339" i="74" l="1"/>
  <c r="B340" i="74" l="1"/>
  <c r="B341" i="74" l="1"/>
  <c r="B342" i="74" l="1"/>
  <c r="B343" i="74" l="1"/>
  <c r="B344" i="74" l="1"/>
  <c r="B345" i="74" l="1"/>
  <c r="B346" i="74" l="1"/>
  <c r="B347" i="74" l="1"/>
  <c r="B348" i="74" l="1"/>
  <c r="B349" i="74" l="1"/>
  <c r="B350" i="74" l="1"/>
  <c r="B351" i="74" l="1"/>
  <c r="B352" i="74" l="1"/>
  <c r="B353" i="74" l="1"/>
  <c r="B354" i="74" l="1"/>
  <c r="B355" i="74" l="1"/>
  <c r="B356" i="74" l="1"/>
  <c r="B357" i="74" l="1"/>
  <c r="B358" i="74" l="1"/>
  <c r="B359" i="74" l="1"/>
  <c r="B360" i="74" l="1"/>
  <c r="B361" i="74" l="1"/>
  <c r="B362" i="74" l="1"/>
  <c r="B363" i="74" l="1"/>
  <c r="B364" i="74" l="1"/>
  <c r="B365" i="74" l="1"/>
  <c r="B366" i="74" l="1"/>
  <c r="B367" i="74" l="1"/>
  <c r="B368" i="74" l="1"/>
  <c r="B369" i="74" l="1"/>
  <c r="B370" i="74" l="1"/>
  <c r="B371" i="74" l="1"/>
  <c r="B372" i="74" l="1"/>
  <c r="B373" i="74" l="1"/>
  <c r="B374" i="74" l="1"/>
  <c r="B375" i="74" l="1"/>
  <c r="B376" i="74" l="1"/>
  <c r="B377" i="74" l="1"/>
  <c r="B378" i="74" l="1"/>
  <c r="B379" i="74" l="1"/>
  <c r="B380" i="74" l="1"/>
  <c r="B381" i="74" l="1"/>
  <c r="B382" i="74" l="1"/>
  <c r="B383" i="74" l="1"/>
  <c r="B384" i="74" l="1"/>
  <c r="B385" i="74" l="1"/>
  <c r="B386" i="74" l="1"/>
  <c r="B387" i="74" l="1"/>
  <c r="B388" i="74" l="1"/>
  <c r="B389" i="74" l="1"/>
  <c r="B390" i="74" l="1"/>
  <c r="B391" i="74" l="1"/>
  <c r="B392" i="74" l="1"/>
  <c r="B393" i="74" l="1"/>
  <c r="B394" i="74" l="1"/>
  <c r="B395" i="74" l="1"/>
  <c r="B396" i="74" l="1"/>
  <c r="B397" i="74" l="1"/>
  <c r="B398" i="74" l="1"/>
  <c r="B399" i="74" l="1"/>
  <c r="B400" i="74" l="1"/>
  <c r="B401" i="74" l="1"/>
  <c r="B402" i="74" l="1"/>
  <c r="B403" i="74" l="1"/>
  <c r="B404" i="74" l="1"/>
  <c r="B405" i="74" l="1"/>
  <c r="B406" i="74" l="1"/>
  <c r="B407" i="74" l="1"/>
  <c r="G408" i="74" l="1"/>
  <c r="B408" i="74"/>
  <c r="H408" i="74"/>
  <c r="I408" i="74"/>
  <c r="I42" i="76" l="1"/>
  <c r="I43" i="76" s="1"/>
  <c r="I44" i="76" s="1"/>
  <c r="I45" i="76" s="1"/>
  <c r="G43" i="76"/>
  <c r="I90" i="56" l="1"/>
  <c r="G44" i="76"/>
  <c r="G45" i="76" s="1"/>
  <c r="I89" i="56" l="1"/>
  <c r="K89" i="56" s="1"/>
  <c r="I81" i="56"/>
  <c r="K81" i="56" s="1"/>
  <c r="I82" i="56"/>
  <c r="K82" i="56" s="1"/>
  <c r="I83" i="56"/>
  <c r="K83" i="56" s="1"/>
  <c r="I85" i="56"/>
  <c r="K85" i="56" s="1"/>
  <c r="I87" i="56"/>
  <c r="K87" i="56" s="1"/>
  <c r="I88" i="56"/>
  <c r="K88" i="56" s="1"/>
  <c r="I80" i="56"/>
  <c r="K80" i="56" s="1"/>
  <c r="I84" i="56"/>
  <c r="K84" i="56" s="1"/>
  <c r="I86" i="56"/>
  <c r="K86" i="56" s="1"/>
  <c r="I91" i="56"/>
  <c r="K90" i="56" l="1"/>
  <c r="K91" i="56" s="1"/>
  <c r="G43" i="74" l="1"/>
  <c r="G44" i="74" l="1"/>
  <c r="G45" i="74" l="1"/>
  <c r="G46" i="74" l="1"/>
  <c r="G47" i="74" l="1"/>
  <c r="G48" i="74" l="1"/>
  <c r="G49" i="74" l="1"/>
  <c r="G51" i="74" l="1"/>
  <c r="G50" i="74"/>
  <c r="G52" i="74" l="1"/>
  <c r="G53" i="74" l="1"/>
  <c r="G54" i="74" l="1"/>
  <c r="G55" i="74" l="1"/>
  <c r="G56" i="74" l="1"/>
  <c r="G57" i="74" l="1"/>
  <c r="G58" i="74" l="1"/>
  <c r="G59" i="74" l="1"/>
  <c r="G60" i="74" l="1"/>
  <c r="G61" i="74" l="1"/>
  <c r="G62" i="74" l="1"/>
  <c r="G63" i="74" l="1"/>
  <c r="G64" i="74" l="1"/>
  <c r="G65" i="74" l="1"/>
  <c r="G66" i="74" l="1"/>
  <c r="G67" i="74" l="1"/>
  <c r="G68" i="74" l="1"/>
  <c r="G69" i="74" l="1"/>
  <c r="G70" i="74" l="1"/>
  <c r="G71" i="74" l="1"/>
  <c r="G72" i="74" l="1"/>
  <c r="G73" i="74" l="1"/>
  <c r="G74" i="74" l="1"/>
  <c r="G75" i="74" l="1"/>
  <c r="G76" i="74" l="1"/>
  <c r="G77" i="74" l="1"/>
  <c r="G78" i="74" l="1"/>
  <c r="G79" i="74" l="1"/>
  <c r="G80" i="74" l="1"/>
  <c r="G81" i="74" l="1"/>
  <c r="G82" i="74" l="1"/>
  <c r="G83" i="74" l="1"/>
  <c r="G84" i="74" l="1"/>
  <c r="G85" i="74" l="1"/>
  <c r="G86" i="74" l="1"/>
  <c r="G87" i="74" l="1"/>
  <c r="G88" i="74" l="1"/>
  <c r="G89" i="74" l="1"/>
  <c r="G90" i="74" l="1"/>
  <c r="G91" i="74" l="1"/>
  <c r="G92" i="74" l="1"/>
  <c r="G93" i="74" l="1"/>
  <c r="G94" i="74" l="1"/>
  <c r="G95" i="74" l="1"/>
  <c r="G96" i="74" l="1"/>
  <c r="G97" i="74" l="1"/>
  <c r="G98" i="74" l="1"/>
  <c r="G99" i="74" l="1"/>
  <c r="G100" i="74" l="1"/>
  <c r="G101" i="74" l="1"/>
  <c r="G102" i="74" l="1"/>
  <c r="G103" i="74" l="1"/>
  <c r="G104" i="74" l="1"/>
  <c r="G105" i="74" l="1"/>
  <c r="G106" i="74" l="1"/>
  <c r="G107" i="74" l="1"/>
  <c r="G108" i="74" l="1"/>
  <c r="G109" i="74" l="1"/>
  <c r="G110" i="74" l="1"/>
  <c r="G111" i="74" l="1"/>
  <c r="G112" i="74" l="1"/>
  <c r="G113" i="74" l="1"/>
  <c r="G114" i="74" l="1"/>
  <c r="G115" i="74" l="1"/>
  <c r="G116" i="74" l="1"/>
  <c r="G117" i="74" l="1"/>
  <c r="G118" i="74" l="1"/>
  <c r="G119" i="74" l="1"/>
  <c r="G120" i="74" l="1"/>
  <c r="G121" i="74" l="1"/>
  <c r="G122" i="74" l="1"/>
  <c r="G123" i="74" l="1"/>
  <c r="G124" i="74" l="1"/>
  <c r="G125" i="74" l="1"/>
  <c r="G126" i="74" l="1"/>
  <c r="G127" i="74" l="1"/>
  <c r="G128" i="74" l="1"/>
  <c r="G129" i="74" l="1"/>
  <c r="G130" i="74" l="1"/>
  <c r="G131" i="74" l="1"/>
  <c r="G132" i="74" l="1"/>
  <c r="G133" i="74" l="1"/>
  <c r="G134" i="74" l="1"/>
  <c r="G135" i="74" l="1"/>
  <c r="G136" i="74" l="1"/>
  <c r="G137" i="74" l="1"/>
  <c r="G138" i="74" l="1"/>
  <c r="G139" i="74" l="1"/>
  <c r="G140" i="74" l="1"/>
  <c r="G141" i="74" l="1"/>
  <c r="G142" i="74" l="1"/>
  <c r="G143" i="74" l="1"/>
  <c r="G144" i="74" l="1"/>
  <c r="G145" i="74" l="1"/>
  <c r="G146" i="74" l="1"/>
  <c r="G147" i="74" l="1"/>
  <c r="G148" i="74" l="1"/>
  <c r="G149" i="74" l="1"/>
  <c r="G150" i="74" l="1"/>
  <c r="G151" i="74" l="1"/>
  <c r="G152" i="74" l="1"/>
  <c r="G153" i="74" l="1"/>
  <c r="G154" i="74" l="1"/>
  <c r="G155" i="74" l="1"/>
  <c r="G156" i="74" l="1"/>
  <c r="G157" i="74" l="1"/>
  <c r="G158" i="74" l="1"/>
  <c r="G159" i="74" l="1"/>
  <c r="G160" i="74" l="1"/>
  <c r="G161" i="74" l="1"/>
  <c r="G162" i="74" l="1"/>
  <c r="G163" i="74" l="1"/>
  <c r="G164" i="74" l="1"/>
  <c r="G165" i="74" l="1"/>
  <c r="G166" i="74" l="1"/>
  <c r="G167" i="74" l="1"/>
  <c r="G168" i="74" l="1"/>
  <c r="G169" i="74" l="1"/>
  <c r="G170" i="74" l="1"/>
  <c r="G171" i="74" l="1"/>
  <c r="G172" i="74" l="1"/>
  <c r="G173" i="74" l="1"/>
  <c r="G174" i="74" l="1"/>
  <c r="G175" i="74" l="1"/>
  <c r="G176" i="74" l="1"/>
  <c r="G177" i="74" l="1"/>
  <c r="G178" i="74" l="1"/>
  <c r="G179" i="74" l="1"/>
  <c r="G180" i="74" l="1"/>
  <c r="G181" i="74" l="1"/>
  <c r="G182" i="74" l="1"/>
  <c r="G183" i="74" l="1"/>
  <c r="G184" i="74" l="1"/>
  <c r="G185" i="74" l="1"/>
  <c r="G186" i="74" l="1"/>
  <c r="G187" i="74" l="1"/>
  <c r="G188" i="74" l="1"/>
  <c r="G189" i="74" l="1"/>
  <c r="G190" i="74" l="1"/>
  <c r="G191" i="74" l="1"/>
  <c r="G192" i="74" l="1"/>
  <c r="G193" i="74" l="1"/>
  <c r="G194" i="74" l="1"/>
  <c r="G195" i="74" l="1"/>
  <c r="G196" i="74" l="1"/>
  <c r="G197" i="74" l="1"/>
  <c r="G198" i="74" l="1"/>
  <c r="G199" i="74" l="1"/>
  <c r="G200" i="74" l="1"/>
  <c r="G201" i="74" l="1"/>
  <c r="G202" i="74" l="1"/>
  <c r="G203" i="74" l="1"/>
  <c r="G204" i="74" l="1"/>
  <c r="G205" i="74" l="1"/>
  <c r="G206" i="74" l="1"/>
  <c r="G207" i="74" l="1"/>
  <c r="G208" i="74" l="1"/>
  <c r="G209" i="74" l="1"/>
  <c r="G210" i="74" l="1"/>
  <c r="G211" i="74" l="1"/>
  <c r="G212" i="74" l="1"/>
  <c r="G213" i="74" l="1"/>
  <c r="G214" i="74" l="1"/>
  <c r="G215" i="74" l="1"/>
  <c r="G216" i="74" l="1"/>
  <c r="G217" i="74" l="1"/>
  <c r="G218" i="74" l="1"/>
  <c r="G219" i="74" l="1"/>
  <c r="G220" i="74" l="1"/>
  <c r="G221" i="74" l="1"/>
  <c r="G222" i="74" l="1"/>
  <c r="G223" i="74" l="1"/>
  <c r="G224" i="74" l="1"/>
  <c r="G225" i="74" l="1"/>
  <c r="G226" i="74" l="1"/>
  <c r="G227" i="74" l="1"/>
  <c r="G228" i="74" l="1"/>
  <c r="G229" i="74" l="1"/>
  <c r="G230" i="74" l="1"/>
  <c r="G231" i="74" l="1"/>
  <c r="G232" i="74" l="1"/>
  <c r="G233" i="74" l="1"/>
  <c r="G234" i="74" l="1"/>
  <c r="G235" i="74" l="1"/>
  <c r="G236" i="74" l="1"/>
  <c r="G237" i="74" l="1"/>
  <c r="G238" i="74" l="1"/>
  <c r="G239" i="74" l="1"/>
  <c r="G240" i="74" l="1"/>
  <c r="G241" i="74" l="1"/>
  <c r="G242" i="74" l="1"/>
  <c r="G243" i="74" l="1"/>
  <c r="G244" i="74" l="1"/>
  <c r="G245" i="74" l="1"/>
  <c r="G246" i="74" l="1"/>
  <c r="G247" i="74" l="1"/>
  <c r="G248" i="74" l="1"/>
  <c r="G249" i="74" l="1"/>
  <c r="G250" i="74" l="1"/>
  <c r="G251" i="74" l="1"/>
  <c r="G252" i="74" l="1"/>
  <c r="G253" i="74" l="1"/>
  <c r="G254" i="74" l="1"/>
  <c r="G255" i="74" l="1"/>
  <c r="G256" i="74" l="1"/>
  <c r="G257" i="74" l="1"/>
  <c r="G258" i="74" l="1"/>
  <c r="G259" i="74" l="1"/>
  <c r="G260" i="74" l="1"/>
  <c r="G261" i="74" l="1"/>
  <c r="G262" i="74" l="1"/>
  <c r="G263" i="74" l="1"/>
  <c r="G264" i="74" l="1"/>
  <c r="G265" i="74" l="1"/>
  <c r="G266" i="74" l="1"/>
  <c r="G267" i="74" l="1"/>
  <c r="G268" i="74" l="1"/>
  <c r="G269" i="74" l="1"/>
  <c r="G270" i="74" l="1"/>
  <c r="G271" i="74" l="1"/>
  <c r="G272" i="74" l="1"/>
  <c r="G273" i="74" l="1"/>
  <c r="G274" i="74" l="1"/>
  <c r="G275" i="74" l="1"/>
  <c r="G276" i="74" l="1"/>
  <c r="G277" i="74" l="1"/>
  <c r="G278" i="74" l="1"/>
  <c r="G279" i="74" l="1"/>
  <c r="G280" i="74" l="1"/>
  <c r="G281" i="74" l="1"/>
  <c r="G282" i="74" l="1"/>
  <c r="G283" i="74" l="1"/>
  <c r="G284" i="74" l="1"/>
  <c r="G285" i="74" l="1"/>
  <c r="G286" i="74" l="1"/>
  <c r="G287" i="74" l="1"/>
  <c r="G288" i="74" l="1"/>
  <c r="G289" i="74" l="1"/>
  <c r="G290" i="74" l="1"/>
  <c r="G291" i="74" l="1"/>
  <c r="G292" i="74" l="1"/>
  <c r="G293" i="74" l="1"/>
  <c r="G294" i="74" l="1"/>
  <c r="G295" i="74" l="1"/>
  <c r="G296" i="74" l="1"/>
  <c r="G297" i="74" l="1"/>
  <c r="G298" i="74" l="1"/>
  <c r="G299" i="74" l="1"/>
  <c r="G300" i="74" l="1"/>
  <c r="G301" i="74" l="1"/>
  <c r="G302" i="74" l="1"/>
  <c r="G303" i="74" l="1"/>
  <c r="G304" i="74" l="1"/>
  <c r="G305" i="74" l="1"/>
  <c r="G306" i="74" l="1"/>
  <c r="G307" i="74" l="1"/>
  <c r="G308" i="74" l="1"/>
  <c r="G309" i="74" l="1"/>
  <c r="G310" i="74" l="1"/>
  <c r="G311" i="74" l="1"/>
  <c r="G312" i="74" l="1"/>
  <c r="G313" i="74" l="1"/>
  <c r="G314" i="74" l="1"/>
  <c r="G315" i="74" l="1"/>
  <c r="G316" i="74" l="1"/>
  <c r="G317" i="74" l="1"/>
  <c r="G318" i="74" l="1"/>
  <c r="G319" i="74" l="1"/>
  <c r="G320" i="74" l="1"/>
  <c r="G321" i="74" l="1"/>
  <c r="G322" i="74" l="1"/>
  <c r="G323" i="74" l="1"/>
  <c r="G324" i="74" l="1"/>
  <c r="G325" i="74" l="1"/>
  <c r="G326" i="74" l="1"/>
  <c r="G327" i="74" l="1"/>
  <c r="G328" i="74" l="1"/>
  <c r="G329" i="74" l="1"/>
  <c r="G330" i="74" l="1"/>
  <c r="G331" i="74" l="1"/>
  <c r="G332" i="74" l="1"/>
  <c r="G333" i="74" l="1"/>
  <c r="G334" i="74" l="1"/>
  <c r="G335" i="74" l="1"/>
  <c r="G336" i="74" l="1"/>
  <c r="G337" i="74" l="1"/>
  <c r="G338" i="74" l="1"/>
  <c r="G339" i="74" l="1"/>
  <c r="G340" i="74" l="1"/>
  <c r="G341" i="74" l="1"/>
  <c r="G342" i="74" l="1"/>
  <c r="G343" i="74" l="1"/>
  <c r="G344" i="74" l="1"/>
  <c r="G345" i="74" l="1"/>
  <c r="G346" i="74" l="1"/>
  <c r="G347" i="74" l="1"/>
  <c r="G348" i="74" l="1"/>
  <c r="G349" i="74" l="1"/>
  <c r="G350" i="74" l="1"/>
  <c r="G351" i="74" l="1"/>
  <c r="G352" i="74" l="1"/>
  <c r="G353" i="74" l="1"/>
  <c r="G354" i="74" l="1"/>
  <c r="G355" i="74" l="1"/>
  <c r="G356" i="74" l="1"/>
  <c r="G357" i="74" l="1"/>
  <c r="G358" i="74" l="1"/>
  <c r="G359" i="74" l="1"/>
  <c r="G360" i="74" l="1"/>
  <c r="G361" i="74" l="1"/>
  <c r="G362" i="74" l="1"/>
  <c r="G363" i="74" l="1"/>
  <c r="G364" i="74" l="1"/>
  <c r="G365" i="74" l="1"/>
  <c r="G366" i="74" l="1"/>
  <c r="G367" i="74" l="1"/>
  <c r="G368" i="74" l="1"/>
  <c r="G369" i="74" l="1"/>
  <c r="G370" i="74" l="1"/>
  <c r="G371" i="74" l="1"/>
  <c r="G372" i="74" l="1"/>
  <c r="G373" i="74" l="1"/>
  <c r="G374" i="74" l="1"/>
  <c r="G375" i="74" l="1"/>
  <c r="G376" i="74" l="1"/>
  <c r="G377" i="74" l="1"/>
  <c r="G378" i="74" l="1"/>
  <c r="G379" i="74" l="1"/>
  <c r="G380" i="74" l="1"/>
  <c r="G381" i="74" l="1"/>
  <c r="G382" i="74" l="1"/>
  <c r="G383" i="74" l="1"/>
  <c r="G384" i="74" l="1"/>
  <c r="G385" i="74" l="1"/>
  <c r="G386" i="74" l="1"/>
  <c r="G387" i="74" l="1"/>
  <c r="G388" i="74" l="1"/>
  <c r="G389" i="74" l="1"/>
  <c r="G390" i="74" l="1"/>
  <c r="G391" i="74" l="1"/>
  <c r="G392" i="74" l="1"/>
  <c r="G393" i="74" l="1"/>
  <c r="G394" i="74" l="1"/>
  <c r="G395" i="74" l="1"/>
  <c r="G396" i="74" l="1"/>
  <c r="G397" i="74" l="1"/>
  <c r="G398" i="74" l="1"/>
  <c r="G399" i="74" l="1"/>
  <c r="G400" i="74" l="1"/>
  <c r="G401" i="74" l="1"/>
  <c r="G402" i="74" l="1"/>
  <c r="G403" i="74" l="1"/>
  <c r="G404" i="74" l="1"/>
  <c r="G405" i="74" l="1"/>
  <c r="E42" i="74" l="1"/>
  <c r="G406" i="74"/>
  <c r="G407" i="74" l="1"/>
  <c r="G42" i="74" s="1"/>
  <c r="E47" i="59" l="1"/>
  <c r="G84" i="34" l="1"/>
  <c r="D114" i="6"/>
  <c r="K67" i="34"/>
  <c r="G16" i="59"/>
  <c r="G47" i="59" s="1"/>
  <c r="K84" i="34" l="1"/>
  <c r="M67" i="34"/>
  <c r="M84" i="34" l="1"/>
  <c r="E120" i="6" l="1"/>
  <c r="E124" i="6" s="1"/>
  <c r="E125" i="6" s="1"/>
  <c r="D117" i="6" l="1"/>
  <c r="D120" i="6" s="1"/>
  <c r="N84" i="34"/>
  <c r="P67" i="34"/>
  <c r="P84" i="34" s="1"/>
  <c r="D124" i="6" l="1"/>
  <c r="D125" i="6" s="1"/>
  <c r="C20" i="69" s="1"/>
  <c r="C21" i="69" s="1"/>
  <c r="I371" i="74" l="1"/>
  <c r="I370" i="74"/>
  <c r="H369" i="74"/>
  <c r="I363" i="74"/>
  <c r="I362" i="74"/>
  <c r="I377" i="74"/>
  <c r="H215" i="74"/>
  <c r="H214" i="74"/>
  <c r="I208" i="74"/>
  <c r="I207" i="74"/>
  <c r="I206" i="74"/>
  <c r="H200" i="74"/>
  <c r="I167" i="74"/>
  <c r="I166" i="74"/>
  <c r="I176" i="74"/>
  <c r="H175" i="74"/>
  <c r="I174" i="74"/>
  <c r="I173" i="74"/>
  <c r="I188" i="74"/>
  <c r="I184" i="74"/>
  <c r="I263" i="74"/>
  <c r="I262" i="74"/>
  <c r="I277" i="74"/>
  <c r="I261" i="74"/>
  <c r="H260" i="74"/>
  <c r="I275" i="74"/>
  <c r="I271" i="74"/>
  <c r="I269" i="74"/>
  <c r="H268" i="74"/>
  <c r="H267" i="74"/>
  <c r="H266" i="74"/>
  <c r="I247" i="74"/>
  <c r="I229" i="74"/>
  <c r="H228" i="74"/>
  <c r="I243" i="74"/>
  <c r="I227" i="74"/>
  <c r="I257" i="74"/>
  <c r="I254" i="74"/>
  <c r="I252" i="74"/>
  <c r="H250" i="74"/>
  <c r="H249" i="74"/>
  <c r="I233" i="74"/>
  <c r="H310" i="74"/>
  <c r="H294" i="74"/>
  <c r="I308" i="74"/>
  <c r="H307" i="74"/>
  <c r="H291" i="74"/>
  <c r="H306" i="74"/>
  <c r="H290" i="74"/>
  <c r="H305" i="74"/>
  <c r="H289" i="74"/>
  <c r="I287" i="74"/>
  <c r="I300" i="74"/>
  <c r="I315" i="74"/>
  <c r="I299" i="74"/>
  <c r="H314" i="74"/>
  <c r="I298" i="74"/>
  <c r="H313" i="74"/>
  <c r="H297" i="74"/>
  <c r="I312" i="74"/>
  <c r="I391" i="74"/>
  <c r="I389" i="74"/>
  <c r="I404" i="74"/>
  <c r="I403" i="74"/>
  <c r="I387" i="74"/>
  <c r="I402" i="74"/>
  <c r="H386" i="74"/>
  <c r="I401" i="74"/>
  <c r="H385" i="74"/>
  <c r="I383" i="74"/>
  <c r="H398" i="74"/>
  <c r="I382" i="74"/>
  <c r="I396" i="74"/>
  <c r="I395" i="74"/>
  <c r="I379" i="74"/>
  <c r="H394" i="74"/>
  <c r="H378" i="74"/>
  <c r="I393" i="74"/>
  <c r="I344" i="74"/>
  <c r="H342" i="74"/>
  <c r="I326" i="74"/>
  <c r="I341" i="74"/>
  <c r="I340" i="74"/>
  <c r="I324" i="74"/>
  <c r="H339" i="74"/>
  <c r="H323" i="74"/>
  <c r="H338" i="74"/>
  <c r="I322" i="74"/>
  <c r="H337" i="74"/>
  <c r="I321" i="74"/>
  <c r="H336" i="74"/>
  <c r="I334" i="74"/>
  <c r="I317" i="74"/>
  <c r="I333" i="74"/>
  <c r="H346" i="74"/>
  <c r="I345" i="74"/>
  <c r="I329" i="74"/>
  <c r="I407" i="74"/>
  <c r="H407" i="74"/>
  <c r="I179" i="74"/>
  <c r="H179" i="74"/>
  <c r="I181" i="74"/>
  <c r="H181" i="74"/>
  <c r="I256" i="74"/>
  <c r="H256" i="74"/>
  <c r="I325" i="74"/>
  <c r="H325" i="74"/>
  <c r="I223" i="74"/>
  <c r="H223" i="74"/>
  <c r="I199" i="74"/>
  <c r="H199" i="74"/>
  <c r="I367" i="74"/>
  <c r="H367" i="74"/>
  <c r="I359" i="74"/>
  <c r="H359" i="74"/>
  <c r="H254" i="74"/>
  <c r="I210" i="74"/>
  <c r="H210" i="74"/>
  <c r="I218" i="74"/>
  <c r="H218" i="74"/>
  <c r="I290" i="74"/>
  <c r="I217" i="74"/>
  <c r="H217" i="74"/>
  <c r="I361" i="74"/>
  <c r="H361" i="74"/>
  <c r="I376" i="74"/>
  <c r="H376" i="74"/>
  <c r="H315" i="74"/>
  <c r="I310" i="74"/>
  <c r="I191" i="74"/>
  <c r="H191" i="74"/>
  <c r="I339" i="74"/>
  <c r="I213" i="74"/>
  <c r="H213" i="74"/>
  <c r="I202" i="74"/>
  <c r="H202" i="74"/>
  <c r="I347" i="74"/>
  <c r="H347" i="74"/>
  <c r="I353" i="74"/>
  <c r="H353" i="74"/>
  <c r="I301" i="74"/>
  <c r="H301" i="74"/>
  <c r="H188" i="74"/>
  <c r="I276" i="74"/>
  <c r="H276" i="74"/>
  <c r="I258" i="74"/>
  <c r="H258" i="74"/>
  <c r="I189" i="74"/>
  <c r="H189" i="74"/>
  <c r="H271" i="74"/>
  <c r="I226" i="74"/>
  <c r="H226" i="74"/>
  <c r="I196" i="74"/>
  <c r="H196" i="74"/>
  <c r="I374" i="74"/>
  <c r="H374" i="74"/>
  <c r="I309" i="74"/>
  <c r="H309" i="74"/>
  <c r="I296" i="74"/>
  <c r="H296" i="74"/>
  <c r="I169" i="74"/>
  <c r="H169" i="74"/>
  <c r="I186" i="74"/>
  <c r="H186" i="74"/>
  <c r="I237" i="74"/>
  <c r="H237" i="74"/>
  <c r="I270" i="74"/>
  <c r="H270" i="74"/>
  <c r="I331" i="74"/>
  <c r="H331" i="74"/>
  <c r="I225" i="74"/>
  <c r="H225" i="74"/>
  <c r="I211" i="74"/>
  <c r="H211" i="74"/>
  <c r="I373" i="74"/>
  <c r="H373" i="74"/>
  <c r="I351" i="74"/>
  <c r="H351" i="74"/>
  <c r="H269" i="74"/>
  <c r="I232" i="74"/>
  <c r="H232" i="74"/>
  <c r="H300" i="74"/>
  <c r="I194" i="74"/>
  <c r="H194" i="74"/>
  <c r="I399" i="74"/>
  <c r="H399" i="74"/>
  <c r="H389" i="74"/>
  <c r="I172" i="74"/>
  <c r="H172" i="74"/>
  <c r="I183" i="74"/>
  <c r="H183" i="74"/>
  <c r="I248" i="74"/>
  <c r="H248" i="74"/>
  <c r="I272" i="74"/>
  <c r="H272" i="74"/>
  <c r="I280" i="74"/>
  <c r="H280" i="74"/>
  <c r="I346" i="74"/>
  <c r="I327" i="74"/>
  <c r="H327" i="74"/>
  <c r="I221" i="74"/>
  <c r="H221" i="74"/>
  <c r="I204" i="74"/>
  <c r="H204" i="74"/>
  <c r="I360" i="74"/>
  <c r="H360" i="74"/>
  <c r="I291" i="74"/>
  <c r="I294" i="74"/>
  <c r="I246" i="74"/>
  <c r="H246" i="74"/>
  <c r="I397" i="74"/>
  <c r="H397" i="74"/>
  <c r="H340" i="74"/>
  <c r="I177" i="74"/>
  <c r="H177" i="74"/>
  <c r="I245" i="74"/>
  <c r="H245" i="74"/>
  <c r="I238" i="74"/>
  <c r="H238" i="74"/>
  <c r="I285" i="74"/>
  <c r="H285" i="74"/>
  <c r="I201" i="74"/>
  <c r="H201" i="74"/>
  <c r="I215" i="74"/>
  <c r="I350" i="74"/>
  <c r="H350" i="74"/>
  <c r="I356" i="74"/>
  <c r="H356" i="74"/>
  <c r="I289" i="74"/>
  <c r="I293" i="74"/>
  <c r="H293" i="74"/>
  <c r="H176" i="74"/>
  <c r="I170" i="74"/>
  <c r="H170" i="74"/>
  <c r="I278" i="74"/>
  <c r="H278" i="74"/>
  <c r="I209" i="74"/>
  <c r="H209" i="74"/>
  <c r="I216" i="74"/>
  <c r="H216" i="74"/>
  <c r="I355" i="74"/>
  <c r="H355" i="74"/>
  <c r="I358" i="74"/>
  <c r="H358" i="74"/>
  <c r="I288" i="74"/>
  <c r="H288" i="74"/>
  <c r="I304" i="74"/>
  <c r="H304" i="74"/>
  <c r="I273" i="74"/>
  <c r="H273" i="74"/>
  <c r="H207" i="74"/>
  <c r="I190" i="74"/>
  <c r="H190" i="74"/>
  <c r="I205" i="74"/>
  <c r="H205" i="74"/>
  <c r="I197" i="74"/>
  <c r="H197" i="74"/>
  <c r="H308" i="74"/>
  <c r="I295" i="74"/>
  <c r="H295" i="74"/>
  <c r="I375" i="74"/>
  <c r="H375" i="74"/>
  <c r="I283" i="74"/>
  <c r="H283" i="74"/>
  <c r="I392" i="74"/>
  <c r="H392" i="74"/>
  <c r="I259" i="74"/>
  <c r="H259" i="74"/>
  <c r="I335" i="74"/>
  <c r="H335" i="74"/>
  <c r="I222" i="74"/>
  <c r="H222" i="74"/>
  <c r="I200" i="74"/>
  <c r="I364" i="74"/>
  <c r="H364" i="74"/>
  <c r="I348" i="74"/>
  <c r="H348" i="74"/>
  <c r="I286" i="74"/>
  <c r="H286" i="74"/>
  <c r="I240" i="74"/>
  <c r="H240" i="74"/>
  <c r="I255" i="74"/>
  <c r="H255" i="74"/>
  <c r="I279" i="74"/>
  <c r="H279" i="74"/>
  <c r="I330" i="74"/>
  <c r="H330" i="74"/>
  <c r="I318" i="74"/>
  <c r="H318" i="74"/>
  <c r="I214" i="74"/>
  <c r="I357" i="74"/>
  <c r="H357" i="74"/>
  <c r="I292" i="74"/>
  <c r="H292" i="74"/>
  <c r="I384" i="74"/>
  <c r="H384" i="74"/>
  <c r="I175" i="74"/>
  <c r="I234" i="74"/>
  <c r="H234" i="74"/>
  <c r="I265" i="74"/>
  <c r="H265" i="74"/>
  <c r="I381" i="74"/>
  <c r="H381" i="74"/>
  <c r="I193" i="74"/>
  <c r="H193" i="74"/>
  <c r="I182" i="74"/>
  <c r="H182" i="74"/>
  <c r="I242" i="74"/>
  <c r="H242" i="74"/>
  <c r="I281" i="74"/>
  <c r="H281" i="74"/>
  <c r="I302" i="74"/>
  <c r="H302" i="74"/>
  <c r="I380" i="74"/>
  <c r="H380" i="74"/>
  <c r="I405" i="74"/>
  <c r="H405" i="74"/>
  <c r="I284" i="74"/>
  <c r="H284" i="74"/>
  <c r="H252" i="74"/>
  <c r="I388" i="74"/>
  <c r="H388" i="74"/>
  <c r="I171" i="74"/>
  <c r="H171" i="74"/>
  <c r="I195" i="74"/>
  <c r="H195" i="74"/>
  <c r="I390" i="74"/>
  <c r="H390" i="74"/>
  <c r="I400" i="74"/>
  <c r="H400" i="74"/>
  <c r="I168" i="74"/>
  <c r="H168" i="74"/>
  <c r="I235" i="74"/>
  <c r="H235" i="74"/>
  <c r="I264" i="74"/>
  <c r="H264" i="74"/>
  <c r="I342" i="74"/>
  <c r="I343" i="74"/>
  <c r="H343" i="74"/>
  <c r="I224" i="74"/>
  <c r="H224" i="74"/>
  <c r="I220" i="74"/>
  <c r="H220" i="74"/>
  <c r="I352" i="74"/>
  <c r="H352" i="74"/>
  <c r="I368" i="74"/>
  <c r="H368" i="74"/>
  <c r="I314" i="74"/>
  <c r="I311" i="74"/>
  <c r="H311" i="74"/>
  <c r="H393" i="74"/>
  <c r="I406" i="74"/>
  <c r="H406" i="74"/>
  <c r="I212" i="74"/>
  <c r="H212" i="74"/>
  <c r="I219" i="74"/>
  <c r="H219" i="74"/>
  <c r="I241" i="74"/>
  <c r="H241" i="74"/>
  <c r="I180" i="74"/>
  <c r="H180" i="74"/>
  <c r="I231" i="74"/>
  <c r="H231" i="74"/>
  <c r="I244" i="74"/>
  <c r="H244" i="74"/>
  <c r="H317" i="74"/>
  <c r="I178" i="74"/>
  <c r="H178" i="74"/>
  <c r="I187" i="74"/>
  <c r="H187" i="74"/>
  <c r="I239" i="74"/>
  <c r="H239" i="74"/>
  <c r="I251" i="74"/>
  <c r="H251" i="74"/>
  <c r="I274" i="74"/>
  <c r="H274" i="74"/>
  <c r="I328" i="74"/>
  <c r="H328" i="74"/>
  <c r="I198" i="74"/>
  <c r="H198" i="74"/>
  <c r="I349" i="74"/>
  <c r="H349" i="74"/>
  <c r="I354" i="74"/>
  <c r="H354" i="74"/>
  <c r="I303" i="74"/>
  <c r="H303" i="74"/>
  <c r="H326" i="74"/>
  <c r="I236" i="74"/>
  <c r="H236" i="74"/>
  <c r="I372" i="74"/>
  <c r="H372" i="74"/>
  <c r="I253" i="74"/>
  <c r="H253" i="74"/>
  <c r="I320" i="74"/>
  <c r="H320" i="74"/>
  <c r="I185" i="74"/>
  <c r="H185" i="74"/>
  <c r="I192" i="74"/>
  <c r="H192" i="74"/>
  <c r="I230" i="74"/>
  <c r="H230" i="74"/>
  <c r="I282" i="74"/>
  <c r="H282" i="74"/>
  <c r="I332" i="74"/>
  <c r="H332" i="74"/>
  <c r="I203" i="74"/>
  <c r="H203" i="74"/>
  <c r="I366" i="74"/>
  <c r="H366" i="74"/>
  <c r="I365" i="74"/>
  <c r="H365" i="74"/>
  <c r="I316" i="74"/>
  <c r="H316" i="74"/>
  <c r="I43" i="74"/>
  <c r="H43" i="74"/>
  <c r="I323" i="74" l="1"/>
  <c r="I398" i="74"/>
  <c r="I228" i="74"/>
  <c r="I266" i="74"/>
  <c r="H227" i="74"/>
  <c r="H321" i="74"/>
  <c r="I249" i="74"/>
  <c r="I260" i="74"/>
  <c r="I305" i="74"/>
  <c r="I250" i="74"/>
  <c r="H377" i="74"/>
  <c r="I297" i="74"/>
  <c r="H167" i="74"/>
  <c r="H257" i="74"/>
  <c r="I369" i="74"/>
  <c r="H401" i="74"/>
  <c r="H166" i="74"/>
  <c r="H174" i="74"/>
  <c r="I268" i="74"/>
  <c r="H363" i="74"/>
  <c r="I307" i="74"/>
  <c r="H263" i="74"/>
  <c r="H371" i="74"/>
  <c r="C42" i="74"/>
  <c r="C26" i="74" s="1"/>
  <c r="E79" i="80" s="1"/>
  <c r="G79" i="80" s="1"/>
  <c r="D64" i="80" s="1"/>
  <c r="H403" i="74"/>
  <c r="I267" i="74"/>
  <c r="H262" i="74"/>
  <c r="H208" i="74"/>
  <c r="H396" i="74"/>
  <c r="H324" i="74"/>
  <c r="H370" i="74"/>
  <c r="H184" i="74"/>
  <c r="H362" i="74"/>
  <c r="H173" i="74"/>
  <c r="H404" i="74"/>
  <c r="H206" i="74"/>
  <c r="H387" i="74"/>
  <c r="H229" i="74"/>
  <c r="I306" i="74"/>
  <c r="H233" i="74"/>
  <c r="I386" i="74"/>
  <c r="H345" i="74"/>
  <c r="H383" i="74"/>
  <c r="H344" i="74"/>
  <c r="I338" i="74"/>
  <c r="I385" i="74"/>
  <c r="I378" i="74"/>
  <c r="I394" i="74"/>
  <c r="H312" i="74"/>
  <c r="H322" i="74"/>
  <c r="I319" i="74"/>
  <c r="H334" i="74"/>
  <c r="H329" i="74"/>
  <c r="I337" i="74"/>
  <c r="H333" i="74"/>
  <c r="I313" i="74"/>
  <c r="I108" i="74"/>
  <c r="H108" i="74"/>
  <c r="I116" i="74"/>
  <c r="H116" i="74"/>
  <c r="H142" i="74"/>
  <c r="I142" i="74"/>
  <c r="I150" i="74"/>
  <c r="H150" i="74"/>
  <c r="I79" i="74"/>
  <c r="H79" i="74"/>
  <c r="I87" i="74"/>
  <c r="H87" i="74"/>
  <c r="I63" i="74"/>
  <c r="H63" i="74"/>
  <c r="I71" i="74"/>
  <c r="H71" i="74"/>
  <c r="H319" i="74"/>
  <c r="H402" i="74"/>
  <c r="I124" i="74"/>
  <c r="H124" i="74"/>
  <c r="I132" i="74"/>
  <c r="H132" i="74"/>
  <c r="H158" i="74"/>
  <c r="I158" i="74"/>
  <c r="I135" i="74"/>
  <c r="H135" i="74"/>
  <c r="I95" i="74"/>
  <c r="H95" i="74"/>
  <c r="I103" i="74"/>
  <c r="H103" i="74"/>
  <c r="I48" i="74"/>
  <c r="H48" i="74"/>
  <c r="I109" i="74"/>
  <c r="H109" i="74"/>
  <c r="I117" i="74"/>
  <c r="H117" i="74"/>
  <c r="I143" i="74"/>
  <c r="H143" i="74"/>
  <c r="I151" i="74"/>
  <c r="H151" i="74"/>
  <c r="I80" i="74"/>
  <c r="H80" i="74"/>
  <c r="I56" i="74"/>
  <c r="H56" i="74"/>
  <c r="I64" i="74"/>
  <c r="H64" i="74"/>
  <c r="I125" i="74"/>
  <c r="H125" i="74"/>
  <c r="I133" i="74"/>
  <c r="H133" i="74"/>
  <c r="I159" i="74"/>
  <c r="H159" i="74"/>
  <c r="I104" i="74"/>
  <c r="H104" i="74"/>
  <c r="I96" i="74"/>
  <c r="H96" i="74"/>
  <c r="I72" i="74"/>
  <c r="H72" i="74"/>
  <c r="I49" i="74"/>
  <c r="H49" i="74"/>
  <c r="I110" i="74"/>
  <c r="H110" i="74"/>
  <c r="I118" i="74"/>
  <c r="H118" i="74"/>
  <c r="H136" i="74"/>
  <c r="I136" i="74"/>
  <c r="H144" i="74"/>
  <c r="I144" i="74"/>
  <c r="I88" i="74"/>
  <c r="H88" i="74"/>
  <c r="I81" i="74"/>
  <c r="H81" i="74"/>
  <c r="I57" i="74"/>
  <c r="H57" i="74"/>
  <c r="I65" i="74"/>
  <c r="H65" i="74"/>
  <c r="I126" i="74"/>
  <c r="H126" i="74"/>
  <c r="I134" i="74"/>
  <c r="H134" i="74"/>
  <c r="H152" i="74"/>
  <c r="I152" i="74"/>
  <c r="I160" i="74"/>
  <c r="H160" i="74"/>
  <c r="I89" i="74"/>
  <c r="H89" i="74"/>
  <c r="I97" i="74"/>
  <c r="H97" i="74"/>
  <c r="I73" i="74"/>
  <c r="H73" i="74"/>
  <c r="H50" i="74"/>
  <c r="I50" i="74"/>
  <c r="I336" i="74"/>
  <c r="I111" i="74"/>
  <c r="H111" i="74"/>
  <c r="I119" i="74"/>
  <c r="H119" i="74"/>
  <c r="I137" i="74"/>
  <c r="H137" i="74"/>
  <c r="H145" i="74"/>
  <c r="I145" i="74"/>
  <c r="I74" i="74"/>
  <c r="H74" i="74"/>
  <c r="I82" i="74"/>
  <c r="H82" i="74"/>
  <c r="I58" i="74"/>
  <c r="H58" i="74"/>
  <c r="I66" i="74"/>
  <c r="H66" i="74"/>
  <c r="H275" i="74"/>
  <c r="H299" i="74"/>
  <c r="H261" i="74"/>
  <c r="H277" i="74"/>
  <c r="H287" i="74"/>
  <c r="H298" i="74"/>
  <c r="H247" i="74"/>
  <c r="I127" i="74"/>
  <c r="H127" i="74"/>
  <c r="H153" i="74"/>
  <c r="I153" i="74"/>
  <c r="I161" i="74"/>
  <c r="H161" i="74"/>
  <c r="I90" i="74"/>
  <c r="H90" i="74"/>
  <c r="I98" i="74"/>
  <c r="H98" i="74"/>
  <c r="I51" i="74"/>
  <c r="H51" i="74"/>
  <c r="I112" i="74"/>
  <c r="H112" i="74"/>
  <c r="I138" i="74"/>
  <c r="H138" i="74"/>
  <c r="H146" i="74"/>
  <c r="I146" i="74"/>
  <c r="I75" i="74"/>
  <c r="H75" i="74"/>
  <c r="I83" i="74"/>
  <c r="H83" i="74"/>
  <c r="I59" i="74"/>
  <c r="H59" i="74"/>
  <c r="I67" i="74"/>
  <c r="H67" i="74"/>
  <c r="I120" i="74"/>
  <c r="H120" i="74"/>
  <c r="I128" i="74"/>
  <c r="H128" i="74"/>
  <c r="I154" i="74"/>
  <c r="H154" i="74"/>
  <c r="I162" i="74"/>
  <c r="H162" i="74"/>
  <c r="I91" i="74"/>
  <c r="H91" i="74"/>
  <c r="I99" i="74"/>
  <c r="H99" i="74"/>
  <c r="I44" i="74"/>
  <c r="H44" i="74"/>
  <c r="I52" i="74"/>
  <c r="H52" i="74"/>
  <c r="I105" i="74"/>
  <c r="H105" i="74"/>
  <c r="I113" i="74"/>
  <c r="H113" i="74"/>
  <c r="H139" i="74"/>
  <c r="I139" i="74"/>
  <c r="I147" i="74"/>
  <c r="H147" i="74"/>
  <c r="I76" i="74"/>
  <c r="H76" i="74"/>
  <c r="I84" i="74"/>
  <c r="H84" i="74"/>
  <c r="I60" i="74"/>
  <c r="H60" i="74"/>
  <c r="I68" i="74"/>
  <c r="H68" i="74"/>
  <c r="I121" i="74"/>
  <c r="H121" i="74"/>
  <c r="I129" i="74"/>
  <c r="H129" i="74"/>
  <c r="I155" i="74"/>
  <c r="H155" i="74"/>
  <c r="I163" i="74"/>
  <c r="H163" i="74"/>
  <c r="I92" i="74"/>
  <c r="H92" i="74"/>
  <c r="I100" i="74"/>
  <c r="H100" i="74"/>
  <c r="I45" i="74"/>
  <c r="H45" i="74"/>
  <c r="I53" i="74"/>
  <c r="H53" i="74"/>
  <c r="I106" i="74"/>
  <c r="H106" i="74"/>
  <c r="I114" i="74"/>
  <c r="H114" i="74"/>
  <c r="H140" i="74"/>
  <c r="I140" i="74"/>
  <c r="I148" i="74"/>
  <c r="H148" i="74"/>
  <c r="I77" i="74"/>
  <c r="H77" i="74"/>
  <c r="I85" i="74"/>
  <c r="H85" i="74"/>
  <c r="I61" i="74"/>
  <c r="H61" i="74"/>
  <c r="I69" i="74"/>
  <c r="H69" i="74"/>
  <c r="H379" i="74"/>
  <c r="H395" i="74"/>
  <c r="H341" i="74"/>
  <c r="H243" i="74"/>
  <c r="H391" i="74"/>
  <c r="H382" i="74"/>
  <c r="I122" i="74"/>
  <c r="H122" i="74"/>
  <c r="I130" i="74"/>
  <c r="H130" i="74"/>
  <c r="I156" i="74"/>
  <c r="H156" i="74"/>
  <c r="I164" i="74"/>
  <c r="H164" i="74"/>
  <c r="I93" i="74"/>
  <c r="H93" i="74"/>
  <c r="I101" i="74"/>
  <c r="H101" i="74"/>
  <c r="I46" i="74"/>
  <c r="H46" i="74"/>
  <c r="I54" i="74"/>
  <c r="H54" i="74"/>
  <c r="I107" i="74"/>
  <c r="H107" i="74"/>
  <c r="I115" i="74"/>
  <c r="H115" i="74"/>
  <c r="I141" i="74"/>
  <c r="H141" i="74"/>
  <c r="I149" i="74"/>
  <c r="H149" i="74"/>
  <c r="I78" i="74"/>
  <c r="H78" i="74"/>
  <c r="I86" i="74"/>
  <c r="H86" i="74"/>
  <c r="I62" i="74"/>
  <c r="H62" i="74"/>
  <c r="I70" i="74"/>
  <c r="H70" i="74"/>
  <c r="I123" i="74"/>
  <c r="H123" i="74"/>
  <c r="I131" i="74"/>
  <c r="H131" i="74"/>
  <c r="I157" i="74"/>
  <c r="H157" i="74"/>
  <c r="I165" i="74"/>
  <c r="H165" i="74"/>
  <c r="I94" i="74"/>
  <c r="H94" i="74"/>
  <c r="I102" i="74"/>
  <c r="H102" i="74"/>
  <c r="I47" i="74"/>
  <c r="H47" i="74"/>
  <c r="I55" i="74"/>
  <c r="H55" i="74"/>
  <c r="E104" i="80"/>
  <c r="G104" i="80" s="1"/>
  <c r="F64" i="80" s="1"/>
  <c r="F116" i="80"/>
  <c r="H137" i="80"/>
  <c r="J137" i="80" s="1"/>
  <c r="I64" i="80" s="1"/>
  <c r="H149" i="80" l="1"/>
  <c r="I149" i="80" s="1"/>
  <c r="J64" i="80" s="1"/>
  <c r="H42" i="74"/>
  <c r="I42" i="74"/>
  <c r="F104" i="80"/>
  <c r="E64" i="80" s="1"/>
  <c r="G116" i="80"/>
  <c r="G64" i="80" s="1"/>
  <c r="E37" i="80" s="1"/>
  <c r="F79" i="80"/>
  <c r="C64" i="80" s="1"/>
  <c r="D38" i="80" s="1"/>
  <c r="I137" i="80"/>
  <c r="H64" i="80" s="1"/>
  <c r="E38" i="80" l="1"/>
  <c r="J149" i="80"/>
  <c r="K64" i="80" s="1"/>
  <c r="F38" i="80" s="1"/>
  <c r="F37" i="80"/>
  <c r="D37" i="80"/>
  <c r="G38" i="80" l="1"/>
  <c r="G37" i="80"/>
  <c r="D11" i="84"/>
  <c r="C11" i="8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Zhang, Cathy</author>
  </authors>
  <commentList>
    <comment ref="B15" authorId="0" shapeId="0" xr:uid="{0436DB55-C948-4530-90E0-09509384AF8B}">
      <text>
        <r>
          <rPr>
            <sz val="10"/>
            <color indexed="81"/>
            <rFont val="Tahoma"/>
            <family val="2"/>
          </rPr>
          <t>These cells will display if "Scheme pipeline" is chosen in Cover sheet.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Zhang, Cathy</author>
  </authors>
  <commentList>
    <comment ref="C23" authorId="0" shapeId="0" xr:uid="{B94ABF8A-37DC-4265-99FF-06749955D3B1}">
      <text>
        <r>
          <rPr>
            <sz val="9"/>
            <color indexed="81"/>
            <rFont val="Tahoma"/>
            <family val="2"/>
          </rPr>
          <t>The sum of percentages should not be greater than 100%. If above 100%, the cell will be shaded red. If less than 100%, it will be shaded in light red.</t>
        </r>
      </text>
    </comment>
    <comment ref="C35" authorId="0" shapeId="0" xr:uid="{8C75B24E-22A3-439B-A79F-5A5AB40AC9F7}">
      <text>
        <r>
          <rPr>
            <sz val="9"/>
            <color indexed="81"/>
            <rFont val="Tahoma"/>
            <family val="2"/>
          </rPr>
          <t>The sum of percentages should not be greater than 100%. If above 100%, the cell will be shaded red. If less than 100%, it will be shaded in light red.</t>
        </r>
      </text>
    </comment>
    <comment ref="C47" authorId="0" shapeId="0" xr:uid="{543A5F51-56B6-413B-9D25-BBC06D1F15DF}">
      <text>
        <r>
          <rPr>
            <sz val="9"/>
            <color indexed="81"/>
            <rFont val="Tahoma"/>
            <family val="2"/>
          </rPr>
          <t>The sum of percentages should not be greater than 100%. If above 100%, the cell will be shaded red. If less than 100%, it will be shaded in light red.</t>
        </r>
      </text>
    </comment>
    <comment ref="C66" authorId="0" shapeId="0" xr:uid="{EBDBFC92-3B0E-4A8A-816D-42E01FF71804}">
      <text>
        <r>
          <rPr>
            <sz val="9"/>
            <color indexed="81"/>
            <rFont val="Tahoma"/>
            <family val="2"/>
          </rPr>
          <t>The sum of percentages should not be greater than 100%. If above 100%, the cell will be shaded red. If less than 100%, it will be shaded in light red.</t>
        </r>
      </text>
    </comment>
    <comment ref="C78" authorId="0" shapeId="0" xr:uid="{95471DDB-EFFD-4061-9149-366D7528D74E}">
      <text>
        <r>
          <rPr>
            <sz val="9"/>
            <color indexed="81"/>
            <rFont val="Tahoma"/>
            <family val="2"/>
          </rPr>
          <t>The sum of percentages should not be greater than 100%. If above 100%, the cell will be shaded red. If less than 100%, it will be shaded in light red.</t>
        </r>
      </text>
    </comment>
    <comment ref="C90" authorId="0" shapeId="0" xr:uid="{F8AF4BC2-2E05-4A19-BCBB-BDFB788DAB03}">
      <text>
        <r>
          <rPr>
            <sz val="9"/>
            <color indexed="81"/>
            <rFont val="Tahoma"/>
            <family val="2"/>
          </rPr>
          <t>The sum of percentages should not be greater than 100%. If above 100%, the cell will be shaded red. If less than 100%, it will be shaded in light red.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Zhang, Cathy</author>
  </authors>
  <commentList>
    <comment ref="D19" authorId="0" shapeId="0" xr:uid="{931DFE73-9643-483D-8BAE-281BBB1A4008}">
      <text>
        <r>
          <rPr>
            <sz val="9"/>
            <color indexed="81"/>
            <rFont val="Tahoma"/>
            <family val="2"/>
          </rPr>
          <t>This item only to be used for periods from the implementation of the revised accounting standard on leases AASB16</t>
        </r>
      </text>
    </comment>
    <comment ref="D27" authorId="0" shapeId="0" xr:uid="{ECFABECE-1354-48F0-9AB9-450DDF9D84C9}">
      <text>
        <r>
          <rPr>
            <sz val="9"/>
            <color indexed="81"/>
            <rFont val="Tahoma"/>
            <family val="2"/>
          </rPr>
          <t>This item only to be used for periods from the implementation of the revised accounting standard on leases AASB16</t>
        </r>
      </text>
    </comment>
    <comment ref="D34" authorId="0" shapeId="0" xr:uid="{BD589DFB-AE8D-4A4E-B11B-6FAED5639530}">
      <text>
        <r>
          <rPr>
            <sz val="9"/>
            <color indexed="81"/>
            <rFont val="Tahoma"/>
            <family val="2"/>
          </rPr>
          <t>This item only to be used for periods from the implementation of the revised accounting standard on leases AASB16</t>
        </r>
      </text>
    </comment>
    <comment ref="D35" authorId="1" shapeId="0" xr:uid="{26497F02-F9FF-488B-8A97-13BDDC02F682}">
      <text>
        <r>
          <rPr>
            <sz val="9"/>
            <color indexed="81"/>
            <rFont val="Tahoma"/>
            <family val="2"/>
          </rPr>
          <t xml:space="preserve">This item should not be greater than </t>
        </r>
        <r>
          <rPr>
            <i/>
            <sz val="9"/>
            <color indexed="81"/>
            <rFont val="Tahoma"/>
            <family val="2"/>
          </rPr>
          <t xml:space="preserve">Revenue </t>
        </r>
        <r>
          <rPr>
            <sz val="9"/>
            <color indexed="81"/>
            <rFont val="Tahoma"/>
            <family val="2"/>
          </rPr>
          <t>within the year. If incorrect figure is recorded, the cell will be shaded red.</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Zhang, Cathy</author>
  </authors>
  <commentList>
    <comment ref="B31" authorId="0" shapeId="0" xr:uid="{1644E961-C538-44D8-8C2E-34BA754CEC8F}">
      <text>
        <r>
          <rPr>
            <sz val="9"/>
            <color indexed="81"/>
            <rFont val="Tahoma"/>
            <family val="2"/>
          </rPr>
          <t>This item should not be greater than 100%. If above 100%, the cell will be shaded red. If less than 100%, it will be shaded in light red.</t>
        </r>
      </text>
    </comment>
  </commentList>
</comments>
</file>

<file path=xl/sharedStrings.xml><?xml version="1.0" encoding="utf-8"?>
<sst xmlns="http://schemas.openxmlformats.org/spreadsheetml/2006/main" count="1466" uniqueCount="578">
  <si>
    <t>Category</t>
  </si>
  <si>
    <t>Colour coding of input sheets:</t>
  </si>
  <si>
    <t>Leave coloured cells blank if no information exists - PLEASE DO NOT ENTER TEXT unless specifically requested to do so.</t>
  </si>
  <si>
    <t>Business address</t>
  </si>
  <si>
    <t>Address</t>
  </si>
  <si>
    <t>Suburb</t>
  </si>
  <si>
    <t>State</t>
  </si>
  <si>
    <t>Postcode</t>
  </si>
  <si>
    <t>Postal address</t>
  </si>
  <si>
    <t>Contact name/s</t>
  </si>
  <si>
    <t>Contact phone/s</t>
  </si>
  <si>
    <t>Contact email address/s</t>
  </si>
  <si>
    <t xml:space="preserve"> </t>
  </si>
  <si>
    <t>Description</t>
  </si>
  <si>
    <t>Profit from sale of fixed assets</t>
  </si>
  <si>
    <t>Total revenue</t>
  </si>
  <si>
    <t xml:space="preserve">Depreciation </t>
  </si>
  <si>
    <t>TOTAL ASSETS</t>
  </si>
  <si>
    <t>Total</t>
  </si>
  <si>
    <t>Total fixed assets</t>
  </si>
  <si>
    <t>Gas Pipeline Operator</t>
  </si>
  <si>
    <t xml:space="preserve">This template is to be uploaded by a Gas Pipeline Operator to its website to fulfil its annual reporting obligations. </t>
  </si>
  <si>
    <t xml:space="preserve">Australian business number: </t>
  </si>
  <si>
    <t>Pipeline location</t>
  </si>
  <si>
    <t>Number of customers</t>
  </si>
  <si>
    <t>Service type</t>
  </si>
  <si>
    <t>Service description</t>
  </si>
  <si>
    <t>Transportation services</t>
  </si>
  <si>
    <t>Storage services</t>
  </si>
  <si>
    <t>Trading services</t>
  </si>
  <si>
    <t>Other (please specify)</t>
  </si>
  <si>
    <t>Provided to related parties</t>
  </si>
  <si>
    <t>Direct revenue</t>
  </si>
  <si>
    <t>Customer contribution revenue</t>
  </si>
  <si>
    <t>Other direct revenue</t>
  </si>
  <si>
    <t>Insurance</t>
  </si>
  <si>
    <t>Licence and regulatory costs</t>
  </si>
  <si>
    <t>Directly attributable finance charges</t>
  </si>
  <si>
    <t>Indirect revenue allocated</t>
  </si>
  <si>
    <t xml:space="preserve">Shared asset depreciation </t>
  </si>
  <si>
    <t>Loss from sale of shared fixed assets</t>
  </si>
  <si>
    <t>Amounts excluding related party transactions</t>
  </si>
  <si>
    <t>Related party transactions</t>
  </si>
  <si>
    <t>Information technology and communication costs</t>
  </si>
  <si>
    <t>Rental and leasing costs</t>
  </si>
  <si>
    <t>Leasing and rental costs</t>
  </si>
  <si>
    <t>Pipeline assets</t>
  </si>
  <si>
    <t>% allocated to pipeline</t>
  </si>
  <si>
    <t>Income statement account applied to</t>
  </si>
  <si>
    <t>Acquisition date</t>
  </si>
  <si>
    <t>Useful life</t>
  </si>
  <si>
    <t>Construction cost</t>
  </si>
  <si>
    <t>Additions</t>
  </si>
  <si>
    <t>Cost base</t>
  </si>
  <si>
    <t>Written down value</t>
  </si>
  <si>
    <t>Years</t>
  </si>
  <si>
    <t>Total pipeline assets</t>
  </si>
  <si>
    <t>Disposal (at cost)</t>
  </si>
  <si>
    <t>Year</t>
  </si>
  <si>
    <t>Asset description</t>
  </si>
  <si>
    <t>Closing compressors carrying value</t>
  </si>
  <si>
    <t>Closing buildings carrying value</t>
  </si>
  <si>
    <t>Total allocated to pipeline excluding related parties</t>
  </si>
  <si>
    <t>Total related party amounts allocated to pipeline</t>
  </si>
  <si>
    <t>Total assets</t>
  </si>
  <si>
    <t>Pipeline information</t>
  </si>
  <si>
    <t>Revenue</t>
  </si>
  <si>
    <t>Operating expenses</t>
  </si>
  <si>
    <t>Net tax liabilities</t>
  </si>
  <si>
    <t>Shared supporting assets</t>
  </si>
  <si>
    <t xml:space="preserve">Inventories </t>
  </si>
  <si>
    <t>Deferred tax assets</t>
  </si>
  <si>
    <t>Maintenance capitalised</t>
  </si>
  <si>
    <t>Description (list each individual  balance sheet item)</t>
  </si>
  <si>
    <t xml:space="preserve">Useful life </t>
  </si>
  <si>
    <t>years</t>
  </si>
  <si>
    <t>Reason for choosing this useful life</t>
  </si>
  <si>
    <t>Total service revenue</t>
  </si>
  <si>
    <t>Provided to non related parties</t>
  </si>
  <si>
    <t>Repairs and maintenance</t>
  </si>
  <si>
    <t>Wages</t>
  </si>
  <si>
    <t>Borrowing costs</t>
  </si>
  <si>
    <t xml:space="preserve">Total </t>
  </si>
  <si>
    <t>Source</t>
  </si>
  <si>
    <t>Total allocated to pipeline</t>
  </si>
  <si>
    <t>Construction date</t>
  </si>
  <si>
    <t>Asset useful life</t>
  </si>
  <si>
    <t>Total capitalised pipeline construction costs</t>
  </si>
  <si>
    <t>Closing city gates, supply regulators and valve stations carrying value</t>
  </si>
  <si>
    <t>Closing SCADA carrying value</t>
  </si>
  <si>
    <t>Land and easements</t>
  </si>
  <si>
    <t>Closing land and easements carrying value</t>
  </si>
  <si>
    <t>Other non-depreciable pipeline assets</t>
  </si>
  <si>
    <t>Estimated residual value</t>
  </si>
  <si>
    <t>Asset impairment</t>
  </si>
  <si>
    <t>Impairment date</t>
  </si>
  <si>
    <t>Basis for impairment</t>
  </si>
  <si>
    <t>Reporting period start date:</t>
  </si>
  <si>
    <t>Reporting period end date:</t>
  </si>
  <si>
    <t>Shared assets</t>
  </si>
  <si>
    <t>Return on capital</t>
  </si>
  <si>
    <t>Total Return of Capital</t>
  </si>
  <si>
    <t>Reversal date</t>
  </si>
  <si>
    <t>Basis for Reversal</t>
  </si>
  <si>
    <t>Description (list each individual shared asset category greater than 5%)</t>
  </si>
  <si>
    <t>Category of shared assets</t>
  </si>
  <si>
    <t>Total amount</t>
  </si>
  <si>
    <t>Description of works</t>
  </si>
  <si>
    <t>Date recognised</t>
  </si>
  <si>
    <t xml:space="preserve">Year ending </t>
  </si>
  <si>
    <t>$ nominal</t>
  </si>
  <si>
    <t>Table 1.1: Pipeline details</t>
  </si>
  <si>
    <t>Table 1.2: Pipeline services provided</t>
  </si>
  <si>
    <t xml:space="preserve">Description </t>
  </si>
  <si>
    <t>(list each individual revenue item)</t>
  </si>
  <si>
    <t>Indirect revenue</t>
  </si>
  <si>
    <t xml:space="preserve"> (list each individual cost)</t>
  </si>
  <si>
    <t>Return of capital</t>
  </si>
  <si>
    <t>Recovered capital method total asset value</t>
  </si>
  <si>
    <t>Drag and drop columns if required</t>
  </si>
  <si>
    <t>Impairment amount $ nominal</t>
  </si>
  <si>
    <t>Prior Impairment amount 
$ nominal</t>
  </si>
  <si>
    <t>Reversal amount
$nominal</t>
  </si>
  <si>
    <t>Expenditure ($ nominal)</t>
  </si>
  <si>
    <t xml:space="preserve">insert asset description </t>
  </si>
  <si>
    <t>Service provider:</t>
  </si>
  <si>
    <t>Pipeline name:</t>
  </si>
  <si>
    <t>Indirect revenue excluding related parties</t>
  </si>
  <si>
    <t>Table 4.2: Pipeline details</t>
  </si>
  <si>
    <t>Reporting period</t>
  </si>
  <si>
    <t>Previous reporting period</t>
  </si>
  <si>
    <t>Other depreciable pipeline assets</t>
  </si>
  <si>
    <t>Closing other depreciable pipeline assets carrying value</t>
  </si>
  <si>
    <t>Stand-alone compression services</t>
  </si>
  <si>
    <t>Date</t>
  </si>
  <si>
    <t>AER amendment#</t>
  </si>
  <si>
    <t>Worksheet</t>
  </si>
  <si>
    <t>Table</t>
  </si>
  <si>
    <t>Change</t>
  </si>
  <si>
    <t>Reason</t>
  </si>
  <si>
    <t>2. Revenue and expenses</t>
  </si>
  <si>
    <t>Prior years' accumulated depreciation</t>
  </si>
  <si>
    <t>Cell</t>
  </si>
  <si>
    <t>Closing leased asset carrying value</t>
  </si>
  <si>
    <t>Cover</t>
  </si>
  <si>
    <t>Shared leased assets</t>
  </si>
  <si>
    <t>Leased Asset</t>
  </si>
  <si>
    <t>Leased Asset Interest/Financing Charge</t>
  </si>
  <si>
    <t xml:space="preserve">Total assets </t>
  </si>
  <si>
    <t>All numbers are expressed in $nominal</t>
  </si>
  <si>
    <t>Indirect operating expenses</t>
  </si>
  <si>
    <t>Impairment losses (nature of the impairment loss)</t>
  </si>
  <si>
    <r>
      <t xml:space="preserve">Current year </t>
    </r>
    <r>
      <rPr>
        <b/>
        <sz val="10"/>
        <color indexed="9"/>
        <rFont val="Arial"/>
        <family val="2"/>
      </rPr>
      <t>depreciation</t>
    </r>
  </si>
  <si>
    <t>Shared property, plant and equipment</t>
  </si>
  <si>
    <t>Government contribution revenue</t>
  </si>
  <si>
    <t>Opening asset value</t>
  </si>
  <si>
    <t>Capitalised maintenance or improvements</t>
  </si>
  <si>
    <t>Depreciation</t>
  </si>
  <si>
    <t>Closing pipelines carrying value</t>
  </si>
  <si>
    <t xml:space="preserve">Additions </t>
  </si>
  <si>
    <t>Closing metering carrying value</t>
  </si>
  <si>
    <t>Shared supporting assets allocated</t>
  </si>
  <si>
    <t xml:space="preserve">Total shared supporting assets allocated </t>
  </si>
  <si>
    <t>Closing leased assets carrying value</t>
  </si>
  <si>
    <t>Closing shared property, plant and equipment carrying value</t>
  </si>
  <si>
    <t>Disposals or early termination (at cost)</t>
  </si>
  <si>
    <t>Has any information in this template been amended since last published within this current reporting period?</t>
  </si>
  <si>
    <t>Summary</t>
  </si>
  <si>
    <t>Pipeline assets cost base</t>
  </si>
  <si>
    <t>Shared assets cost base</t>
  </si>
  <si>
    <r>
      <t>Other</t>
    </r>
    <r>
      <rPr>
        <b/>
        <sz val="10"/>
        <color indexed="10"/>
        <rFont val="Arial"/>
        <family val="2"/>
      </rPr>
      <t xml:space="preserve"> </t>
    </r>
    <r>
      <rPr>
        <b/>
        <sz val="10"/>
        <color indexed="51"/>
        <rFont val="Arial"/>
        <family val="2"/>
      </rPr>
      <t>assets</t>
    </r>
  </si>
  <si>
    <t>For information</t>
  </si>
  <si>
    <t>Rate of return (WACC)</t>
  </si>
  <si>
    <t>other service (insert description)</t>
  </si>
  <si>
    <t>Reported information is current as at:</t>
  </si>
  <si>
    <t>Current year depreciation</t>
  </si>
  <si>
    <t>1. Pipeline information</t>
  </si>
  <si>
    <t>Closing odorant plants carrying value</t>
  </si>
  <si>
    <t>Construction cost or acquisition cost (where allowed) apportioned</t>
  </si>
  <si>
    <t xml:space="preserve">Publication date of this financial report: </t>
  </si>
  <si>
    <t>Type of regulated pipeline:</t>
  </si>
  <si>
    <t>Acquisition date (provide a range)</t>
  </si>
  <si>
    <t>Indirect revenue from related parties</t>
  </si>
  <si>
    <t>Description of the matter</t>
  </si>
  <si>
    <t>Proposed expenditure (if available, required for publicly announced expansions)</t>
  </si>
  <si>
    <t>Total proposed expenditure</t>
  </si>
  <si>
    <t>GJ/day</t>
  </si>
  <si>
    <t>Historical demand</t>
  </si>
  <si>
    <t>Publicly available link on Gas Bulletin Board</t>
  </si>
  <si>
    <t>Description of the information</t>
  </si>
  <si>
    <t>For information required to be published on the Gas Bulletin Board, please provide a publicly available link on their website to the relevant part of the Gas Bulletin Board.</t>
  </si>
  <si>
    <t>% Cost adjustment for accelerated depreciation (if applicable)</t>
  </si>
  <si>
    <t>Adjusted cost base</t>
  </si>
  <si>
    <t>Total amounts allocated to pipeline</t>
  </si>
  <si>
    <t>28. Estimated remaining direct asset lives</t>
  </si>
  <si>
    <t>Estimated one-year direct asset depreciation</t>
  </si>
  <si>
    <t>Estimated remaining asset life</t>
  </si>
  <si>
    <t>Revenue and expenses</t>
  </si>
  <si>
    <t>CONTENTS</t>
  </si>
  <si>
    <t>Revenue contributions</t>
  </si>
  <si>
    <t>Depreciation amortisation</t>
  </si>
  <si>
    <t>SUMMARY</t>
  </si>
  <si>
    <t>Price benchmarks</t>
  </si>
  <si>
    <t>2. REVENUE AND EXPENSES</t>
  </si>
  <si>
    <t>1. PIPELINE INFORMATION</t>
  </si>
  <si>
    <t>4.1 Pipelines capex</t>
  </si>
  <si>
    <t>Utilised capacity</t>
  </si>
  <si>
    <t>Available capacity-total</t>
  </si>
  <si>
    <t>Available capacity-firm</t>
  </si>
  <si>
    <t>Available contracted capacity</t>
  </si>
  <si>
    <t>Contracted firm capacity-storage</t>
  </si>
  <si>
    <t>Contracted firm capacity-transportation</t>
  </si>
  <si>
    <t>TJ/day</t>
  </si>
  <si>
    <t>Current reporting period</t>
  </si>
  <si>
    <t>Table 5.1: Historical demand information</t>
  </si>
  <si>
    <t>Table 5.3: Daily demand</t>
  </si>
  <si>
    <t>Total expenditure</t>
  </si>
  <si>
    <t xml:space="preserve">2.3 Revenue contributions </t>
  </si>
  <si>
    <t>2.4 Indirect revenue</t>
  </si>
  <si>
    <t>Fixed operating costs</t>
  </si>
  <si>
    <t>Low</t>
  </si>
  <si>
    <t>High</t>
  </si>
  <si>
    <t>2 Fixed operating costs</t>
  </si>
  <si>
    <t>Return on capital &amp; Tax</t>
  </si>
  <si>
    <t>Average regulatory return on debt</t>
  </si>
  <si>
    <t>Gearing</t>
  </si>
  <si>
    <t>Statutory tax rate</t>
  </si>
  <si>
    <t>Gamma</t>
  </si>
  <si>
    <t>30-31. Depreciation on (total: direct and shared/direct) assets per unit of capacity</t>
  </si>
  <si>
    <t>34. Estimation of taxes</t>
  </si>
  <si>
    <t>Pipeline rate of return</t>
  </si>
  <si>
    <t>Post-tax return on equity</t>
  </si>
  <si>
    <t>Estimated pretax return on equity</t>
  </si>
  <si>
    <t>Tax as a % of equity</t>
  </si>
  <si>
    <t>32. Estimated RCM depreciation per unit of capacity</t>
  </si>
  <si>
    <t>Tax as a % of assets</t>
  </si>
  <si>
    <t>Closing asset value based on Table 4.1</t>
  </si>
  <si>
    <t>Pre-tax rate of return</t>
  </si>
  <si>
    <t>Estimated yearly depreciation</t>
  </si>
  <si>
    <t>Tax estimate</t>
  </si>
  <si>
    <t>Allocation to pipeline service</t>
  </si>
  <si>
    <t>%</t>
  </si>
  <si>
    <t>Capital contributions</t>
  </si>
  <si>
    <t>Total capital contributions</t>
  </si>
  <si>
    <t>Total indirect revenue</t>
  </si>
  <si>
    <t>Total depreciation</t>
  </si>
  <si>
    <t>Total net revenue</t>
  </si>
  <si>
    <t>Average regulatory rate of return</t>
  </si>
  <si>
    <t>Commission date (provide a range)</t>
  </si>
  <si>
    <t>Direct revenue (excl. capital contributions)</t>
  </si>
  <si>
    <t>Total direct revenue (excl. capital contributions)</t>
  </si>
  <si>
    <t>Expenses</t>
  </si>
  <si>
    <t>Total Expenses</t>
  </si>
  <si>
    <t>Direct expenses</t>
  </si>
  <si>
    <t>Other direct expenses</t>
  </si>
  <si>
    <t>Shared expenses</t>
  </si>
  <si>
    <t>Employee expenses</t>
  </si>
  <si>
    <t>Total expenses</t>
  </si>
  <si>
    <t>Other shared expenses</t>
  </si>
  <si>
    <t>Direct expenses (excl. depreciation)</t>
  </si>
  <si>
    <t>Total direct expenses (excl. depreciation)</t>
  </si>
  <si>
    <t>Shared expenses allocated (excl. depreciation)</t>
  </si>
  <si>
    <t>Total shared expenses (excl. depreciation)</t>
  </si>
  <si>
    <t>Shared expenses excluding related parties</t>
  </si>
  <si>
    <t>Shared expenses paid to related parties</t>
  </si>
  <si>
    <t>Other indirect revenue</t>
  </si>
  <si>
    <t>Table 2.2.1:  Revenue by service</t>
  </si>
  <si>
    <t>Table 2.2.2:  Expenses by service</t>
  </si>
  <si>
    <t>Table 2.3.1: Customer contributions received</t>
  </si>
  <si>
    <t>Table 2.3.2: Government contributions received</t>
  </si>
  <si>
    <t>Table 2.4.1: Indirect revenue allocation</t>
  </si>
  <si>
    <t>Table 2.5.1: Shared expense allocation</t>
  </si>
  <si>
    <t>Shared expenses allocated</t>
  </si>
  <si>
    <t>Total costs less depreciation in Table 2.1.1</t>
  </si>
  <si>
    <t>Direct costs less depreciation in Table 2.1.1</t>
  </si>
  <si>
    <t>Service provider inputs</t>
  </si>
  <si>
    <t>AER inputs</t>
  </si>
  <si>
    <t>29. Three estimates of opex per unit of capacity</t>
  </si>
  <si>
    <t>Total asset depreciation in Table 2.1.1</t>
  </si>
  <si>
    <t>Direct asset depreciation in Table 2.1.1</t>
  </si>
  <si>
    <t>2.5 Shared expenses</t>
  </si>
  <si>
    <t>5. HISTORICAL DEMAND</t>
  </si>
  <si>
    <t>35. Based on the inferred rates of return under Depreciated book value method</t>
  </si>
  <si>
    <t>6.1 Inputs</t>
  </si>
  <si>
    <t>6.3 Elements calculated</t>
  </si>
  <si>
    <t>6.4 Calculation process</t>
  </si>
  <si>
    <t>Table 2.1:  Statement of pipeline revenue and expenses by service</t>
  </si>
  <si>
    <t>Grey = Not applicable/No inputs required</t>
  </si>
  <si>
    <t>Pipeline length (kilometres)</t>
  </si>
  <si>
    <t>Direct revenue by pipeline</t>
  </si>
  <si>
    <t>Total direct revenue by pipeline</t>
  </si>
  <si>
    <t>Total indirect revenue by pipeline</t>
  </si>
  <si>
    <t>Total revenue by pipeline</t>
  </si>
  <si>
    <t>Total direct expenses by pipeline</t>
  </si>
  <si>
    <t>Indirect revenue allocated to pipeline</t>
  </si>
  <si>
    <t>Direct expenses by pipeline</t>
  </si>
  <si>
    <t>Shared expenses by pipeline</t>
  </si>
  <si>
    <t>Total shared expenses allocated to pipeline</t>
  </si>
  <si>
    <t>Total expenses by pipeline</t>
  </si>
  <si>
    <t>Please ensure allocation methodologies are explained in sufficient detail in the Basis of Preparation as required under the Guideline.</t>
  </si>
  <si>
    <t>Pricing template</t>
  </si>
  <si>
    <t>Part 10 Financial Reporting Template</t>
  </si>
  <si>
    <t>Part 10 Financial Reporting</t>
  </si>
  <si>
    <t>Asset value - Recovered Capital Method (RCM)</t>
  </si>
  <si>
    <t>6. PRICING TEMPLATE</t>
  </si>
  <si>
    <t>Pipeline capital expenditure</t>
  </si>
  <si>
    <t>All dollar amounts are to be unrounded, and in nominal terms.</t>
  </si>
  <si>
    <t>Basis of Preparation ID</t>
  </si>
  <si>
    <t>Basis of preparation ID</t>
  </si>
  <si>
    <t>Recovered capital method  (Table 4.1)</t>
  </si>
  <si>
    <t>Return on assets</t>
  </si>
  <si>
    <t>Other</t>
  </si>
  <si>
    <t>2.1 Profit &amp; Loss by component</t>
  </si>
  <si>
    <t>3 Return on capital &amp; Tax</t>
  </si>
  <si>
    <t>3 Return of capital</t>
  </si>
  <si>
    <t>6.2 Pricing benchmarks</t>
  </si>
  <si>
    <t>Table 2.1.1:  Statement of pipeline revenue and expenses by component</t>
  </si>
  <si>
    <t>Measurement unit</t>
  </si>
  <si>
    <t>Fixed operating costs per unit</t>
  </si>
  <si>
    <t>Return of capital per unit</t>
  </si>
  <si>
    <t>Return on capital &amp; Tax per unit</t>
  </si>
  <si>
    <t>Total cost per unit</t>
  </si>
  <si>
    <t>$/GJ/day of Pipeline MDQ</t>
  </si>
  <si>
    <t>$/GJ of MDQ traded</t>
  </si>
  <si>
    <t>$/GJ traded</t>
  </si>
  <si>
    <t>Pricing benchmarks summary</t>
  </si>
  <si>
    <t>Data visualisation</t>
  </si>
  <si>
    <t>Financial summary</t>
  </si>
  <si>
    <t>Revenue &amp; Expense allocation to pipeline services</t>
  </si>
  <si>
    <t>Orange = Input cells</t>
  </si>
  <si>
    <t>Light Blue / Dark Blue = AER instructions / headings</t>
  </si>
  <si>
    <t>Basis of preparation document is to be uploaded alongside this financial template, providing assumptions, methodologies, and other relevant information.</t>
  </si>
  <si>
    <t>Total costs less depreciation in Table 2.1.1 per capacity denominator</t>
  </si>
  <si>
    <t>Direct costs less depreciation in Table 2.1.1 per capacity denominator</t>
  </si>
  <si>
    <t>Total asset depreciation per capacity denominator</t>
  </si>
  <si>
    <t>Direct asset depreciation per capacity denominator</t>
  </si>
  <si>
    <t>Depreciation of RCM asset value per capacity denominator</t>
  </si>
  <si>
    <t>Return on capital per capacity denominator</t>
  </si>
  <si>
    <t>Tax estimate per capacity denominator</t>
  </si>
  <si>
    <t>Data validation lists</t>
  </si>
  <si>
    <t xml:space="preserve">Pipelines </t>
  </si>
  <si>
    <t xml:space="preserve">Compressors </t>
  </si>
  <si>
    <t xml:space="preserve">City Gates, supply regulators and valve stations </t>
  </si>
  <si>
    <t xml:space="preserve">Metering </t>
  </si>
  <si>
    <t xml:space="preserve">Odorant plants </t>
  </si>
  <si>
    <t xml:space="preserve">SCADA (Communications) </t>
  </si>
  <si>
    <t xml:space="preserve">Buildings </t>
  </si>
  <si>
    <t xml:space="preserve">Leased assets </t>
  </si>
  <si>
    <t>Inventories</t>
  </si>
  <si>
    <t>Other assets</t>
  </si>
  <si>
    <t>Capacity denominator (report period) TJ</t>
  </si>
  <si>
    <t>Table 4.1.1: Capital expenditure greater than 5% of construction cost</t>
  </si>
  <si>
    <t>Table 4.1.2: Historical expansions and extensions</t>
  </si>
  <si>
    <t>Please report all historical expansions/extensions in table 4.1.2, regardless of value.
Please ensure all extensions/expansions in the next 12 months that have advanced to the "Final Investment Decision" stage are comprehensively reported in table 4.1.3.</t>
  </si>
  <si>
    <t>Closing other non-depreciable pipeline assets carrying value</t>
  </si>
  <si>
    <t>Pipeline nameplate capacity</t>
  </si>
  <si>
    <t>Depreciation (excl. impairment)</t>
  </si>
  <si>
    <t>Impairment losses</t>
  </si>
  <si>
    <t>Depreciation (Amortisation) (excl. impairment)</t>
  </si>
  <si>
    <t>Table 4.1.3: Planned expansions and extensions of capacity</t>
  </si>
  <si>
    <t>Facility's proposed nameplate rating, or the estimated likely range during affected period</t>
  </si>
  <si>
    <t>Proposed commissioning date, or a range of dates</t>
  </si>
  <si>
    <t>Expected end date, or a range of dates</t>
  </si>
  <si>
    <t>Firm forward haul transportation service</t>
  </si>
  <si>
    <t>Backhaul services</t>
  </si>
  <si>
    <t>Interruptible or as available transportation service</t>
  </si>
  <si>
    <t>Firm stand-alone compression service</t>
  </si>
  <si>
    <t>Interruptible or as available stand-alone compression service</t>
  </si>
  <si>
    <t>Park services</t>
  </si>
  <si>
    <t>Park and loan services</t>
  </si>
  <si>
    <t>Capacity trading service</t>
  </si>
  <si>
    <t>In pipe trading service</t>
  </si>
  <si>
    <t>Profit &amp; Loss statement by component</t>
  </si>
  <si>
    <t>Table 3.1.1: Pipeline assets (DBVM)</t>
  </si>
  <si>
    <t>Table 3.2.1: Pipeline assets (RAB)</t>
  </si>
  <si>
    <t>Contracted MDQ</t>
  </si>
  <si>
    <t>Table 5.2: Demand by pipeline service</t>
  </si>
  <si>
    <t>Opening Cost Base</t>
  </si>
  <si>
    <t>Current year additions</t>
  </si>
  <si>
    <t>Current year disposals or Early termination</t>
  </si>
  <si>
    <t>Modify cost adjustment column if accelerated depreciation is applicable.</t>
  </si>
  <si>
    <t>$</t>
  </si>
  <si>
    <t>Date RAB estabilished</t>
  </si>
  <si>
    <t xml:space="preserve"> Pipelines </t>
  </si>
  <si>
    <t xml:space="preserve"> Nominal Opening Regulatory Asset Base  </t>
  </si>
  <si>
    <t xml:space="preserve"> Nominal Capex </t>
  </si>
  <si>
    <t xml:space="preserve"> Total capitalised pipeline construction costs </t>
  </si>
  <si>
    <t xml:space="preserve"> Less Asset disposal (at cost) </t>
  </si>
  <si>
    <t xml:space="preserve"> Less Nominal Actual Regulatory Depreciation  </t>
  </si>
  <si>
    <t xml:space="preserve"> Closing pipeline carrying value </t>
  </si>
  <si>
    <t xml:space="preserve"> Compressors </t>
  </si>
  <si>
    <t xml:space="preserve"> Additions and improvements capitalised </t>
  </si>
  <si>
    <t xml:space="preserve"> Less Depreciation of compressors </t>
  </si>
  <si>
    <t xml:space="preserve"> Less Disposal (at cost) </t>
  </si>
  <si>
    <t xml:space="preserve"> Closing compressors carrying value </t>
  </si>
  <si>
    <t xml:space="preserve"> City Gates, supply regulators and valve stations </t>
  </si>
  <si>
    <t xml:space="preserve"> Improvements capitalised </t>
  </si>
  <si>
    <t xml:space="preserve"> Less Depreciation of city gates, supply regulators and valve stations </t>
  </si>
  <si>
    <t xml:space="preserve"> Closing city gates, supply regulators and valve stations carrying value </t>
  </si>
  <si>
    <t xml:space="preserve"> Metering </t>
  </si>
  <si>
    <t xml:space="preserve"> Less Depreciation of metering </t>
  </si>
  <si>
    <t xml:space="preserve"> Closing Metering </t>
  </si>
  <si>
    <t xml:space="preserve"> Less Depreciation of odourant plants </t>
  </si>
  <si>
    <t xml:space="preserve"> Closing odourant plants carrying value </t>
  </si>
  <si>
    <t xml:space="preserve"> SCADA (Communications) </t>
  </si>
  <si>
    <t xml:space="preserve"> Less Depreciation of SCADA </t>
  </si>
  <si>
    <t xml:space="preserve"> Closing SCADA carrying value </t>
  </si>
  <si>
    <t xml:space="preserve"> Buildings </t>
  </si>
  <si>
    <t xml:space="preserve"> Less Depreciation of buildings </t>
  </si>
  <si>
    <t xml:space="preserve"> Closing buildings carrying value </t>
  </si>
  <si>
    <t xml:space="preserve"> Land and easements </t>
  </si>
  <si>
    <t xml:space="preserve"> Less Depreciation of land and easement </t>
  </si>
  <si>
    <t xml:space="preserve"> Closing land and easements carrying value </t>
  </si>
  <si>
    <t xml:space="preserve"> Other depreciable pipeline assets </t>
  </si>
  <si>
    <t xml:space="preserve"> Less Depreciation/amortisation </t>
  </si>
  <si>
    <t xml:space="preserve"> Closing other depreciable pipeline assets carrying value </t>
  </si>
  <si>
    <t xml:space="preserve"> Leased pipeline assets </t>
  </si>
  <si>
    <t xml:space="preserve"> Closing leased pipeline assets carrying value </t>
  </si>
  <si>
    <t xml:space="preserve"> Total pipeline assets </t>
  </si>
  <si>
    <t xml:space="preserve"> Less Shared property, plant and equipment depreciation </t>
  </si>
  <si>
    <t xml:space="preserve"> Less disposals of shared supporting assets </t>
  </si>
  <si>
    <t xml:space="preserve"> Closing shared property, plant and equipment </t>
  </si>
  <si>
    <t xml:space="preserve"> Shared leased assets </t>
  </si>
  <si>
    <t xml:space="preserve"> Closing shared leased assets carrying value </t>
  </si>
  <si>
    <t xml:space="preserve"> Opening other assets </t>
  </si>
  <si>
    <t xml:space="preserve"> Change in other assets </t>
  </si>
  <si>
    <t xml:space="preserve"> Closing other assets </t>
  </si>
  <si>
    <t xml:space="preserve"> Total shared supporting assets allocated </t>
  </si>
  <si>
    <t xml:space="preserve"> TOTAL ASSETS </t>
  </si>
  <si>
    <t xml:space="preserve"> Odorant plants </t>
  </si>
  <si>
    <t>Depreciable direct assets in Table 3.1.1 or 3.2.1</t>
  </si>
  <si>
    <t xml:space="preserve">Depreciated book value method (Table 3.1.1 for Non-scheme pipelines) </t>
  </si>
  <si>
    <t xml:space="preserve">Regulatory Asset Base (Table 3.2.1 for Scheme pipelines) </t>
  </si>
  <si>
    <t>Table 3.3.1: Asset useful life</t>
  </si>
  <si>
    <t>Table 3.4.1: Assets impaired</t>
  </si>
  <si>
    <t>Table 3.4.2: Asset impairment reversals</t>
  </si>
  <si>
    <t>Table 3.5.1: Pipeline assets at cost</t>
  </si>
  <si>
    <t>Table 3.6.1: Shared supporting asset allocation</t>
  </si>
  <si>
    <t>Table 3.5.2: Shared assets at cost</t>
  </si>
  <si>
    <t>Table 4.1: Pipeline assets (RCM)</t>
  </si>
  <si>
    <t>3.3 Asset useful life</t>
  </si>
  <si>
    <t>3.4 Asset impairment</t>
  </si>
  <si>
    <t>3.5 Depreciation amortisation</t>
  </si>
  <si>
    <t>3.6 Shared supporting assets</t>
  </si>
  <si>
    <t>3.1 ASSET VALUE - DEPRICIATED BOOK VALUE METHOD (DBVM)</t>
  </si>
  <si>
    <t>4. ASSET VALUE - RECOVERED CAPITAL METHOD (RCM)</t>
  </si>
  <si>
    <t>3.2 ASSET VALUE - REGULATORY ASSET BASE (RAB)</t>
  </si>
  <si>
    <t>Asset value - Depreciated Book Value Method (DBVM) (For Non-scheme pipeline only)</t>
  </si>
  <si>
    <t>Asset value - Regulatory Asset Base (RAB) (For Scheme pipeline only)</t>
  </si>
  <si>
    <t>Please ensure allocation methodologies are explained in sufficient detail within the Basis of Preparation as required under the Guideline.</t>
  </si>
  <si>
    <t>Current year capitalised maintenance or improvements</t>
  </si>
  <si>
    <t>Asset allocation to pipeline service</t>
  </si>
  <si>
    <t>Please input the percentages of asset value allocated to each services, and the indexes provided by AER. Please ensure to include any necessary explanation in the Basis of Preparation of the allocation methodologies, or if alternative index is used.
The cost-based pricing benchmarks is calculated based on three elements. The basic logics of the methodology would be explained in the handbook.</t>
  </si>
  <si>
    <t>Backhaul service</t>
  </si>
  <si>
    <t>Park service</t>
  </si>
  <si>
    <t>Allocation to pipeline services</t>
  </si>
  <si>
    <t>2.2 Allocation to pipeline services</t>
  </si>
  <si>
    <t xml:space="preserve"> -</t>
  </si>
  <si>
    <t>Residual Value</t>
  </si>
  <si>
    <t>This template is for a non-indexed asset value derived from a regulator-determined initial regulatory asset base and capital expenditure with straight-line depreciation, for scheme pipelines.</t>
  </si>
  <si>
    <t>All numbers are expressed in $nominal.</t>
  </si>
  <si>
    <t xml:space="preserve"> Shared supporting assets (RAB)</t>
  </si>
  <si>
    <t>Depreciable direct assets in Table 3.1.1 or 3.2.1 (Including Land and easements)</t>
  </si>
  <si>
    <t>Profit and loss (Table 2.1.1)</t>
  </si>
  <si>
    <t>Value as at current reporting period</t>
  </si>
  <si>
    <t>36. Based on the average regulatory rate of return</t>
  </si>
  <si>
    <t>Based on the inferred rates of return under Depreciated book value method</t>
  </si>
  <si>
    <t>Based on the average regulatory rate of return</t>
  </si>
  <si>
    <t>Earnings before interest and tax (EBIT)</t>
  </si>
  <si>
    <t>Earnings before interest and tax (EBIT) by service</t>
  </si>
  <si>
    <t>This template is for a non-indexed asset value based on original construction costs and “depreciation” based on a notional cash-flow based “return of capital” approach, for non-scheme pipelines.</t>
  </si>
  <si>
    <t>Initial acquisition costs</t>
  </si>
  <si>
    <t>Data validation lists_1</t>
  </si>
  <si>
    <t xml:space="preserve">Initial construction costs </t>
  </si>
  <si>
    <t>Closing Regulatory Asset Base value</t>
  </si>
  <si>
    <t>Table 3.1.2:  Initial costs of pipeline assets (DBVM)</t>
  </si>
  <si>
    <t xml:space="preserve">This template is for a non-indexed asset value based on the Australian Accounting Standards, featuring allowances for acquisition costs and asset impairments, for non-scheme pipelines.
</t>
  </si>
  <si>
    <t>Construction year</t>
  </si>
  <si>
    <t>Acquisition year</t>
  </si>
  <si>
    <t>Year of closing RAB set</t>
  </si>
  <si>
    <t>C16</t>
  </si>
  <si>
    <t>Column C, D, E, F, I, J, K</t>
  </si>
  <si>
    <t>change the format of cell C16 from “date” to “number”</t>
  </si>
  <si>
    <t>this cell currently displays # symbols instead of a number</t>
  </si>
  <si>
    <t>update the formula</t>
  </si>
  <si>
    <t>Table 2.1: Statement of pipeline revenue and expenses by service</t>
  </si>
  <si>
    <t>the restricted cell space precludes the complete display of service provider name</t>
  </si>
  <si>
    <t>D12-D21, F12-F21</t>
  </si>
  <si>
    <t xml:space="preserve">#N/A in the cells cause the sum formula in cells D22/F22 to return an error </t>
  </si>
  <si>
    <t>adjust column width to allow more characters</t>
  </si>
  <si>
    <t>APA Pipelines Investments (BWP) Pty Limited</t>
  </si>
  <si>
    <t>86 091 258 418</t>
  </si>
  <si>
    <t>Queensland</t>
  </si>
  <si>
    <t>Transmission</t>
  </si>
  <si>
    <t>Berwyndale Wallumbilla Pipeline</t>
  </si>
  <si>
    <t>Non-scheme pipeline</t>
  </si>
  <si>
    <t>No</t>
  </si>
  <si>
    <t>N/A</t>
  </si>
  <si>
    <t>Sydney</t>
  </si>
  <si>
    <t>NSW</t>
  </si>
  <si>
    <t>PO Box R41</t>
  </si>
  <si>
    <t>Royal Exchange</t>
  </si>
  <si>
    <t>Andrew Nairn (General Manager Investor Relations)</t>
  </si>
  <si>
    <t>+61 (03) 8416 2887</t>
  </si>
  <si>
    <t>APARegReporting@apa.com.au</t>
  </si>
  <si>
    <t>C065</t>
  </si>
  <si>
    <t>C315</t>
  </si>
  <si>
    <t>1701:PROPERTY, PLANT AND EQUIPMENT - COST (CONTRA)</t>
  </si>
  <si>
    <t>Company ID</t>
  </si>
  <si>
    <t>Asset Class</t>
  </si>
  <si>
    <t>Disposals</t>
  </si>
  <si>
    <t>Buildings</t>
  </si>
  <si>
    <t>City Gates, supply regulators and valve stations</t>
  </si>
  <si>
    <t>Metering</t>
  </si>
  <si>
    <t>Pipelines</t>
  </si>
  <si>
    <t>SCADA (Communications)</t>
  </si>
  <si>
    <t>Information Technology</t>
  </si>
  <si>
    <t>For Comparative purposes</t>
  </si>
  <si>
    <t>Property, Plant and Equipment - 30 June 2024</t>
  </si>
  <si>
    <t>Column AF</t>
  </si>
  <si>
    <t>ColumnL</t>
  </si>
  <si>
    <t>Opening cost</t>
  </si>
  <si>
    <t>Additions - adj</t>
  </si>
  <si>
    <t>Closing cost</t>
  </si>
  <si>
    <t>Opening Accumulated Depreciation</t>
  </si>
  <si>
    <t>Depreciation expense</t>
  </si>
  <si>
    <t>Depreciation exp - disposal</t>
  </si>
  <si>
    <t>Closing Accumulated Depreciation</t>
  </si>
  <si>
    <t>Closing WDV</t>
  </si>
  <si>
    <t>Reg-Buildings-Buildings</t>
  </si>
  <si>
    <t>Reg-City Gates, supply regulators and valve stations-City Gates, supply regulators and valve stations</t>
  </si>
  <si>
    <t>Reg-IT systems-Other depreciable pipeline assets</t>
  </si>
  <si>
    <t>Reg-Land and easements-Land and easements</t>
  </si>
  <si>
    <t>Reg-Metering-Metering</t>
  </si>
  <si>
    <t>Reg-Pipelines-Other depreciable pipeline assets</t>
  </si>
  <si>
    <t>Reg-Pipelines-Pipelines</t>
  </si>
  <si>
    <t>Reg-SCADA (Communications)-SCADA (Communications)</t>
  </si>
  <si>
    <t>(blank)</t>
  </si>
  <si>
    <t>Closing balance</t>
  </si>
  <si>
    <t>Part 10 Classification</t>
  </si>
  <si>
    <t xml:space="preserve">Berwyndale Wallumbilla Pipeline (BWP) </t>
  </si>
  <si>
    <t>Check to Depreciation - BWP FY25\ 1.2 Summarised FARs</t>
  </si>
  <si>
    <t>Check Pipelines  TOTAL</t>
  </si>
  <si>
    <t>Other depreciable pipeline assets TOTAL</t>
  </si>
  <si>
    <t>Shared corporate operating expense</t>
  </si>
  <si>
    <t>Shared lease asset interest expense</t>
  </si>
  <si>
    <t>Shared lease asset depreciation</t>
  </si>
  <si>
    <t xml:space="preserve">Indefinite </t>
  </si>
  <si>
    <t>Various</t>
  </si>
  <si>
    <t>Yes</t>
  </si>
  <si>
    <t xml:space="preserve">Auction service </t>
  </si>
  <si>
    <t>https://aemo.com.au/energy-systems/gas/gas-bulletin-board-gbb/data-gbb/gas-flows</t>
  </si>
  <si>
    <t>Nameplate capacity</t>
  </si>
  <si>
    <t>2012</t>
  </si>
  <si>
    <t>Section 12</t>
  </si>
  <si>
    <t xml:space="preserve">Section 13 </t>
  </si>
  <si>
    <t>Section 15</t>
  </si>
  <si>
    <t>Section 17</t>
  </si>
  <si>
    <t>Section 19</t>
  </si>
  <si>
    <t>Section 21</t>
  </si>
  <si>
    <t>Section 22</t>
  </si>
  <si>
    <t>Section 23</t>
  </si>
  <si>
    <t>Section 24</t>
  </si>
  <si>
    <t>Section 25</t>
  </si>
  <si>
    <t>Section 11</t>
  </si>
  <si>
    <t>Section 16</t>
  </si>
  <si>
    <t>Level 10, 121 Castlereagh Street</t>
  </si>
  <si>
    <t>Weighted Average Statutory Accounting Useful life</t>
  </si>
  <si>
    <t>Section 21 &amp; Section 22</t>
  </si>
  <si>
    <t>Please refer to the Basis of Preparation Addendum</t>
  </si>
  <si>
    <t>This FY25 Part 10 template is published without an assurance report. Assurance over the "Historical Demand" will be provided as part of the FY26 assurance process and will be published within this reporting template on the APA website by 30 November 2026.</t>
  </si>
  <si>
    <t>Silver Springs Lateral Pipeline</t>
  </si>
  <si>
    <t>22/4/2010 to 30/6/2025</t>
  </si>
  <si>
    <t>1/11/2012 to 30/6/2025</t>
  </si>
  <si>
    <t>1/9/2015 to 30/6/2025</t>
  </si>
  <si>
    <t>1/1/2017 to 30/6/2025</t>
  </si>
  <si>
    <t>1/7/2019 to 30/6/2025</t>
  </si>
  <si>
    <t>276 TJ Eastern-haul
164 TJ Western-haul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</si>
</sst>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7">
    <numFmt numFmtId="41" formatCode="_-* #,##0_-;\-* #,##0_-;_-* &quot;-&quot;_-;_-@_-"/>
    <numFmt numFmtId="44" formatCode="_-&quot;$&quot;* #,##0.00_-;\-&quot;$&quot;* #,##0.00_-;_-&quot;$&quot;* &quot;-&quot;??_-;_-@_-"/>
    <numFmt numFmtId="43" formatCode="_-* #,##0.00_-;\-* #,##0.00_-;_-* &quot;-&quot;??_-;_-@_-"/>
    <numFmt numFmtId="164" formatCode="_(* #,##0_);_(* \(#,##0\);_(* &quot;-&quot;_);_(@_)"/>
    <numFmt numFmtId="165" formatCode="_(* #,##0_);_(* \(#,##0\);_(* &quot;-&quot;?_);_(@_)"/>
    <numFmt numFmtId="166" formatCode="0.0"/>
    <numFmt numFmtId="167" formatCode="0.0000"/>
    <numFmt numFmtId="168" formatCode="#,##0.0"/>
    <numFmt numFmtId="169" formatCode="_-* #,##0_-;\-* #,##0_-;_-* &quot;-&quot;??_-;_-@_-"/>
    <numFmt numFmtId="170" formatCode="d/mm/yyyy;@"/>
    <numFmt numFmtId="171" formatCode="_(* #,##0.0_);_(* \(#,##0.0\);_(* &quot;-&quot;_);_(@_)"/>
    <numFmt numFmtId="172" formatCode="_(* #,##0.00_);_(* \(#,##0.00\);_(* &quot;-&quot;_);_(@_)"/>
    <numFmt numFmtId="173" formatCode="_(* #,##0.000_);_(* \(#,##0.000\);_(* &quot;-&quot;_);_(@_)"/>
    <numFmt numFmtId="174" formatCode="_(* #,##0.0000_);_(* \(#,##0.0000\);_(* &quot;-&quot;_);_(@_)"/>
    <numFmt numFmtId="175" formatCode="_(* #,##0_);_(* \(#,##0\);_(* &quot;&quot;_);_(@_)"/>
    <numFmt numFmtId="176" formatCode="#,##0.00;\(#,##0.00\)"/>
    <numFmt numFmtId="177" formatCode="_-* #,##0.0_-;\-* #,##0.0_-;_-* &quot;-&quot;??_-;_-@_-"/>
  </numFmts>
  <fonts count="89" x14ac:knownFonts="1">
    <font>
      <sz val="10"/>
      <name val="Arial"/>
    </font>
    <font>
      <sz val="11"/>
      <color theme="1"/>
      <name val="Calibri"/>
      <family val="2"/>
      <scheme val="minor"/>
    </font>
    <font>
      <sz val="10"/>
      <name val="Arial"/>
      <family val="2"/>
    </font>
    <font>
      <b/>
      <sz val="16"/>
      <name val="Arial"/>
      <family val="2"/>
    </font>
    <font>
      <b/>
      <sz val="10"/>
      <name val="Arial"/>
      <family val="2"/>
    </font>
    <font>
      <b/>
      <sz val="12"/>
      <name val="Arial"/>
      <family val="2"/>
    </font>
    <font>
      <b/>
      <sz val="10"/>
      <color indexed="51"/>
      <name val="Arial"/>
      <family val="2"/>
    </font>
    <font>
      <sz val="10"/>
      <name val="Arial"/>
      <family val="2"/>
    </font>
    <font>
      <sz val="8"/>
      <name val="Arial"/>
      <family val="2"/>
    </font>
    <font>
      <sz val="10"/>
      <color indexed="9"/>
      <name val="Arial"/>
      <family val="2"/>
    </font>
    <font>
      <sz val="18"/>
      <name val="Arial"/>
      <family val="2"/>
    </font>
    <font>
      <sz val="18"/>
      <color indexed="62"/>
      <name val="Arial"/>
      <family val="2"/>
    </font>
    <font>
      <u/>
      <sz val="10"/>
      <color indexed="1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8"/>
      <name val="Arial"/>
      <family val="2"/>
    </font>
    <font>
      <b/>
      <sz val="16"/>
      <color indexed="8"/>
      <name val="Arial"/>
      <family val="2"/>
    </font>
    <font>
      <b/>
      <sz val="10"/>
      <color indexed="9"/>
      <name val="Arial"/>
      <family val="2"/>
    </font>
    <font>
      <b/>
      <sz val="10"/>
      <color indexed="8"/>
      <name val="Arial"/>
      <family val="2"/>
    </font>
    <font>
      <sz val="10"/>
      <color indexed="8"/>
      <name val="Arial"/>
      <family val="2"/>
    </font>
    <font>
      <sz val="10"/>
      <name val="Cambria"/>
      <family val="2"/>
    </font>
    <font>
      <sz val="10"/>
      <name val="Arial"/>
      <family val="2"/>
    </font>
    <font>
      <sz val="11"/>
      <name val="Arial"/>
      <family val="2"/>
    </font>
    <font>
      <b/>
      <i/>
      <sz val="10"/>
      <color indexed="9"/>
      <name val="Arial"/>
      <family val="2"/>
    </font>
    <font>
      <b/>
      <sz val="12"/>
      <color indexed="9"/>
      <name val="Arial"/>
      <family val="2"/>
    </font>
    <font>
      <sz val="9"/>
      <color indexed="81"/>
      <name val="Tahoma"/>
      <family val="2"/>
    </font>
    <font>
      <sz val="10"/>
      <name val="Arial"/>
      <family val="2"/>
    </font>
    <font>
      <b/>
      <sz val="10"/>
      <color indexed="10"/>
      <name val="Arial"/>
      <family val="2"/>
    </font>
    <font>
      <sz val="20"/>
      <name val="Arial"/>
      <family val="2"/>
    </font>
    <font>
      <sz val="20"/>
      <color indexed="18"/>
      <name val="Arial"/>
      <family val="2"/>
    </font>
    <font>
      <sz val="12"/>
      <name val="Arial"/>
      <family val="2"/>
    </font>
    <font>
      <sz val="12"/>
      <color indexed="9"/>
      <name val="Arial"/>
      <family val="2"/>
    </font>
    <font>
      <sz val="8"/>
      <name val="Malgun Gothic"/>
      <family val="2"/>
    </font>
    <font>
      <i/>
      <sz val="9"/>
      <color indexed="81"/>
      <name val="Tahoma"/>
      <family val="2"/>
    </font>
    <font>
      <sz val="10"/>
      <color indexed="81"/>
      <name val="Tahoma"/>
      <family val="2"/>
    </font>
    <font>
      <b/>
      <sz val="9"/>
      <name val="Arial"/>
      <family val="2"/>
    </font>
    <font>
      <sz val="9"/>
      <name val="Arial"/>
      <family val="2"/>
    </font>
    <font>
      <b/>
      <sz val="9"/>
      <name val="Calibri"/>
      <family val="2"/>
    </font>
    <font>
      <sz val="10"/>
      <color theme="1"/>
      <name val="Arial"/>
      <family val="2"/>
    </font>
    <font>
      <b/>
      <sz val="16"/>
      <color theme="0"/>
      <name val="Arial"/>
      <family val="2"/>
    </font>
    <font>
      <sz val="10"/>
      <name val="Cambria"/>
      <family val="2"/>
      <scheme val="major"/>
    </font>
    <font>
      <sz val="11"/>
      <color theme="1"/>
      <name val="Calibri"/>
      <family val="2"/>
      <scheme val="minor"/>
    </font>
    <font>
      <sz val="11"/>
      <color theme="1"/>
      <name val="Calibri"/>
      <family val="2"/>
    </font>
    <font>
      <sz val="10"/>
      <color theme="0"/>
      <name val="Arial"/>
      <family val="2"/>
    </font>
    <font>
      <b/>
      <i/>
      <sz val="10"/>
      <color theme="0"/>
      <name val="Arial"/>
      <family val="2"/>
    </font>
    <font>
      <b/>
      <sz val="10"/>
      <color theme="0"/>
      <name val="Arial"/>
      <family val="2"/>
    </font>
    <font>
      <sz val="10"/>
      <color rgb="FFFFFFFF"/>
      <name val="Arial"/>
      <family val="2"/>
    </font>
    <font>
      <b/>
      <sz val="20"/>
      <color theme="0"/>
      <name val="Arial"/>
      <family val="2"/>
    </font>
    <font>
      <sz val="20"/>
      <color theme="0"/>
      <name val="Arial"/>
      <family val="2"/>
    </font>
    <font>
      <sz val="20"/>
      <color rgb="FF17415D"/>
      <name val="Arial"/>
      <family val="2"/>
    </font>
    <font>
      <sz val="8"/>
      <color rgb="FF000000"/>
      <name val="Malgun Gothic"/>
      <family val="2"/>
    </font>
    <font>
      <sz val="11"/>
      <color rgb="FF1D1D1D"/>
      <name val="Arial"/>
      <family val="2"/>
    </font>
    <font>
      <b/>
      <sz val="10"/>
      <color theme="9"/>
      <name val="Arial"/>
      <family val="2"/>
    </font>
    <font>
      <sz val="10"/>
      <color rgb="FFFF0000"/>
      <name val="Arial"/>
      <family val="2"/>
    </font>
    <font>
      <i/>
      <sz val="12"/>
      <color theme="0"/>
      <name val="Arial"/>
      <family val="2"/>
    </font>
    <font>
      <b/>
      <sz val="12"/>
      <color theme="0"/>
      <name val="Arial"/>
      <family val="2"/>
    </font>
    <font>
      <b/>
      <sz val="12"/>
      <color rgb="FFFFFFFF"/>
      <name val="Arial"/>
      <family val="2"/>
    </font>
    <font>
      <sz val="28"/>
      <color rgb="FFFF0000"/>
      <name val="Arial"/>
      <family val="2"/>
    </font>
    <font>
      <sz val="10"/>
      <color rgb="FF000000"/>
      <name val="Arial"/>
      <family val="2"/>
    </font>
    <font>
      <b/>
      <sz val="10"/>
      <color rgb="FFFFFFFF"/>
      <name val="Arial"/>
      <family val="2"/>
    </font>
    <font>
      <i/>
      <sz val="10"/>
      <color rgb="FFDE2E21"/>
      <name val="Arial"/>
      <family val="2"/>
    </font>
    <font>
      <b/>
      <sz val="9"/>
      <color rgb="FFFFFFFF"/>
      <name val="Calibri"/>
      <family val="2"/>
    </font>
    <font>
      <i/>
      <sz val="9"/>
      <color rgb="FF000000"/>
      <name val="Calibri"/>
      <family val="2"/>
    </font>
    <font>
      <sz val="9"/>
      <color rgb="FF000000"/>
      <name val="Calibri"/>
      <family val="2"/>
    </font>
    <font>
      <b/>
      <sz val="9"/>
      <color rgb="FF000000"/>
      <name val="Calibri"/>
      <family val="2"/>
    </font>
    <font>
      <sz val="8"/>
      <color rgb="FF000000"/>
      <name val="Calibri"/>
      <family val="2"/>
    </font>
    <font>
      <sz val="12"/>
      <color rgb="FFFFFFFF"/>
      <name val="Arial"/>
      <family val="2"/>
    </font>
    <font>
      <b/>
      <sz val="20"/>
      <color rgb="FF17415D"/>
      <name val="Arial"/>
      <family val="2"/>
    </font>
    <font>
      <b/>
      <sz val="10"/>
      <color rgb="FFFFFFFF"/>
      <name val="Calibri"/>
      <family val="2"/>
      <scheme val="minor"/>
    </font>
    <font>
      <sz val="10"/>
      <color theme="1"/>
      <name val="Calibri"/>
      <family val="2"/>
      <scheme val="minor"/>
    </font>
    <font>
      <b/>
      <sz val="10"/>
      <color theme="1"/>
      <name val="Calibri"/>
      <family val="2"/>
      <scheme val="minor"/>
    </font>
    <font>
      <sz val="10"/>
      <color theme="1"/>
      <name val="Century Gothic"/>
      <family val="2"/>
    </font>
    <font>
      <u/>
      <sz val="11"/>
      <color theme="10"/>
      <name val="Calibri"/>
      <family val="2"/>
      <scheme val="minor"/>
    </font>
    <font>
      <sz val="9"/>
      <name val="Calibri"/>
      <family val="2"/>
    </font>
  </fonts>
  <fills count="50">
    <fill>
      <patternFill patternType="none"/>
    </fill>
    <fill>
      <patternFill patternType="gray125"/>
    </fill>
    <fill>
      <patternFill patternType="solid">
        <fgColor indexed="38"/>
      </patternFill>
    </fill>
    <fill>
      <patternFill patternType="solid">
        <fgColor indexed="38"/>
        <bgColor indexed="64"/>
      </patternFill>
    </fill>
    <fill>
      <patternFill patternType="solid">
        <fgColor indexed="47"/>
      </patternFill>
    </fill>
    <fill>
      <patternFill patternType="solid">
        <fgColor indexed="47"/>
        <bgColor indexed="64"/>
      </patternFill>
    </fill>
    <fill>
      <patternFill patternType="solid">
        <fgColor indexed="26"/>
      </patternFill>
    </fill>
    <fill>
      <patternFill patternType="solid">
        <fgColor indexed="26"/>
        <bgColor indexed="64"/>
      </patternFill>
    </fill>
    <fill>
      <patternFill patternType="solid">
        <fgColor indexed="9"/>
      </patternFill>
    </fill>
    <fill>
      <patternFill patternType="solid">
        <fgColor indexed="9"/>
        <bgColor indexed="64"/>
      </patternFill>
    </fill>
    <fill>
      <patternFill patternType="solid">
        <fgColor indexed="43"/>
      </patternFill>
    </fill>
    <fill>
      <patternFill patternType="solid">
        <fgColor indexed="43"/>
        <bgColor indexed="64"/>
      </patternFill>
    </fill>
    <fill>
      <patternFill patternType="solid">
        <fgColor indexed="22"/>
      </patternFill>
    </fill>
    <fill>
      <patternFill patternType="solid">
        <fgColor indexed="22"/>
        <bgColor indexed="64"/>
      </patternFill>
    </fill>
    <fill>
      <patternFill patternType="solid">
        <fgColor indexed="49"/>
      </patternFill>
    </fill>
    <fill>
      <patternFill patternType="solid">
        <fgColor indexed="49"/>
        <bgColor indexed="64"/>
      </patternFill>
    </fill>
    <fill>
      <patternFill patternType="solid">
        <fgColor indexed="10"/>
      </patternFill>
    </fill>
    <fill>
      <patternFill patternType="solid">
        <fgColor indexed="10"/>
        <bgColor indexed="64"/>
      </patternFill>
    </fill>
    <fill>
      <patternFill patternType="solid">
        <fgColor indexed="57"/>
      </patternFill>
    </fill>
    <fill>
      <patternFill patternType="solid">
        <fgColor indexed="57"/>
        <bgColor indexed="64"/>
      </patternFill>
    </fill>
    <fill>
      <patternFill patternType="solid">
        <fgColor indexed="54"/>
      </patternFill>
    </fill>
    <fill>
      <patternFill patternType="solid">
        <fgColor indexed="54"/>
        <bgColor indexed="64"/>
      </patternFill>
    </fill>
    <fill>
      <patternFill patternType="solid">
        <fgColor indexed="53"/>
      </patternFill>
    </fill>
    <fill>
      <patternFill patternType="solid">
        <fgColor indexed="53"/>
        <bgColor indexed="64"/>
      </patternFill>
    </fill>
    <fill>
      <patternFill patternType="solid">
        <fgColor indexed="45"/>
      </patternFill>
    </fill>
    <fill>
      <patternFill patternType="solid">
        <fgColor indexed="45"/>
        <bgColor indexed="64"/>
      </patternFill>
    </fill>
    <fill>
      <patternFill patternType="solid">
        <fgColor indexed="55"/>
      </patternFill>
    </fill>
    <fill>
      <patternFill patternType="solid">
        <fgColor indexed="55"/>
        <bgColor indexed="64"/>
      </patternFill>
    </fill>
    <fill>
      <patternFill patternType="solid">
        <fgColor indexed="8"/>
        <bgColor indexed="64"/>
      </patternFill>
    </fill>
    <fill>
      <patternFill patternType="solid">
        <fgColor indexed="42"/>
      </patternFill>
    </fill>
    <fill>
      <patternFill patternType="solid">
        <fgColor indexed="42"/>
        <bgColor indexed="64"/>
      </patternFill>
    </fill>
    <fill>
      <patternFill patternType="solid">
        <fgColor indexed="27"/>
        <bgColor indexed="64"/>
      </patternFill>
    </fill>
    <fill>
      <patternFill patternType="solid">
        <fgColor theme="0" tint="-0.499984740745262"/>
        <bgColor indexed="64"/>
      </patternFill>
    </fill>
    <fill>
      <patternFill patternType="solid">
        <fgColor theme="1"/>
        <bgColor indexed="64"/>
      </patternFill>
    </fill>
    <fill>
      <patternFill patternType="solid">
        <fgColor theme="0" tint="-0.14999847407452621"/>
        <bgColor indexed="64"/>
      </patternFill>
    </fill>
    <fill>
      <patternFill patternType="solid">
        <fgColor rgb="FF2B7AAF"/>
        <bgColor indexed="64"/>
      </patternFill>
    </fill>
    <fill>
      <patternFill patternType="solid">
        <fgColor rgb="FFFFECC9"/>
        <bgColor indexed="64"/>
      </patternFill>
    </fill>
    <fill>
      <patternFill patternType="solid">
        <fgColor rgb="FF17415D"/>
        <bgColor indexed="64"/>
      </patternFill>
    </fill>
    <fill>
      <patternFill patternType="solid">
        <fgColor rgb="FFC0C0C0"/>
        <bgColor indexed="64"/>
      </patternFill>
    </fill>
    <fill>
      <patternFill patternType="solid">
        <fgColor theme="0" tint="-0.249977111117893"/>
        <bgColor indexed="64"/>
      </patternFill>
    </fill>
    <fill>
      <patternFill patternType="solid">
        <fgColor rgb="FFFFFFFF"/>
        <bgColor indexed="64"/>
      </patternFill>
    </fill>
    <fill>
      <patternFill patternType="solid">
        <fgColor theme="0"/>
        <bgColor indexed="64"/>
      </patternFill>
    </fill>
    <fill>
      <patternFill patternType="solid">
        <fgColor theme="0" tint="-4.9989318521683403E-2"/>
        <bgColor indexed="64"/>
      </patternFill>
    </fill>
    <fill>
      <patternFill patternType="solid">
        <fgColor rgb="FFD9D9D9"/>
      </patternFill>
    </fill>
    <fill>
      <patternFill patternType="solid">
        <fgColor rgb="FF666666"/>
      </patternFill>
    </fill>
    <fill>
      <patternFill patternType="solid">
        <fgColor rgb="FFF3F3F3"/>
      </patternFill>
    </fill>
    <fill>
      <patternFill patternType="solid">
        <fgColor theme="5" tint="0.79998168889431442"/>
        <bgColor indexed="64"/>
      </patternFill>
    </fill>
    <fill>
      <patternFill patternType="solid">
        <fgColor theme="3" tint="0.39997558519241921"/>
        <bgColor indexed="64"/>
      </patternFill>
    </fill>
    <fill>
      <patternFill patternType="solid">
        <fgColor theme="5" tint="0.59999389629810485"/>
        <bgColor indexed="64"/>
      </patternFill>
    </fill>
    <fill>
      <patternFill patternType="solid">
        <fgColor theme="4"/>
        <bgColor indexed="64"/>
      </patternFill>
    </fill>
  </fills>
  <borders count="49">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38"/>
      </bottom>
      <diagonal/>
    </border>
    <border>
      <left/>
      <right/>
      <top/>
      <bottom style="medium">
        <color indexed="3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theme="4"/>
      </left>
      <right/>
      <top/>
      <bottom/>
      <diagonal/>
    </border>
    <border>
      <left/>
      <right style="thin">
        <color theme="4"/>
      </right>
      <top/>
      <bottom/>
      <diagonal/>
    </border>
    <border>
      <left/>
      <right/>
      <top style="thin">
        <color rgb="FF000000"/>
      </top>
      <bottom style="double">
        <color rgb="FF000000"/>
      </bottom>
      <diagonal/>
    </border>
    <border>
      <left/>
      <right/>
      <top/>
      <bottom style="medium">
        <color rgb="FF666666"/>
      </bottom>
      <diagonal/>
    </border>
    <border>
      <left style="medium">
        <color rgb="FF666666"/>
      </left>
      <right style="medium">
        <color rgb="FF666666"/>
      </right>
      <top/>
      <bottom style="medium">
        <color rgb="FF666666"/>
      </bottom>
      <diagonal/>
    </border>
    <border>
      <left/>
      <right/>
      <top/>
      <bottom style="thin">
        <color rgb="FFDFE2E6"/>
      </bottom>
      <diagonal/>
    </border>
    <border>
      <left style="thin">
        <color theme="4"/>
      </left>
      <right style="thin">
        <color theme="4"/>
      </right>
      <top style="thin">
        <color theme="4"/>
      </top>
      <bottom style="thin">
        <color theme="4"/>
      </bottom>
      <diagonal/>
    </border>
  </borders>
  <cellStyleXfs count="334">
    <xf numFmtId="0" fontId="0" fillId="0" borderId="0"/>
    <xf numFmtId="0" fontId="7" fillId="0" borderId="0" applyNumberFormat="0" applyFill="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164" fontId="7" fillId="13" borderId="0" applyNumberFormat="0" applyFont="0" applyBorder="0" applyAlignment="0">
      <alignment horizontal="right"/>
    </xf>
    <xf numFmtId="41" fontId="7" fillId="13" borderId="0" applyNumberFormat="0" applyFont="0" applyBorder="0" applyAlignment="0">
      <alignment horizontal="right"/>
    </xf>
    <xf numFmtId="41" fontId="36" fillId="13" borderId="0" applyNumberFormat="0" applyFont="0" applyBorder="0" applyAlignment="0">
      <alignment horizontal="right"/>
    </xf>
    <xf numFmtId="41" fontId="7" fillId="13" borderId="0" applyNumberFormat="0" applyFont="0" applyBorder="0" applyAlignment="0">
      <alignment horizontal="right"/>
    </xf>
    <xf numFmtId="41" fontId="7" fillId="13" borderId="0" applyNumberFormat="0" applyFont="0" applyBorder="0" applyAlignment="0">
      <alignment horizontal="right"/>
    </xf>
    <xf numFmtId="41" fontId="7" fillId="13" borderId="0" applyNumberFormat="0" applyFont="0" applyBorder="0" applyAlignment="0">
      <alignment horizontal="right"/>
    </xf>
    <xf numFmtId="41" fontId="7" fillId="13" borderId="0" applyNumberFormat="0" applyFont="0" applyBorder="0" applyAlignment="0">
      <alignment horizontal="right"/>
    </xf>
    <xf numFmtId="41" fontId="7" fillId="13" borderId="0" applyNumberFormat="0" applyFont="0" applyBorder="0" applyAlignment="0">
      <alignment horizontal="right"/>
    </xf>
    <xf numFmtId="41" fontId="7" fillId="13" borderId="0" applyNumberFormat="0" applyFont="0" applyBorder="0" applyAlignment="0">
      <alignment horizontal="right"/>
    </xf>
    <xf numFmtId="41" fontId="7" fillId="13" borderId="0" applyNumberFormat="0" applyFont="0" applyBorder="0" applyAlignment="0">
      <alignment horizontal="right"/>
    </xf>
    <xf numFmtId="41" fontId="7" fillId="13" borderId="0" applyNumberFormat="0" applyFont="0" applyBorder="0" applyAlignment="0">
      <alignment horizontal="right"/>
    </xf>
    <xf numFmtId="41" fontId="7" fillId="13" borderId="0" applyNumberFormat="0" applyFont="0" applyBorder="0" applyAlignment="0">
      <alignment horizontal="right"/>
    </xf>
    <xf numFmtId="41" fontId="7" fillId="13" borderId="0" applyNumberFormat="0" applyFont="0" applyBorder="0" applyAlignment="0">
      <alignment horizontal="right"/>
    </xf>
    <xf numFmtId="41" fontId="7" fillId="13" borderId="0" applyNumberFormat="0" applyFont="0" applyBorder="0" applyAlignment="0">
      <alignment horizontal="right"/>
    </xf>
    <xf numFmtId="41" fontId="7" fillId="13" borderId="0" applyNumberFormat="0" applyFont="0" applyBorder="0" applyAlignment="0">
      <alignment horizontal="right"/>
    </xf>
    <xf numFmtId="41" fontId="36" fillId="13" borderId="0" applyNumberFormat="0" applyFont="0" applyBorder="0" applyAlignment="0">
      <alignment horizontal="right"/>
    </xf>
    <xf numFmtId="41" fontId="7" fillId="13" borderId="0" applyNumberFormat="0" applyFont="0" applyBorder="0" applyAlignment="0">
      <alignment horizontal="right"/>
    </xf>
    <xf numFmtId="41" fontId="7" fillId="13" borderId="0" applyNumberFormat="0" applyFont="0" applyBorder="0" applyAlignment="0">
      <alignment horizontal="right"/>
    </xf>
    <xf numFmtId="41" fontId="7" fillId="13" borderId="0" applyNumberFormat="0" applyFont="0" applyBorder="0" applyAlignment="0">
      <alignment horizontal="right"/>
    </xf>
    <xf numFmtId="41" fontId="7" fillId="13" borderId="0" applyNumberFormat="0" applyFont="0" applyBorder="0" applyAlignment="0">
      <alignment horizontal="right"/>
    </xf>
    <xf numFmtId="41" fontId="7" fillId="13" borderId="0" applyNumberFormat="0" applyFont="0" applyBorder="0" applyAlignment="0">
      <alignment horizontal="right"/>
    </xf>
    <xf numFmtId="41" fontId="7" fillId="13" borderId="0" applyNumberFormat="0" applyFont="0" applyBorder="0" applyAlignment="0">
      <alignment horizontal="right"/>
    </xf>
    <xf numFmtId="0" fontId="16" fillId="8" borderId="1" applyNumberFormat="0" applyAlignment="0" applyProtection="0"/>
    <xf numFmtId="0" fontId="16" fillId="9" borderId="1" applyNumberFormat="0" applyAlignment="0" applyProtection="0"/>
    <xf numFmtId="0" fontId="17" fillId="26" borderId="2" applyNumberFormat="0" applyAlignment="0" applyProtection="0"/>
    <xf numFmtId="0" fontId="17" fillId="27" borderId="2" applyNumberFormat="0" applyAlignment="0" applyProtection="0"/>
    <xf numFmtId="43" fontId="2" fillId="0" borderId="0" applyFont="0" applyFill="0" applyBorder="0" applyAlignment="0" applyProtection="0"/>
    <xf numFmtId="43" fontId="41" fillId="0" borderId="0" applyFont="0" applyFill="0" applyBorder="0" applyAlignment="0" applyProtection="0"/>
    <xf numFmtId="43" fontId="7" fillId="0" borderId="0" applyFont="0" applyFill="0" applyBorder="0" applyAlignment="0" applyProtection="0"/>
    <xf numFmtId="43" fontId="4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6"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6"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4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1" fillId="0" borderId="0" applyFont="0" applyFill="0" applyBorder="0" applyAlignment="0" applyProtection="0"/>
    <xf numFmtId="43" fontId="7" fillId="0" borderId="0" applyFont="0" applyFill="0" applyBorder="0" applyAlignment="0" applyProtection="0"/>
    <xf numFmtId="44" fontId="41"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54" fillId="32" borderId="0">
      <alignment vertical="center"/>
    </xf>
    <xf numFmtId="49" fontId="54" fillId="33" borderId="0">
      <alignment vertical="center"/>
    </xf>
    <xf numFmtId="0" fontId="18" fillId="0" borderId="0" applyNumberFormat="0" applyFill="0" applyBorder="0" applyAlignment="0" applyProtection="0"/>
    <xf numFmtId="0" fontId="19" fillId="29" borderId="0" applyNumberFormat="0" applyBorder="0" applyAlignment="0" applyProtection="0"/>
    <xf numFmtId="0" fontId="19" fillId="30"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12" fillId="0" borderId="0" applyNumberFormat="0" applyFill="0" applyBorder="0" applyAlignment="0" applyProtection="0">
      <alignment vertical="top"/>
      <protection locked="0"/>
    </xf>
    <xf numFmtId="0" fontId="23" fillId="4" borderId="1" applyNumberFormat="0" applyAlignment="0" applyProtection="0"/>
    <xf numFmtId="0" fontId="23" fillId="5" borderId="1" applyNumberFormat="0" applyAlignment="0" applyProtection="0"/>
    <xf numFmtId="164" fontId="2" fillId="31" borderId="0" applyFont="0" applyBorder="0" applyAlignment="0">
      <alignment horizontal="right"/>
      <protection locked="0"/>
    </xf>
    <xf numFmtId="41" fontId="7" fillId="31" borderId="0" applyFont="0" applyBorder="0" applyAlignment="0">
      <alignment horizontal="right"/>
      <protection locked="0"/>
    </xf>
    <xf numFmtId="41" fontId="36" fillId="31" borderId="0" applyFont="0" applyBorder="0" applyAlignment="0">
      <alignment horizontal="right"/>
      <protection locked="0"/>
    </xf>
    <xf numFmtId="41" fontId="7" fillId="31" borderId="0" applyFont="0" applyBorder="0" applyAlignment="0">
      <alignment horizontal="right"/>
      <protection locked="0"/>
    </xf>
    <xf numFmtId="41" fontId="7" fillId="31" borderId="0" applyFont="0" applyBorder="0" applyAlignment="0">
      <alignment horizontal="right"/>
      <protection locked="0"/>
    </xf>
    <xf numFmtId="41" fontId="7" fillId="31" borderId="0" applyFont="0" applyBorder="0" applyAlignment="0">
      <alignment horizontal="right"/>
      <protection locked="0"/>
    </xf>
    <xf numFmtId="41" fontId="7" fillId="31" borderId="0" applyFont="0" applyBorder="0" applyAlignment="0">
      <alignment horizontal="right"/>
      <protection locked="0"/>
    </xf>
    <xf numFmtId="41" fontId="7" fillId="31" borderId="0" applyFont="0" applyBorder="0" applyAlignment="0">
      <alignment horizontal="right"/>
      <protection locked="0"/>
    </xf>
    <xf numFmtId="41" fontId="7" fillId="31" borderId="0" applyFont="0" applyBorder="0" applyAlignment="0">
      <alignment horizontal="right"/>
      <protection locked="0"/>
    </xf>
    <xf numFmtId="41" fontId="7" fillId="31" borderId="0" applyFont="0" applyBorder="0" applyAlignment="0">
      <alignment horizontal="right"/>
      <protection locked="0"/>
    </xf>
    <xf numFmtId="41" fontId="7" fillId="31" borderId="0" applyFont="0" applyBorder="0" applyAlignment="0">
      <alignment horizontal="right"/>
      <protection locked="0"/>
    </xf>
    <xf numFmtId="41" fontId="7" fillId="31" borderId="0" applyFont="0" applyBorder="0" applyAlignment="0">
      <alignment horizontal="right"/>
      <protection locked="0"/>
    </xf>
    <xf numFmtId="41" fontId="7" fillId="31" borderId="0" applyFont="0" applyBorder="0" applyAlignment="0">
      <alignment horizontal="right"/>
      <protection locked="0"/>
    </xf>
    <xf numFmtId="41" fontId="7" fillId="31" borderId="0" applyFont="0" applyBorder="0" applyAlignment="0">
      <alignment horizontal="right"/>
      <protection locked="0"/>
    </xf>
    <xf numFmtId="41" fontId="7" fillId="31" borderId="0" applyFont="0" applyBorder="0" applyAlignment="0">
      <alignment horizontal="right"/>
      <protection locked="0"/>
    </xf>
    <xf numFmtId="41" fontId="36" fillId="31" borderId="0" applyFont="0" applyBorder="0" applyAlignment="0">
      <alignment horizontal="right"/>
      <protection locked="0"/>
    </xf>
    <xf numFmtId="41" fontId="7" fillId="31" borderId="0" applyFont="0" applyBorder="0" applyAlignment="0">
      <alignment horizontal="right"/>
      <protection locked="0"/>
    </xf>
    <xf numFmtId="41" fontId="7" fillId="31" borderId="0" applyFont="0" applyBorder="0" applyAlignment="0">
      <alignment horizontal="right"/>
      <protection locked="0"/>
    </xf>
    <xf numFmtId="41" fontId="7" fillId="31" borderId="0" applyFont="0" applyBorder="0" applyAlignment="0">
      <alignment horizontal="right"/>
      <protection locked="0"/>
    </xf>
    <xf numFmtId="41" fontId="7" fillId="31" borderId="0" applyFont="0" applyBorder="0" applyAlignment="0">
      <alignment horizontal="right"/>
      <protection locked="0"/>
    </xf>
    <xf numFmtId="41" fontId="7" fillId="31" borderId="0" applyFont="0" applyBorder="0" applyAlignment="0">
      <alignment horizontal="right"/>
      <protection locked="0"/>
    </xf>
    <xf numFmtId="41" fontId="7" fillId="31" borderId="0" applyFont="0" applyBorder="0" applyAlignment="0">
      <alignment horizontal="right"/>
      <protection locked="0"/>
    </xf>
    <xf numFmtId="41" fontId="41" fillId="31" borderId="0" applyFont="0" applyBorder="0" applyAlignment="0">
      <alignment horizontal="right"/>
      <protection locked="0"/>
    </xf>
    <xf numFmtId="41" fontId="7" fillId="31" borderId="0" applyFont="0" applyBorder="0" applyAlignment="0">
      <alignment horizontal="right"/>
      <protection locked="0"/>
    </xf>
    <xf numFmtId="165" fontId="7" fillId="30" borderId="0" applyFont="0" applyBorder="0">
      <alignment horizontal="right"/>
      <protection locked="0"/>
    </xf>
    <xf numFmtId="165" fontId="36" fillId="30" borderId="0" applyFont="0" applyBorder="0">
      <alignment horizontal="right"/>
      <protection locked="0"/>
    </xf>
    <xf numFmtId="165" fontId="7" fillId="30" borderId="0" applyFont="0" applyBorder="0">
      <alignment horizontal="right"/>
      <protection locked="0"/>
    </xf>
    <xf numFmtId="164" fontId="7" fillId="7" borderId="0" applyFont="0" applyBorder="0">
      <alignment horizontal="right"/>
      <protection locked="0"/>
    </xf>
    <xf numFmtId="41" fontId="7" fillId="7" borderId="0" applyFont="0" applyBorder="0">
      <alignment horizontal="right"/>
      <protection locked="0"/>
    </xf>
    <xf numFmtId="41" fontId="36" fillId="7" borderId="0" applyFont="0" applyBorder="0">
      <alignment horizontal="right"/>
      <protection locked="0"/>
    </xf>
    <xf numFmtId="41" fontId="7" fillId="7" borderId="0" applyFont="0" applyBorder="0">
      <alignment horizontal="right"/>
      <protection locked="0"/>
    </xf>
    <xf numFmtId="41" fontId="7" fillId="7" borderId="0" applyFont="0" applyBorder="0">
      <alignment horizontal="right"/>
      <protection locked="0"/>
    </xf>
    <xf numFmtId="41" fontId="7" fillId="7" borderId="0" applyFont="0" applyBorder="0">
      <alignment horizontal="right"/>
      <protection locked="0"/>
    </xf>
    <xf numFmtId="41" fontId="7" fillId="7" borderId="0" applyFont="0" applyBorder="0">
      <alignment horizontal="right"/>
      <protection locked="0"/>
    </xf>
    <xf numFmtId="41" fontId="7" fillId="7" borderId="0" applyFont="0" applyBorder="0">
      <alignment horizontal="right"/>
      <protection locked="0"/>
    </xf>
    <xf numFmtId="41" fontId="7" fillId="7" borderId="0" applyFont="0" applyBorder="0">
      <alignment horizontal="right"/>
      <protection locked="0"/>
    </xf>
    <xf numFmtId="41" fontId="7" fillId="7" borderId="0" applyFont="0" applyBorder="0">
      <alignment horizontal="right"/>
      <protection locked="0"/>
    </xf>
    <xf numFmtId="41" fontId="7" fillId="7" borderId="0" applyFont="0" applyBorder="0">
      <alignment horizontal="right"/>
      <protection locked="0"/>
    </xf>
    <xf numFmtId="41" fontId="7" fillId="7" borderId="0" applyFont="0" applyBorder="0">
      <alignment horizontal="right"/>
      <protection locked="0"/>
    </xf>
    <xf numFmtId="41" fontId="7" fillId="7" borderId="0" applyFont="0" applyBorder="0">
      <alignment horizontal="right"/>
      <protection locked="0"/>
    </xf>
    <xf numFmtId="41" fontId="7" fillId="7" borderId="0" applyFont="0" applyBorder="0">
      <alignment horizontal="right"/>
      <protection locked="0"/>
    </xf>
    <xf numFmtId="41" fontId="7" fillId="7" borderId="0" applyFont="0" applyBorder="0">
      <alignment horizontal="right"/>
      <protection locked="0"/>
    </xf>
    <xf numFmtId="41" fontId="36" fillId="7" borderId="0" applyFont="0" applyBorder="0">
      <alignment horizontal="right"/>
      <protection locked="0"/>
    </xf>
    <xf numFmtId="41" fontId="7" fillId="7" borderId="0" applyFont="0" applyBorder="0">
      <alignment horizontal="right"/>
      <protection locked="0"/>
    </xf>
    <xf numFmtId="41" fontId="7" fillId="7" borderId="0" applyFont="0" applyBorder="0">
      <alignment horizontal="right"/>
      <protection locked="0"/>
    </xf>
    <xf numFmtId="41" fontId="7" fillId="7" borderId="0" applyFont="0" applyBorder="0">
      <alignment horizontal="right"/>
      <protection locked="0"/>
    </xf>
    <xf numFmtId="41" fontId="7" fillId="7" borderId="0" applyFont="0" applyBorder="0">
      <alignment horizontal="right"/>
      <protection locked="0"/>
    </xf>
    <xf numFmtId="41" fontId="7" fillId="7" borderId="0" applyFont="0" applyBorder="0">
      <alignment horizontal="right"/>
      <protection locked="0"/>
    </xf>
    <xf numFmtId="41" fontId="7" fillId="7" borderId="0" applyFont="0" applyBorder="0">
      <alignment horizontal="right"/>
      <protection locked="0"/>
    </xf>
    <xf numFmtId="0" fontId="24" fillId="0" borderId="6" applyNumberFormat="0" applyFill="0" applyAlignment="0" applyProtection="0"/>
    <xf numFmtId="0" fontId="25" fillId="10" borderId="0" applyNumberFormat="0" applyBorder="0" applyAlignment="0" applyProtection="0"/>
    <xf numFmtId="0" fontId="25" fillId="11" borderId="0" applyNumberFormat="0" applyBorder="0" applyAlignment="0" applyProtection="0"/>
    <xf numFmtId="0" fontId="55" fillId="0" borderId="0"/>
    <xf numFmtId="0" fontId="35" fillId="0" borderId="0"/>
    <xf numFmtId="0" fontId="56" fillId="0" borderId="0"/>
    <xf numFmtId="0" fontId="7" fillId="0" borderId="0"/>
    <xf numFmtId="0" fontId="36" fillId="0" borderId="0"/>
    <xf numFmtId="0" fontId="7" fillId="0" borderId="0"/>
    <xf numFmtId="0" fontId="7" fillId="0" borderId="0"/>
    <xf numFmtId="0" fontId="7" fillId="0" borderId="0" applyNumberFormat="0" applyFill="0" applyBorder="0" applyAlignment="0" applyProtection="0"/>
    <xf numFmtId="0" fontId="57" fillId="0" borderId="0"/>
    <xf numFmtId="0" fontId="56" fillId="0" borderId="0"/>
    <xf numFmtId="0" fontId="2" fillId="9" borderId="0"/>
    <xf numFmtId="0" fontId="2" fillId="9" borderId="0"/>
    <xf numFmtId="0" fontId="2" fillId="9" borderId="0"/>
    <xf numFmtId="0" fontId="2" fillId="0" borderId="0"/>
    <xf numFmtId="0" fontId="2" fillId="9" borderId="0"/>
    <xf numFmtId="0" fontId="7" fillId="9" borderId="0"/>
    <xf numFmtId="0" fontId="2" fillId="9" borderId="0"/>
    <xf numFmtId="0" fontId="2" fillId="9" borderId="0"/>
    <xf numFmtId="0" fontId="36" fillId="9" borderId="0"/>
    <xf numFmtId="0" fontId="2" fillId="9" borderId="0"/>
    <xf numFmtId="0" fontId="41" fillId="9" borderId="0"/>
    <xf numFmtId="0" fontId="7" fillId="6" borderId="7" applyNumberFormat="0" applyFont="0" applyAlignment="0" applyProtection="0"/>
    <xf numFmtId="0" fontId="36" fillId="7" borderId="7" applyNumberFormat="0" applyFont="0" applyAlignment="0" applyProtection="0"/>
    <xf numFmtId="0" fontId="7" fillId="7" borderId="7" applyNumberFormat="0" applyFont="0" applyAlignment="0" applyProtection="0"/>
    <xf numFmtId="0" fontId="26" fillId="8" borderId="8" applyNumberFormat="0" applyAlignment="0" applyProtection="0"/>
    <xf numFmtId="0" fontId="26" fillId="9" borderId="8" applyNumberFormat="0" applyAlignment="0" applyProtection="0"/>
    <xf numFmtId="9" fontId="2" fillId="0" borderId="0" applyFont="0" applyFill="0" applyBorder="0" applyAlignment="0" applyProtection="0"/>
    <xf numFmtId="9" fontId="7" fillId="0" borderId="0" applyFont="0" applyFill="0" applyBorder="0" applyAlignment="0" applyProtection="0"/>
    <xf numFmtId="9" fontId="41"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2" fillId="0" borderId="0"/>
    <xf numFmtId="0" fontId="7" fillId="0" borderId="0"/>
    <xf numFmtId="0" fontId="36" fillId="0" borderId="0"/>
    <xf numFmtId="0" fontId="7" fillId="0" borderId="0"/>
    <xf numFmtId="0" fontId="36" fillId="0" borderId="0"/>
    <xf numFmtId="0" fontId="7" fillId="0" borderId="0"/>
    <xf numFmtId="0" fontId="41" fillId="0" borderId="0"/>
    <xf numFmtId="0" fontId="7" fillId="0" borderId="0"/>
    <xf numFmtId="0" fontId="27" fillId="0" borderId="0" applyNumberFormat="0" applyFill="0" applyBorder="0" applyAlignment="0" applyProtection="0"/>
    <xf numFmtId="0" fontId="28" fillId="0" borderId="9" applyNumberFormat="0" applyFill="0" applyAlignment="0" applyProtection="0"/>
    <xf numFmtId="0" fontId="29" fillId="0" borderId="0" applyNumberForma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41" fontId="2" fillId="13" borderId="0" applyNumberFormat="0" applyFont="0" applyBorder="0" applyAlignment="0">
      <alignment horizontal="right"/>
    </xf>
    <xf numFmtId="41" fontId="2" fillId="13" borderId="0" applyNumberFormat="0" applyFont="0" applyBorder="0" applyAlignment="0">
      <alignment horizontal="right"/>
    </xf>
    <xf numFmtId="41" fontId="2" fillId="13" borderId="0" applyNumberFormat="0" applyFont="0" applyBorder="0" applyAlignment="0">
      <alignment horizontal="right"/>
    </xf>
    <xf numFmtId="41" fontId="2" fillId="13" borderId="0" applyNumberFormat="0" applyFont="0" applyBorder="0" applyAlignment="0">
      <alignment horizontal="right"/>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1" fontId="2" fillId="31" borderId="0" applyFont="0" applyBorder="0" applyAlignment="0">
      <alignment horizontal="right"/>
      <protection locked="0"/>
    </xf>
    <xf numFmtId="41" fontId="2" fillId="31" borderId="0" applyFont="0" applyBorder="0" applyAlignment="0">
      <alignment horizontal="right"/>
      <protection locked="0"/>
    </xf>
    <xf numFmtId="41" fontId="2" fillId="31" borderId="0" applyFont="0" applyBorder="0" applyAlignment="0">
      <alignment horizontal="right"/>
      <protection locked="0"/>
    </xf>
    <xf numFmtId="41" fontId="2" fillId="31" borderId="0" applyFont="0" applyBorder="0" applyAlignment="0">
      <alignment horizontal="right"/>
      <protection locked="0"/>
    </xf>
    <xf numFmtId="165" fontId="2" fillId="30" borderId="0" applyFont="0" applyBorder="0">
      <alignment horizontal="right"/>
      <protection locked="0"/>
    </xf>
    <xf numFmtId="165" fontId="2" fillId="30" borderId="0" applyFont="0" applyBorder="0">
      <alignment horizontal="right"/>
      <protection locked="0"/>
    </xf>
    <xf numFmtId="41" fontId="2" fillId="7" borderId="0" applyFont="0" applyBorder="0">
      <alignment horizontal="right"/>
      <protection locked="0"/>
    </xf>
    <xf numFmtId="41" fontId="2" fillId="7" borderId="0" applyFont="0" applyBorder="0">
      <alignment horizontal="right"/>
      <protection locked="0"/>
    </xf>
    <xf numFmtId="41" fontId="2" fillId="7" borderId="0" applyFont="0" applyBorder="0">
      <alignment horizontal="right"/>
      <protection locked="0"/>
    </xf>
    <xf numFmtId="41" fontId="2" fillId="7" borderId="0" applyFont="0" applyBorder="0">
      <alignment horizontal="right"/>
      <protection locked="0"/>
    </xf>
    <xf numFmtId="0" fontId="2" fillId="0" borderId="0"/>
    <xf numFmtId="1" fontId="73" fillId="0" borderId="0"/>
    <xf numFmtId="0" fontId="2" fillId="6" borderId="7" applyNumberFormat="0" applyFont="0" applyAlignment="0" applyProtection="0"/>
    <xf numFmtId="0" fontId="2" fillId="7" borderId="7" applyNumberFormat="0" applyFont="0" applyAlignment="0" applyProtection="0"/>
    <xf numFmtId="0" fontId="2" fillId="0" borderId="0"/>
    <xf numFmtId="0" fontId="2" fillId="0" borderId="0"/>
    <xf numFmtId="0" fontId="2" fillId="0" borderId="0"/>
    <xf numFmtId="0" fontId="83" fillId="49" borderId="48" applyNumberFormat="0" applyProtection="0"/>
    <xf numFmtId="0" fontId="84" fillId="0" borderId="48" applyNumberFormat="0" applyFill="0" applyProtection="0"/>
    <xf numFmtId="0" fontId="85" fillId="0" borderId="48" applyNumberFormat="0" applyFill="0" applyProtection="0"/>
    <xf numFmtId="9" fontId="2" fillId="0" borderId="0" applyFont="0" applyFill="0" applyBorder="0" applyAlignment="0" applyProtection="0"/>
    <xf numFmtId="0" fontId="2" fillId="0" borderId="0" applyNumberFormat="0" applyFill="0" applyBorder="0" applyAlignment="0" applyProtection="0"/>
    <xf numFmtId="43" fontId="2" fillId="0" borderId="0" applyFont="0" applyFill="0" applyBorder="0" applyAlignment="0" applyProtection="0"/>
    <xf numFmtId="0" fontId="2" fillId="0" borderId="0" applyNumberForma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xf numFmtId="0" fontId="1" fillId="0" borderId="0"/>
    <xf numFmtId="0" fontId="53" fillId="0" borderId="0"/>
    <xf numFmtId="43"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86" fillId="0" borderId="0"/>
    <xf numFmtId="0" fontId="57" fillId="0" borderId="0"/>
    <xf numFmtId="43"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1" fillId="0" borderId="0"/>
    <xf numFmtId="44" fontId="2" fillId="0" borderId="0" applyFont="0" applyFill="0" applyBorder="0" applyAlignment="0" applyProtection="0"/>
    <xf numFmtId="43" fontId="2" fillId="0" borderId="0" applyFont="0" applyFill="0" applyBorder="0" applyAlignment="0" applyProtection="0"/>
    <xf numFmtId="0" fontId="1" fillId="0" borderId="0"/>
    <xf numFmtId="0" fontId="87" fillId="0" borderId="0" applyNumberFormat="0" applyFill="0" applyBorder="0" applyAlignment="0" applyProtection="0"/>
    <xf numFmtId="43" fontId="2" fillId="0" borderId="0" applyFon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43" fontId="2" fillId="0" borderId="0" applyFont="0" applyFill="0" applyBorder="0" applyAlignment="0" applyProtection="0"/>
    <xf numFmtId="0" fontId="2" fillId="0" borderId="0" applyNumberFormat="0" applyFill="0" applyBorder="0" applyAlignment="0" applyProtection="0"/>
    <xf numFmtId="43" fontId="2" fillId="0" borderId="0" applyFont="0" applyFill="0" applyBorder="0" applyAlignment="0" applyProtection="0"/>
    <xf numFmtId="43" fontId="53"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88" fillId="0" borderId="0"/>
  </cellStyleXfs>
  <cellXfs count="475">
    <xf numFmtId="0" fontId="0" fillId="0" borderId="0" xfId="0"/>
    <xf numFmtId="0" fontId="10" fillId="9" borderId="0" xfId="228" applyFont="1"/>
    <xf numFmtId="0" fontId="11" fillId="9" borderId="0" xfId="228" applyFont="1" applyAlignment="1">
      <alignment vertical="center"/>
    </xf>
    <xf numFmtId="0" fontId="10" fillId="9" borderId="0" xfId="228" applyFont="1" applyAlignment="1">
      <alignment vertical="center"/>
    </xf>
    <xf numFmtId="0" fontId="2" fillId="9" borderId="0" xfId="232"/>
    <xf numFmtId="0" fontId="0" fillId="0" borderId="0" xfId="0" applyAlignment="1">
      <alignment horizontal="center" vertical="center"/>
    </xf>
    <xf numFmtId="0" fontId="7" fillId="0" borderId="0" xfId="0" applyFont="1"/>
    <xf numFmtId="43" fontId="0" fillId="0" borderId="0" xfId="0" applyNumberFormat="1"/>
    <xf numFmtId="164" fontId="34" fillId="13" borderId="10" xfId="78" applyNumberFormat="1" applyFont="1" applyFill="1" applyBorder="1" applyAlignment="1"/>
    <xf numFmtId="0" fontId="2" fillId="9" borderId="0" xfId="232" applyProtection="1">
      <protection locked="0"/>
    </xf>
    <xf numFmtId="164" fontId="7" fillId="13" borderId="10" xfId="78" applyNumberFormat="1" applyFont="1" applyFill="1" applyBorder="1" applyAlignment="1" applyProtection="1">
      <alignment horizontal="right"/>
    </xf>
    <xf numFmtId="164" fontId="4" fillId="13" borderId="10" xfId="78" applyNumberFormat="1" applyFont="1" applyFill="1" applyBorder="1" applyAlignment="1" applyProtection="1">
      <alignment horizontal="right"/>
    </xf>
    <xf numFmtId="10" fontId="4" fillId="13" borderId="10" xfId="235" applyNumberFormat="1" applyFont="1" applyFill="1" applyBorder="1" applyAlignment="1">
      <alignment horizontal="right"/>
    </xf>
    <xf numFmtId="168" fontId="7" fillId="34" borderId="10" xfId="235" applyNumberFormat="1" applyFont="1" applyFill="1" applyBorder="1"/>
    <xf numFmtId="164" fontId="7" fillId="34" borderId="10" xfId="78" applyNumberFormat="1" applyFont="1" applyFill="1" applyBorder="1" applyAlignment="1" applyProtection="1">
      <alignment horizontal="right"/>
    </xf>
    <xf numFmtId="167" fontId="9" fillId="28" borderId="0" xfId="0" applyNumberFormat="1" applyFont="1" applyFill="1" applyAlignment="1">
      <alignment horizontal="left" vertical="center" wrapText="1"/>
    </xf>
    <xf numFmtId="170" fontId="4" fillId="13" borderId="10" xfId="237" applyNumberFormat="1" applyFont="1" applyFill="1" applyBorder="1" applyAlignment="1">
      <alignment horizontal="right"/>
    </xf>
    <xf numFmtId="166" fontId="4" fillId="13" borderId="10" xfId="237" applyNumberFormat="1" applyFont="1" applyFill="1" applyBorder="1" applyAlignment="1">
      <alignment horizontal="right"/>
    </xf>
    <xf numFmtId="43" fontId="4" fillId="13" borderId="10" xfId="78" applyFont="1" applyFill="1" applyBorder="1" applyAlignment="1" applyProtection="1">
      <alignment horizontal="right"/>
    </xf>
    <xf numFmtId="49" fontId="9" fillId="35" borderId="10" xfId="232" applyNumberFormat="1" applyFont="1" applyFill="1" applyBorder="1" applyAlignment="1">
      <alignment horizontal="left"/>
    </xf>
    <xf numFmtId="49" fontId="58" fillId="35" borderId="10" xfId="232" applyNumberFormat="1" applyFont="1" applyFill="1" applyBorder="1" applyAlignment="1">
      <alignment horizontal="left"/>
    </xf>
    <xf numFmtId="2" fontId="32" fillId="35" borderId="11" xfId="233" applyNumberFormat="1" applyFont="1" applyFill="1" applyBorder="1" applyAlignment="1">
      <alignment horizontal="left" vertical="center" wrapText="1"/>
    </xf>
    <xf numFmtId="167" fontId="9" fillId="35" borderId="10" xfId="232" quotePrefix="1" applyNumberFormat="1" applyFont="1" applyFill="1" applyBorder="1" applyAlignment="1">
      <alignment vertical="center" wrapText="1"/>
    </xf>
    <xf numFmtId="49" fontId="32" fillId="35" borderId="10" xfId="232" applyNumberFormat="1" applyFont="1" applyFill="1" applyBorder="1" applyAlignment="1">
      <alignment horizontal="center" vertical="center" wrapText="1"/>
    </xf>
    <xf numFmtId="167" fontId="38" fillId="35" borderId="10" xfId="232" quotePrefix="1" applyNumberFormat="1" applyFont="1" applyFill="1" applyBorder="1" applyAlignment="1">
      <alignment horizontal="left" vertical="center" wrapText="1"/>
    </xf>
    <xf numFmtId="167" fontId="58" fillId="35" borderId="10" xfId="232" quotePrefix="1" applyNumberFormat="1" applyFont="1" applyFill="1" applyBorder="1" applyAlignment="1">
      <alignment horizontal="left" vertical="center" wrapText="1" indent="1"/>
    </xf>
    <xf numFmtId="167" fontId="59" fillId="35" borderId="10" xfId="232" quotePrefix="1" applyNumberFormat="1" applyFont="1" applyFill="1" applyBorder="1" applyAlignment="1">
      <alignment horizontal="left" vertical="center" wrapText="1"/>
    </xf>
    <xf numFmtId="49" fontId="58" fillId="35" borderId="10" xfId="232" applyNumberFormat="1" applyFont="1" applyFill="1" applyBorder="1" applyAlignment="1">
      <alignment horizontal="left" indent="1"/>
    </xf>
    <xf numFmtId="49" fontId="58" fillId="35" borderId="10" xfId="236" applyNumberFormat="1" applyFont="1" applyFill="1" applyBorder="1" applyAlignment="1">
      <alignment horizontal="left" vertical="center" wrapText="1" indent="1"/>
    </xf>
    <xf numFmtId="167" fontId="32" fillId="35" borderId="10" xfId="232" quotePrefix="1" applyNumberFormat="1" applyFont="1" applyFill="1" applyBorder="1" applyAlignment="1">
      <alignment horizontal="center" vertical="center" wrapText="1"/>
    </xf>
    <xf numFmtId="2" fontId="32" fillId="35" borderId="10" xfId="232" applyNumberFormat="1" applyFont="1" applyFill="1" applyBorder="1" applyAlignment="1">
      <alignment horizontal="center" vertical="center" wrapText="1"/>
    </xf>
    <xf numFmtId="2" fontId="9" fillId="35" borderId="10" xfId="78" applyNumberFormat="1" applyFont="1" applyFill="1" applyBorder="1" applyAlignment="1" applyProtection="1">
      <alignment horizontal="center"/>
    </xf>
    <xf numFmtId="49" fontId="9" fillId="35" borderId="10" xfId="232" applyNumberFormat="1" applyFont="1" applyFill="1" applyBorder="1"/>
    <xf numFmtId="49" fontId="32" fillId="35" borderId="10" xfId="232" applyNumberFormat="1" applyFont="1" applyFill="1" applyBorder="1" applyAlignment="1">
      <alignment horizontal="left"/>
    </xf>
    <xf numFmtId="49" fontId="9" fillId="35" borderId="10" xfId="232" applyNumberFormat="1" applyFont="1" applyFill="1" applyBorder="1" applyAlignment="1">
      <alignment horizontal="left" wrapText="1"/>
    </xf>
    <xf numFmtId="49" fontId="32" fillId="35" borderId="12" xfId="232" applyNumberFormat="1" applyFont="1" applyFill="1" applyBorder="1" applyAlignment="1">
      <alignment horizontal="center" vertical="center" wrapText="1"/>
    </xf>
    <xf numFmtId="49" fontId="32" fillId="35" borderId="13" xfId="232" applyNumberFormat="1" applyFont="1" applyFill="1" applyBorder="1" applyAlignment="1">
      <alignment horizontal="center" vertical="center" wrapText="1"/>
    </xf>
    <xf numFmtId="49" fontId="32" fillId="35" borderId="10" xfId="235" applyNumberFormat="1" applyFont="1" applyFill="1" applyBorder="1" applyAlignment="1">
      <alignment horizontal="center" vertical="center" wrapText="1"/>
    </xf>
    <xf numFmtId="164" fontId="32" fillId="35" borderId="10" xfId="235" applyNumberFormat="1" applyFont="1" applyFill="1" applyBorder="1" applyAlignment="1">
      <alignment horizontal="right" vertical="center" wrapText="1"/>
    </xf>
    <xf numFmtId="49" fontId="32" fillId="35" borderId="10" xfId="235" applyNumberFormat="1" applyFont="1" applyFill="1" applyBorder="1" applyAlignment="1">
      <alignment horizontal="center"/>
    </xf>
    <xf numFmtId="166" fontId="9" fillId="35" borderId="14" xfId="78" applyNumberFormat="1" applyFont="1" applyFill="1" applyBorder="1" applyAlignment="1" applyProtection="1">
      <alignment horizontal="right" vertical="center"/>
    </xf>
    <xf numFmtId="49" fontId="32" fillId="35" borderId="10" xfId="235" applyNumberFormat="1" applyFont="1" applyFill="1" applyBorder="1" applyAlignment="1">
      <alignment horizontal="right" vertical="center" wrapText="1"/>
    </xf>
    <xf numFmtId="49" fontId="32" fillId="35" borderId="14" xfId="235" applyNumberFormat="1" applyFont="1" applyFill="1" applyBorder="1" applyAlignment="1">
      <alignment horizontal="center"/>
    </xf>
    <xf numFmtId="49" fontId="9" fillId="35" borderId="10" xfId="232" applyNumberFormat="1" applyFont="1" applyFill="1" applyBorder="1" applyAlignment="1">
      <alignment wrapText="1"/>
    </xf>
    <xf numFmtId="167" fontId="32" fillId="35" borderId="10" xfId="233" quotePrefix="1" applyNumberFormat="1" applyFont="1" applyFill="1" applyBorder="1" applyAlignment="1">
      <alignment horizontal="center" vertical="center" wrapText="1"/>
    </xf>
    <xf numFmtId="2" fontId="32" fillId="35" borderId="11" xfId="233" applyNumberFormat="1" applyFont="1" applyFill="1" applyBorder="1" applyAlignment="1">
      <alignment horizontal="center" vertical="center" wrapText="1"/>
    </xf>
    <xf numFmtId="2" fontId="60" fillId="35" borderId="11" xfId="233" applyNumberFormat="1" applyFont="1" applyFill="1" applyBorder="1" applyAlignment="1">
      <alignment horizontal="left" vertical="center" wrapText="1"/>
    </xf>
    <xf numFmtId="41" fontId="9" fillId="35" borderId="15" xfId="233" applyNumberFormat="1" applyFont="1" applyFill="1" applyBorder="1" applyAlignment="1">
      <alignment horizontal="left" indent="1"/>
    </xf>
    <xf numFmtId="41" fontId="6" fillId="35" borderId="15" xfId="233" applyNumberFormat="1" applyFont="1" applyFill="1" applyBorder="1"/>
    <xf numFmtId="164" fontId="32" fillId="35" borderId="10" xfId="235" applyNumberFormat="1" applyFont="1" applyFill="1" applyBorder="1" applyAlignment="1">
      <alignment horizontal="center" vertical="center" wrapText="1"/>
    </xf>
    <xf numFmtId="167" fontId="32" fillId="35" borderId="10" xfId="237" applyNumberFormat="1" applyFont="1" applyFill="1" applyBorder="1" applyAlignment="1">
      <alignment horizontal="center" vertical="center" wrapText="1"/>
    </xf>
    <xf numFmtId="49" fontId="32" fillId="35" borderId="10" xfId="237" applyNumberFormat="1" applyFont="1" applyFill="1" applyBorder="1" applyAlignment="1">
      <alignment horizontal="center" vertical="center" wrapText="1"/>
    </xf>
    <xf numFmtId="49" fontId="60" fillId="35" borderId="10" xfId="237" applyNumberFormat="1" applyFont="1" applyFill="1" applyBorder="1" applyAlignment="1">
      <alignment horizontal="center" vertical="center" wrapText="1"/>
    </xf>
    <xf numFmtId="166" fontId="9" fillId="35" borderId="14" xfId="78" applyNumberFormat="1" applyFont="1" applyFill="1" applyBorder="1" applyAlignment="1" applyProtection="1">
      <alignment horizontal="center" vertical="center"/>
    </xf>
    <xf numFmtId="166" fontId="58" fillId="35" borderId="14" xfId="78" applyNumberFormat="1" applyFont="1" applyFill="1" applyBorder="1" applyAlignment="1" applyProtection="1">
      <alignment horizontal="center" vertical="center"/>
    </xf>
    <xf numFmtId="2" fontId="58" fillId="35" borderId="14" xfId="78" applyNumberFormat="1" applyFont="1" applyFill="1" applyBorder="1" applyAlignment="1" applyProtection="1">
      <alignment horizontal="center" vertical="center"/>
    </xf>
    <xf numFmtId="1" fontId="9" fillId="35" borderId="14" xfId="78" applyNumberFormat="1" applyFont="1" applyFill="1" applyBorder="1" applyAlignment="1" applyProtection="1">
      <alignment horizontal="center" vertical="center"/>
    </xf>
    <xf numFmtId="49" fontId="32" fillId="35" borderId="10" xfId="237" applyNumberFormat="1" applyFont="1" applyFill="1" applyBorder="1" applyAlignment="1">
      <alignment horizontal="left" vertical="center" wrapText="1"/>
    </xf>
    <xf numFmtId="167" fontId="9" fillId="35" borderId="10" xfId="0" applyNumberFormat="1" applyFont="1" applyFill="1" applyBorder="1" applyAlignment="1">
      <alignment horizontal="left" vertical="center" wrapText="1"/>
    </xf>
    <xf numFmtId="49" fontId="9" fillId="35" borderId="10" xfId="237" applyNumberFormat="1" applyFont="1" applyFill="1" applyBorder="1" applyAlignment="1">
      <alignment horizontal="left" vertical="center" wrapText="1"/>
    </xf>
    <xf numFmtId="49" fontId="58" fillId="35" borderId="10" xfId="237" applyNumberFormat="1" applyFont="1" applyFill="1" applyBorder="1" applyAlignment="1">
      <alignment horizontal="left" vertical="center" wrapText="1"/>
    </xf>
    <xf numFmtId="166" fontId="61" fillId="35" borderId="10" xfId="237" applyNumberFormat="1" applyFont="1" applyFill="1" applyBorder="1" applyAlignment="1">
      <alignment horizontal="left"/>
    </xf>
    <xf numFmtId="0" fontId="7" fillId="36" borderId="16" xfId="232" applyFont="1" applyFill="1" applyBorder="1" applyAlignment="1" applyProtection="1">
      <alignment horizontal="center"/>
      <protection locked="0"/>
    </xf>
    <xf numFmtId="166" fontId="7" fillId="36" borderId="16" xfId="232" applyNumberFormat="1" applyFont="1" applyFill="1" applyBorder="1" applyAlignment="1" applyProtection="1">
      <alignment horizontal="center"/>
      <protection locked="0"/>
    </xf>
    <xf numFmtId="166" fontId="7" fillId="36" borderId="10" xfId="232" applyNumberFormat="1" applyFont="1" applyFill="1" applyBorder="1" applyAlignment="1" applyProtection="1">
      <alignment horizontal="center"/>
      <protection locked="0"/>
    </xf>
    <xf numFmtId="166" fontId="7" fillId="36" borderId="10" xfId="232" applyNumberFormat="1" applyFont="1" applyFill="1" applyBorder="1" applyAlignment="1" applyProtection="1">
      <alignment horizontal="left" indent="1"/>
      <protection locked="0"/>
    </xf>
    <xf numFmtId="164" fontId="7" fillId="36" borderId="10" xfId="78" applyNumberFormat="1" applyFont="1" applyFill="1" applyBorder="1" applyAlignment="1" applyProtection="1">
      <alignment horizontal="right"/>
      <protection locked="0"/>
    </xf>
    <xf numFmtId="166" fontId="7" fillId="36" borderId="10" xfId="232" applyNumberFormat="1" applyFont="1" applyFill="1" applyBorder="1" applyAlignment="1" applyProtection="1">
      <alignment horizontal="right"/>
      <protection locked="0"/>
    </xf>
    <xf numFmtId="164" fontId="7" fillId="36" borderId="16" xfId="232" applyNumberFormat="1" applyFont="1" applyFill="1" applyBorder="1" applyAlignment="1" applyProtection="1">
      <alignment horizontal="right"/>
      <protection locked="0"/>
    </xf>
    <xf numFmtId="166" fontId="7" fillId="36" borderId="16" xfId="232" applyNumberFormat="1" applyFont="1" applyFill="1" applyBorder="1" applyAlignment="1" applyProtection="1">
      <alignment horizontal="right"/>
      <protection locked="0"/>
    </xf>
    <xf numFmtId="0" fontId="7" fillId="36" borderId="10" xfId="235" applyFont="1" applyFill="1" applyBorder="1" applyProtection="1">
      <protection locked="0"/>
    </xf>
    <xf numFmtId="164" fontId="7" fillId="36" borderId="10" xfId="235" applyNumberFormat="1" applyFont="1" applyFill="1" applyBorder="1" applyAlignment="1" applyProtection="1">
      <alignment horizontal="right"/>
      <protection locked="0"/>
    </xf>
    <xf numFmtId="10" fontId="7" fillId="36" borderId="10" xfId="235" applyNumberFormat="1" applyFont="1" applyFill="1" applyBorder="1" applyAlignment="1" applyProtection="1">
      <alignment horizontal="right"/>
      <protection locked="0"/>
    </xf>
    <xf numFmtId="168" fontId="7" fillId="36" borderId="10" xfId="235" applyNumberFormat="1" applyFont="1" applyFill="1" applyBorder="1" applyProtection="1">
      <protection locked="0"/>
    </xf>
    <xf numFmtId="14" fontId="7" fillId="36" borderId="10" xfId="235" applyNumberFormat="1" applyFont="1" applyFill="1" applyBorder="1" applyAlignment="1" applyProtection="1">
      <alignment horizontal="center"/>
      <protection locked="0"/>
    </xf>
    <xf numFmtId="170" fontId="7" fillId="36" borderId="16" xfId="232" applyNumberFormat="1" applyFont="1" applyFill="1" applyBorder="1" applyAlignment="1" applyProtection="1">
      <alignment horizontal="right"/>
      <protection locked="0"/>
    </xf>
    <xf numFmtId="166" fontId="7" fillId="36" borderId="10" xfId="237" applyNumberFormat="1" applyFont="1" applyFill="1" applyBorder="1" applyAlignment="1" applyProtection="1">
      <alignment horizontal="right"/>
      <protection locked="0"/>
    </xf>
    <xf numFmtId="170" fontId="7" fillId="36" borderId="10" xfId="237" applyNumberFormat="1" applyFont="1" applyFill="1" applyBorder="1" applyAlignment="1" applyProtection="1">
      <alignment horizontal="right"/>
      <protection locked="0"/>
    </xf>
    <xf numFmtId="1" fontId="7" fillId="36" borderId="10" xfId="237" applyNumberFormat="1" applyFont="1" applyFill="1" applyBorder="1" applyAlignment="1" applyProtection="1">
      <alignment horizontal="right"/>
      <protection locked="0"/>
    </xf>
    <xf numFmtId="164" fontId="7" fillId="36" borderId="10" xfId="237" applyNumberFormat="1" applyFont="1" applyFill="1" applyBorder="1" applyAlignment="1" applyProtection="1">
      <alignment horizontal="right"/>
      <protection locked="0"/>
    </xf>
    <xf numFmtId="14" fontId="7" fillId="36" borderId="10" xfId="235" applyNumberFormat="1" applyFont="1" applyFill="1" applyBorder="1" applyProtection="1">
      <protection locked="0"/>
    </xf>
    <xf numFmtId="164" fontId="7" fillId="36" borderId="10" xfId="235" applyNumberFormat="1" applyFont="1" applyFill="1" applyBorder="1" applyProtection="1">
      <protection locked="0"/>
    </xf>
    <xf numFmtId="167" fontId="39" fillId="37" borderId="0" xfId="0" applyNumberFormat="1" applyFont="1" applyFill="1" applyAlignment="1">
      <alignment horizontal="left" vertical="center" wrapText="1"/>
    </xf>
    <xf numFmtId="10" fontId="34" fillId="13" borderId="10" xfId="244" applyNumberFormat="1" applyFont="1" applyFill="1" applyBorder="1" applyAlignment="1">
      <alignment horizontal="right"/>
    </xf>
    <xf numFmtId="41" fontId="9" fillId="37" borderId="10" xfId="233" applyNumberFormat="1" applyFont="1" applyFill="1" applyBorder="1"/>
    <xf numFmtId="41" fontId="60" fillId="37" borderId="10" xfId="233" applyNumberFormat="1" applyFont="1" applyFill="1" applyBorder="1" applyAlignment="1">
      <alignment horizontal="left"/>
    </xf>
    <xf numFmtId="41" fontId="32" fillId="37" borderId="10" xfId="233" applyNumberFormat="1" applyFont="1" applyFill="1" applyBorder="1"/>
    <xf numFmtId="49" fontId="9" fillId="37" borderId="10" xfId="232" applyNumberFormat="1" applyFont="1" applyFill="1" applyBorder="1"/>
    <xf numFmtId="167" fontId="9" fillId="37" borderId="0" xfId="0" applyNumberFormat="1" applyFont="1" applyFill="1" applyAlignment="1">
      <alignment horizontal="left" vertical="center" wrapText="1"/>
    </xf>
    <xf numFmtId="49" fontId="32" fillId="35" borderId="10" xfId="235" applyNumberFormat="1" applyFont="1" applyFill="1" applyBorder="1" applyAlignment="1">
      <alignment horizontal="center" vertical="center"/>
    </xf>
    <xf numFmtId="164" fontId="7" fillId="38" borderId="10" xfId="78" applyNumberFormat="1" applyFont="1" applyFill="1" applyBorder="1" applyAlignment="1" applyProtection="1">
      <alignment horizontal="right"/>
    </xf>
    <xf numFmtId="0" fontId="54" fillId="32" borderId="0" xfId="154">
      <alignment vertical="center"/>
    </xf>
    <xf numFmtId="0" fontId="43" fillId="0" borderId="0" xfId="0" applyFont="1" applyAlignment="1">
      <alignment horizontal="right" indent="2"/>
    </xf>
    <xf numFmtId="0" fontId="43" fillId="0" borderId="0" xfId="0" applyFont="1"/>
    <xf numFmtId="0" fontId="43" fillId="0" borderId="17" xfId="0" applyFont="1" applyBorder="1"/>
    <xf numFmtId="0" fontId="43" fillId="0" borderId="18" xfId="0" applyFont="1" applyBorder="1"/>
    <xf numFmtId="49" fontId="62" fillId="37" borderId="0" xfId="155" applyFont="1" applyFill="1">
      <alignment vertical="center"/>
    </xf>
    <xf numFmtId="14" fontId="62" fillId="37" borderId="0" xfId="232" applyNumberFormat="1" applyFont="1" applyFill="1" applyAlignment="1">
      <alignment horizontal="left"/>
    </xf>
    <xf numFmtId="14" fontId="62" fillId="37" borderId="0" xfId="232" applyNumberFormat="1" applyFont="1" applyFill="1" applyAlignment="1">
      <alignment horizontal="right"/>
    </xf>
    <xf numFmtId="14" fontId="54" fillId="37" borderId="0" xfId="232" applyNumberFormat="1" applyFont="1" applyFill="1" applyAlignment="1">
      <alignment horizontal="right"/>
    </xf>
    <xf numFmtId="0" fontId="0" fillId="9" borderId="0" xfId="232" applyFont="1"/>
    <xf numFmtId="167" fontId="9" fillId="35" borderId="10" xfId="0" applyNumberFormat="1" applyFont="1" applyFill="1" applyBorder="1" applyAlignment="1">
      <alignment horizontal="center" vertical="center" wrapText="1"/>
    </xf>
    <xf numFmtId="167" fontId="32" fillId="35" borderId="10" xfId="0" applyNumberFormat="1" applyFont="1" applyFill="1" applyBorder="1" applyAlignment="1">
      <alignment horizontal="center" vertical="center" wrapText="1"/>
    </xf>
    <xf numFmtId="167" fontId="61" fillId="35" borderId="10" xfId="0" applyNumberFormat="1" applyFont="1" applyFill="1" applyBorder="1" applyAlignment="1">
      <alignment horizontal="center" vertical="center" wrapText="1"/>
    </xf>
    <xf numFmtId="0" fontId="7" fillId="36" borderId="10" xfId="232" applyFont="1" applyFill="1" applyBorder="1" applyAlignment="1" applyProtection="1">
      <alignment horizontal="center"/>
      <protection locked="0"/>
    </xf>
    <xf numFmtId="0" fontId="0" fillId="39" borderId="0" xfId="0" applyFill="1"/>
    <xf numFmtId="0" fontId="5" fillId="39" borderId="0" xfId="0" applyFont="1" applyFill="1"/>
    <xf numFmtId="49" fontId="32" fillId="35" borderId="10" xfId="232" applyNumberFormat="1" applyFont="1" applyFill="1" applyBorder="1" applyAlignment="1">
      <alignment horizontal="left" vertical="center" wrapText="1"/>
    </xf>
    <xf numFmtId="2" fontId="9" fillId="35" borderId="0" xfId="78" applyNumberFormat="1" applyFont="1" applyFill="1" applyBorder="1" applyAlignment="1" applyProtection="1">
      <alignment horizontal="center"/>
    </xf>
    <xf numFmtId="49" fontId="9" fillId="35" borderId="10" xfId="233" applyNumberFormat="1" applyFont="1" applyFill="1" applyBorder="1" applyAlignment="1">
      <alignment horizontal="center" vertical="center"/>
    </xf>
    <xf numFmtId="171" fontId="7" fillId="13" borderId="10" xfId="80" applyNumberFormat="1" applyFont="1" applyFill="1" applyBorder="1" applyAlignment="1" applyProtection="1">
      <alignment horizontal="right"/>
    </xf>
    <xf numFmtId="2" fontId="9" fillId="35" borderId="10" xfId="80" applyNumberFormat="1" applyFont="1" applyFill="1" applyBorder="1" applyAlignment="1" applyProtection="1">
      <alignment horizontal="center"/>
    </xf>
    <xf numFmtId="49" fontId="58" fillId="35" borderId="10" xfId="233" applyNumberFormat="1" applyFont="1" applyFill="1" applyBorder="1"/>
    <xf numFmtId="164" fontId="7" fillId="13" borderId="10" xfId="80" applyNumberFormat="1" applyFont="1" applyFill="1" applyBorder="1" applyAlignment="1" applyProtection="1">
      <alignment horizontal="right"/>
    </xf>
    <xf numFmtId="164" fontId="4" fillId="13" borderId="10" xfId="80" applyNumberFormat="1" applyFont="1" applyFill="1" applyBorder="1" applyAlignment="1" applyProtection="1">
      <alignment horizontal="right"/>
    </xf>
    <xf numFmtId="164" fontId="4" fillId="38" borderId="10" xfId="80" applyNumberFormat="1" applyFont="1" applyFill="1" applyBorder="1" applyAlignment="1" applyProtection="1">
      <alignment horizontal="right"/>
    </xf>
    <xf numFmtId="49" fontId="9" fillId="35" borderId="10" xfId="232" applyNumberFormat="1" applyFont="1" applyFill="1" applyBorder="1" applyAlignment="1">
      <alignment horizontal="left" vertical="center" wrapText="1"/>
    </xf>
    <xf numFmtId="49" fontId="9" fillId="37" borderId="10" xfId="232" applyNumberFormat="1" applyFont="1" applyFill="1" applyBorder="1" applyAlignment="1">
      <alignment horizontal="left" vertical="center" wrapText="1"/>
    </xf>
    <xf numFmtId="10" fontId="4" fillId="13" borderId="10" xfId="80" applyNumberFormat="1" applyFont="1" applyFill="1" applyBorder="1" applyAlignment="1" applyProtection="1">
      <alignment horizontal="right"/>
    </xf>
    <xf numFmtId="0" fontId="9" fillId="35" borderId="10" xfId="232" applyFont="1" applyFill="1" applyBorder="1" applyAlignment="1">
      <alignment horizontal="left"/>
    </xf>
    <xf numFmtId="49" fontId="32" fillId="37" borderId="10" xfId="232" applyNumberFormat="1" applyFont="1" applyFill="1" applyBorder="1" applyAlignment="1">
      <alignment horizontal="left"/>
    </xf>
    <xf numFmtId="164" fontId="34" fillId="13" borderId="10" xfId="78" applyNumberFormat="1" applyFont="1" applyFill="1" applyBorder="1" applyAlignment="1">
      <alignment horizontal="right"/>
    </xf>
    <xf numFmtId="0" fontId="7" fillId="36" borderId="16" xfId="232" applyFont="1" applyFill="1" applyBorder="1" applyAlignment="1" applyProtection="1">
      <alignment horizontal="right"/>
      <protection locked="0"/>
    </xf>
    <xf numFmtId="2" fontId="7" fillId="36" borderId="16" xfId="232" applyNumberFormat="1" applyFont="1" applyFill="1" applyBorder="1" applyAlignment="1" applyProtection="1">
      <alignment horizontal="right"/>
      <protection locked="0"/>
    </xf>
    <xf numFmtId="167" fontId="9" fillId="35" borderId="10" xfId="232" quotePrefix="1" applyNumberFormat="1" applyFont="1" applyFill="1" applyBorder="1" applyAlignment="1">
      <alignment horizontal="left" vertical="center" wrapText="1"/>
    </xf>
    <xf numFmtId="0" fontId="7" fillId="36" borderId="10" xfId="235" applyFont="1" applyFill="1" applyBorder="1" applyAlignment="1" applyProtection="1">
      <alignment horizontal="left" vertical="center"/>
      <protection locked="0"/>
    </xf>
    <xf numFmtId="164" fontId="7" fillId="39" borderId="10" xfId="235" applyNumberFormat="1" applyFont="1" applyFill="1" applyBorder="1" applyAlignment="1">
      <alignment horizontal="right"/>
    </xf>
    <xf numFmtId="10" fontId="7" fillId="39" borderId="10" xfId="235" applyNumberFormat="1" applyFont="1" applyFill="1" applyBorder="1" applyAlignment="1">
      <alignment horizontal="right"/>
    </xf>
    <xf numFmtId="10" fontId="7" fillId="13" borderId="10" xfId="78" applyNumberFormat="1" applyFont="1" applyFill="1" applyBorder="1" applyAlignment="1" applyProtection="1">
      <alignment horizontal="right"/>
    </xf>
    <xf numFmtId="164" fontId="34" fillId="13" borderId="10" xfId="78" applyNumberFormat="1" applyFont="1" applyFill="1" applyBorder="1" applyAlignment="1" applyProtection="1">
      <alignment horizontal="right"/>
    </xf>
    <xf numFmtId="164" fontId="7" fillId="35" borderId="10" xfId="78" applyNumberFormat="1" applyFont="1" applyFill="1" applyBorder="1" applyAlignment="1" applyProtection="1">
      <alignment horizontal="right"/>
    </xf>
    <xf numFmtId="164" fontId="7" fillId="36" borderId="10" xfId="78" applyNumberFormat="1" applyFont="1" applyFill="1" applyBorder="1" applyAlignment="1" applyProtection="1">
      <alignment horizontal="right" indent="1"/>
      <protection locked="0"/>
    </xf>
    <xf numFmtId="164" fontId="33" fillId="13" borderId="10" xfId="78" applyNumberFormat="1" applyFont="1" applyFill="1" applyBorder="1" applyAlignment="1" applyProtection="1">
      <alignment horizontal="right"/>
    </xf>
    <xf numFmtId="168" fontId="7" fillId="36" borderId="10" xfId="235" applyNumberFormat="1" applyFont="1" applyFill="1" applyBorder="1" applyAlignment="1" applyProtection="1">
      <alignment horizontal="center" vertical="center"/>
      <protection locked="0"/>
    </xf>
    <xf numFmtId="168" fontId="7" fillId="36" borderId="10" xfId="235" applyNumberFormat="1" applyFont="1" applyFill="1" applyBorder="1" applyAlignment="1" applyProtection="1">
      <alignment horizontal="center" vertical="center" wrapText="1"/>
      <protection locked="0"/>
    </xf>
    <xf numFmtId="49" fontId="54" fillId="37" borderId="0" xfId="155" applyFill="1">
      <alignment vertical="center"/>
    </xf>
    <xf numFmtId="167" fontId="32" fillId="35" borderId="10" xfId="232" quotePrefix="1" applyNumberFormat="1" applyFont="1" applyFill="1" applyBorder="1" applyAlignment="1">
      <alignment horizontal="left" vertical="center" wrapText="1"/>
    </xf>
    <xf numFmtId="49" fontId="32" fillId="37" borderId="10" xfId="232" applyNumberFormat="1" applyFont="1" applyFill="1" applyBorder="1"/>
    <xf numFmtId="174" fontId="34" fillId="13" borderId="10" xfId="80" applyNumberFormat="1" applyFont="1" applyFill="1" applyBorder="1" applyAlignment="1">
      <alignment horizontal="right"/>
    </xf>
    <xf numFmtId="174" fontId="34" fillId="13" borderId="10" xfId="80" applyNumberFormat="1" applyFont="1" applyFill="1" applyBorder="1" applyAlignment="1">
      <alignment horizontal="center" vertical="center"/>
    </xf>
    <xf numFmtId="14" fontId="7" fillId="36" borderId="16" xfId="232" applyNumberFormat="1" applyFont="1" applyFill="1" applyBorder="1" applyAlignment="1" applyProtection="1">
      <alignment horizontal="right"/>
      <protection locked="0"/>
    </xf>
    <xf numFmtId="164" fontId="4" fillId="38" borderId="10" xfId="78" applyNumberFormat="1" applyFont="1" applyFill="1" applyBorder="1" applyAlignment="1" applyProtection="1">
      <alignment horizontal="right"/>
    </xf>
    <xf numFmtId="0" fontId="44" fillId="0" borderId="19" xfId="0" applyFont="1" applyBorder="1"/>
    <xf numFmtId="0" fontId="44" fillId="0" borderId="20" xfId="0" applyFont="1" applyBorder="1"/>
    <xf numFmtId="0" fontId="44" fillId="0" borderId="21" xfId="0" applyFont="1" applyBorder="1"/>
    <xf numFmtId="0" fontId="44" fillId="0" borderId="17" xfId="0" applyFont="1" applyBorder="1"/>
    <xf numFmtId="0" fontId="44" fillId="0" borderId="18" xfId="0" applyFont="1" applyBorder="1"/>
    <xf numFmtId="0" fontId="44" fillId="0" borderId="0" xfId="0" applyFont="1"/>
    <xf numFmtId="0" fontId="44" fillId="0" borderId="22" xfId="0" applyFont="1" applyBorder="1"/>
    <xf numFmtId="0" fontId="44" fillId="0" borderId="23" xfId="0" applyFont="1" applyBorder="1" applyAlignment="1">
      <alignment horizontal="right" indent="2"/>
    </xf>
    <xf numFmtId="0" fontId="44" fillId="0" borderId="23" xfId="0" applyFont="1" applyBorder="1"/>
    <xf numFmtId="0" fontId="44" fillId="0" borderId="24" xfId="0" applyFont="1" applyBorder="1"/>
    <xf numFmtId="0" fontId="62" fillId="37" borderId="0" xfId="0" applyFont="1" applyFill="1" applyAlignment="1">
      <alignment horizontal="right" indent="2"/>
    </xf>
    <xf numFmtId="0" fontId="63" fillId="37" borderId="0" xfId="163" quotePrefix="1" applyFont="1" applyFill="1" applyBorder="1" applyAlignment="1" applyProtection="1"/>
    <xf numFmtId="0" fontId="63" fillId="37" borderId="0" xfId="0" quotePrefix="1" applyFont="1" applyFill="1" applyAlignment="1">
      <alignment horizontal="left"/>
    </xf>
    <xf numFmtId="0" fontId="64" fillId="39" borderId="0" xfId="163" quotePrefix="1" applyFont="1" applyFill="1" applyBorder="1" applyAlignment="1" applyProtection="1"/>
    <xf numFmtId="0" fontId="64" fillId="39" borderId="0" xfId="0" quotePrefix="1" applyFont="1" applyFill="1" applyAlignment="1">
      <alignment horizontal="left"/>
    </xf>
    <xf numFmtId="0" fontId="45" fillId="36" borderId="12" xfId="233" applyFont="1" applyFill="1" applyBorder="1" applyAlignment="1" applyProtection="1">
      <alignment horizontal="right" vertical="center"/>
      <protection locked="0"/>
    </xf>
    <xf numFmtId="0" fontId="47" fillId="40" borderId="0" xfId="0" applyFont="1" applyFill="1"/>
    <xf numFmtId="0" fontId="65" fillId="40" borderId="0" xfId="0" applyFont="1" applyFill="1"/>
    <xf numFmtId="0" fontId="7" fillId="36" borderId="10" xfId="237" applyFont="1" applyFill="1" applyBorder="1" applyAlignment="1" applyProtection="1">
      <alignment horizontal="right"/>
      <protection locked="0"/>
    </xf>
    <xf numFmtId="2" fontId="9" fillId="35" borderId="10" xfId="233" applyNumberFormat="1" applyFont="1" applyFill="1" applyBorder="1" applyAlignment="1">
      <alignment horizontal="center" vertical="center" wrapText="1"/>
    </xf>
    <xf numFmtId="41" fontId="9" fillId="35" borderId="10" xfId="233" applyNumberFormat="1" applyFont="1" applyFill="1" applyBorder="1" applyAlignment="1">
      <alignment horizontal="left" indent="1"/>
    </xf>
    <xf numFmtId="49" fontId="60" fillId="35" borderId="10" xfId="233" applyNumberFormat="1" applyFont="1" applyFill="1" applyBorder="1" applyAlignment="1">
      <alignment horizontal="left" vertical="center" wrapText="1"/>
    </xf>
    <xf numFmtId="10" fontId="7" fillId="0" borderId="0" xfId="221" applyNumberFormat="1"/>
    <xf numFmtId="166" fontId="34" fillId="38" borderId="10" xfId="80" applyNumberFormat="1" applyFont="1" applyFill="1" applyBorder="1" applyAlignment="1" applyProtection="1">
      <alignment horizontal="right"/>
    </xf>
    <xf numFmtId="49" fontId="60" fillId="35" borderId="10" xfId="233" applyNumberFormat="1" applyFont="1" applyFill="1" applyBorder="1"/>
    <xf numFmtId="172" fontId="34" fillId="13" borderId="10" xfId="80" applyNumberFormat="1" applyFont="1" applyFill="1" applyBorder="1" applyAlignment="1" applyProtection="1">
      <alignment horizontal="right"/>
    </xf>
    <xf numFmtId="164" fontId="34" fillId="13" borderId="10" xfId="80" applyNumberFormat="1" applyFont="1" applyFill="1" applyBorder="1" applyAlignment="1" applyProtection="1"/>
    <xf numFmtId="171" fontId="34" fillId="13" borderId="10" xfId="80" applyNumberFormat="1" applyFont="1" applyFill="1" applyBorder="1" applyAlignment="1" applyProtection="1"/>
    <xf numFmtId="0" fontId="7" fillId="0" borderId="0" xfId="221" applyAlignment="1">
      <alignment horizontal="left" vertical="center" wrapText="1"/>
    </xf>
    <xf numFmtId="49" fontId="9" fillId="35" borderId="10" xfId="233" applyNumberFormat="1" applyFont="1" applyFill="1" applyBorder="1" applyAlignment="1">
      <alignment horizontal="left" vertical="center" wrapText="1"/>
    </xf>
    <xf numFmtId="49" fontId="32" fillId="35" borderId="10" xfId="233" applyNumberFormat="1" applyFont="1" applyFill="1" applyBorder="1" applyAlignment="1">
      <alignment horizontal="left" vertical="center" wrapText="1"/>
    </xf>
    <xf numFmtId="173" fontId="34" fillId="13" borderId="25" xfId="80" applyNumberFormat="1" applyFont="1" applyFill="1" applyBorder="1" applyAlignment="1" applyProtection="1">
      <alignment horizontal="right"/>
    </xf>
    <xf numFmtId="173" fontId="34" fillId="13" borderId="26" xfId="80" applyNumberFormat="1" applyFont="1" applyFill="1" applyBorder="1" applyAlignment="1" applyProtection="1">
      <alignment horizontal="right"/>
    </xf>
    <xf numFmtId="173" fontId="34" fillId="13" borderId="27" xfId="80" applyNumberFormat="1" applyFont="1" applyFill="1" applyBorder="1" applyAlignment="1" applyProtection="1">
      <alignment horizontal="right"/>
    </xf>
    <xf numFmtId="173" fontId="34" fillId="13" borderId="10" xfId="80" applyNumberFormat="1" applyFont="1" applyFill="1" applyBorder="1" applyAlignment="1" applyProtection="1">
      <alignment horizontal="right"/>
    </xf>
    <xf numFmtId="173" fontId="34" fillId="13" borderId="28" xfId="80" applyNumberFormat="1" applyFont="1" applyFill="1" applyBorder="1" applyAlignment="1" applyProtection="1">
      <alignment horizontal="right"/>
    </xf>
    <xf numFmtId="173" fontId="34" fillId="13" borderId="29" xfId="80" applyNumberFormat="1" applyFont="1" applyFill="1" applyBorder="1" applyAlignment="1" applyProtection="1">
      <alignment horizontal="right"/>
    </xf>
    <xf numFmtId="49" fontId="9" fillId="35" borderId="29" xfId="233" applyNumberFormat="1" applyFont="1" applyFill="1" applyBorder="1" applyAlignment="1">
      <alignment horizontal="center" vertical="center" wrapText="1"/>
    </xf>
    <xf numFmtId="0" fontId="7" fillId="0" borderId="0" xfId="221" applyAlignment="1">
      <alignment horizontal="center" vertical="center"/>
    </xf>
    <xf numFmtId="49" fontId="32" fillId="35" borderId="15" xfId="233" applyNumberFormat="1" applyFont="1" applyFill="1" applyBorder="1" applyAlignment="1">
      <alignment horizontal="center" vertical="center"/>
    </xf>
    <xf numFmtId="0" fontId="5" fillId="39" borderId="0" xfId="233" applyFont="1" applyFill="1"/>
    <xf numFmtId="174" fontId="34" fillId="13" borderId="10" xfId="80" applyNumberFormat="1" applyFont="1" applyFill="1" applyBorder="1" applyAlignment="1" applyProtection="1">
      <alignment horizontal="right"/>
    </xf>
    <xf numFmtId="49" fontId="58" fillId="35" borderId="10" xfId="233" applyNumberFormat="1" applyFont="1" applyFill="1" applyBorder="1" applyAlignment="1">
      <alignment horizontal="center" vertical="center"/>
    </xf>
    <xf numFmtId="49" fontId="58" fillId="37" borderId="10" xfId="233" applyNumberFormat="1" applyFont="1" applyFill="1" applyBorder="1"/>
    <xf numFmtId="49" fontId="9" fillId="35" borderId="0" xfId="233" applyNumberFormat="1" applyFont="1" applyFill="1" applyAlignment="1">
      <alignment horizontal="left"/>
    </xf>
    <xf numFmtId="49" fontId="9" fillId="35" borderId="10" xfId="233" applyNumberFormat="1" applyFont="1" applyFill="1" applyBorder="1" applyAlignment="1">
      <alignment horizontal="left"/>
    </xf>
    <xf numFmtId="0" fontId="5" fillId="9" borderId="0" xfId="233" applyFont="1"/>
    <xf numFmtId="0" fontId="7" fillId="0" borderId="0" xfId="221"/>
    <xf numFmtId="0" fontId="7" fillId="9" borderId="0" xfId="233"/>
    <xf numFmtId="14" fontId="58" fillId="35" borderId="10" xfId="232" applyNumberFormat="1" applyFont="1" applyFill="1" applyBorder="1" applyAlignment="1">
      <alignment horizontal="right"/>
    </xf>
    <xf numFmtId="14" fontId="60" fillId="35" borderId="10" xfId="232" applyNumberFormat="1" applyFont="1" applyFill="1" applyBorder="1" applyAlignment="1">
      <alignment horizontal="right"/>
    </xf>
    <xf numFmtId="49" fontId="58" fillId="35" borderId="10" xfId="236" applyNumberFormat="1" applyFont="1" applyFill="1" applyBorder="1" applyAlignment="1">
      <alignment horizontal="left" vertical="center" wrapText="1"/>
    </xf>
    <xf numFmtId="0" fontId="66" fillId="0" borderId="0" xfId="0" applyFont="1"/>
    <xf numFmtId="0" fontId="0" fillId="0" borderId="0" xfId="0" applyAlignment="1">
      <alignment horizontal="left" vertical="center"/>
    </xf>
    <xf numFmtId="0" fontId="5" fillId="0" borderId="0" xfId="0" applyFont="1"/>
    <xf numFmtId="9" fontId="34" fillId="36" borderId="10" xfId="247" applyFont="1" applyFill="1" applyBorder="1" applyAlignment="1" applyProtection="1">
      <alignment horizontal="right"/>
      <protection locked="0"/>
    </xf>
    <xf numFmtId="10" fontId="34" fillId="36" borderId="10" xfId="247" applyNumberFormat="1" applyFont="1" applyFill="1" applyBorder="1" applyAlignment="1" applyProtection="1">
      <alignment horizontal="right"/>
      <protection locked="0"/>
    </xf>
    <xf numFmtId="49" fontId="32" fillId="35" borderId="0" xfId="233" applyNumberFormat="1" applyFont="1" applyFill="1" applyAlignment="1">
      <alignment horizontal="left" vertical="center" wrapText="1"/>
    </xf>
    <xf numFmtId="2" fontId="34" fillId="13" borderId="10" xfId="80" applyNumberFormat="1" applyFont="1" applyFill="1" applyBorder="1" applyAlignment="1" applyProtection="1">
      <alignment horizontal="right"/>
    </xf>
    <xf numFmtId="49" fontId="9" fillId="35" borderId="0" xfId="233" applyNumberFormat="1" applyFont="1" applyFill="1" applyAlignment="1">
      <alignment horizontal="left" vertical="center" wrapText="1"/>
    </xf>
    <xf numFmtId="10" fontId="7" fillId="38" borderId="10" xfId="80" applyNumberFormat="1" applyFont="1" applyFill="1" applyBorder="1" applyAlignment="1" applyProtection="1">
      <alignment horizontal="right"/>
    </xf>
    <xf numFmtId="0" fontId="31" fillId="9" borderId="0" xfId="231" applyFont="1" applyFill="1"/>
    <xf numFmtId="0" fontId="2" fillId="9" borderId="0" xfId="235"/>
    <xf numFmtId="0" fontId="3" fillId="9" borderId="0" xfId="235" applyFont="1"/>
    <xf numFmtId="166" fontId="5" fillId="9" borderId="0" xfId="235" applyNumberFormat="1" applyFont="1" applyAlignment="1">
      <alignment horizontal="left"/>
    </xf>
    <xf numFmtId="49" fontId="7" fillId="9" borderId="0" xfId="235" applyNumberFormat="1" applyFont="1"/>
    <xf numFmtId="164" fontId="7" fillId="38" borderId="10" xfId="235" applyNumberFormat="1" applyFont="1" applyFill="1" applyBorder="1" applyAlignment="1">
      <alignment horizontal="right"/>
    </xf>
    <xf numFmtId="166" fontId="5" fillId="0" borderId="0" xfId="235" applyNumberFormat="1" applyFont="1" applyFill="1" applyAlignment="1">
      <alignment horizontal="left"/>
    </xf>
    <xf numFmtId="164" fontId="7" fillId="9" borderId="0" xfId="235" applyNumberFormat="1" applyFont="1"/>
    <xf numFmtId="49" fontId="32" fillId="35" borderId="10" xfId="238" applyNumberFormat="1" applyFont="1" applyFill="1" applyBorder="1" applyAlignment="1">
      <alignment horizontal="left" vertical="center" wrapText="1"/>
    </xf>
    <xf numFmtId="0" fontId="67" fillId="0" borderId="0" xfId="0" applyFont="1" applyAlignment="1">
      <alignment vertical="center"/>
    </xf>
    <xf numFmtId="0" fontId="5" fillId="9" borderId="0" xfId="232" applyFont="1"/>
    <xf numFmtId="166" fontId="4" fillId="9" borderId="0" xfId="232" applyNumberFormat="1" applyFont="1" applyAlignment="1">
      <alignment horizontal="left"/>
    </xf>
    <xf numFmtId="164" fontId="7" fillId="9" borderId="0" xfId="232" applyNumberFormat="1" applyFont="1" applyAlignment="1">
      <alignment horizontal="center"/>
    </xf>
    <xf numFmtId="14" fontId="7" fillId="38" borderId="16" xfId="232" applyNumberFormat="1" applyFont="1" applyFill="1" applyBorder="1" applyAlignment="1">
      <alignment horizontal="center"/>
    </xf>
    <xf numFmtId="0" fontId="68" fillId="0" borderId="0" xfId="0" applyFont="1"/>
    <xf numFmtId="49" fontId="9" fillId="35" borderId="28" xfId="233" applyNumberFormat="1" applyFont="1" applyFill="1" applyBorder="1" applyAlignment="1">
      <alignment horizontal="center" vertical="center" wrapText="1"/>
    </xf>
    <xf numFmtId="2" fontId="32" fillId="35" borderId="10" xfId="233" applyNumberFormat="1" applyFont="1" applyFill="1" applyBorder="1" applyAlignment="1">
      <alignment horizontal="center" vertical="center" wrapText="1"/>
    </xf>
    <xf numFmtId="49" fontId="32" fillId="35" borderId="30" xfId="237" applyNumberFormat="1" applyFont="1" applyFill="1" applyBorder="1" applyAlignment="1">
      <alignment horizontal="center" vertical="center" wrapText="1"/>
    </xf>
    <xf numFmtId="49" fontId="32" fillId="35" borderId="0" xfId="237" applyNumberFormat="1" applyFont="1" applyFill="1" applyAlignment="1">
      <alignment horizontal="center" vertical="center" wrapText="1"/>
    </xf>
    <xf numFmtId="0" fontId="2" fillId="9" borderId="0" xfId="230"/>
    <xf numFmtId="0" fontId="54" fillId="37" borderId="0" xfId="230" applyFont="1" applyFill="1" applyAlignment="1">
      <alignment vertical="center"/>
    </xf>
    <xf numFmtId="0" fontId="2" fillId="9" borderId="0" xfId="230" applyAlignment="1">
      <alignment horizontal="left" vertical="center"/>
    </xf>
    <xf numFmtId="0" fontId="69" fillId="35" borderId="0" xfId="230" applyFont="1" applyFill="1" applyAlignment="1">
      <alignment vertical="center"/>
    </xf>
    <xf numFmtId="0" fontId="70" fillId="35" borderId="0" xfId="230" applyFont="1" applyFill="1" applyAlignment="1">
      <alignment vertical="center"/>
    </xf>
    <xf numFmtId="0" fontId="60" fillId="35" borderId="0" xfId="230" applyFont="1" applyFill="1" applyAlignment="1">
      <alignment vertical="center"/>
    </xf>
    <xf numFmtId="0" fontId="4" fillId="9" borderId="0" xfId="230" applyFont="1"/>
    <xf numFmtId="0" fontId="45" fillId="9" borderId="0" xfId="230" applyFont="1" applyAlignment="1">
      <alignment horizontal="left" vertical="center"/>
    </xf>
    <xf numFmtId="0" fontId="71" fillId="35" borderId="17" xfId="230" applyFont="1" applyFill="1" applyBorder="1" applyAlignment="1">
      <alignment vertical="center"/>
    </xf>
    <xf numFmtId="0" fontId="71" fillId="35" borderId="0" xfId="230" applyFont="1" applyFill="1" applyAlignment="1">
      <alignment vertical="center"/>
    </xf>
    <xf numFmtId="0" fontId="71" fillId="37" borderId="0" xfId="230" applyFont="1" applyFill="1" applyAlignment="1">
      <alignment vertical="center"/>
    </xf>
    <xf numFmtId="0" fontId="71" fillId="37" borderId="18" xfId="230" applyFont="1" applyFill="1" applyBorder="1" applyAlignment="1">
      <alignment vertical="center"/>
    </xf>
    <xf numFmtId="2" fontId="5" fillId="9" borderId="0" xfId="230" applyNumberFormat="1" applyFont="1" applyAlignment="1">
      <alignment horizontal="left" vertical="center"/>
    </xf>
    <xf numFmtId="0" fontId="5" fillId="9" borderId="0" xfId="230" applyFont="1" applyAlignment="1">
      <alignment horizontal="left" vertical="center"/>
    </xf>
    <xf numFmtId="0" fontId="45" fillId="9" borderId="0" xfId="230" applyFont="1" applyAlignment="1">
      <alignment horizontal="right" vertical="center"/>
    </xf>
    <xf numFmtId="0" fontId="45" fillId="9" borderId="0" xfId="230" applyFont="1"/>
    <xf numFmtId="0" fontId="46" fillId="35" borderId="0" xfId="233" applyFont="1" applyFill="1"/>
    <xf numFmtId="0" fontId="46" fillId="35" borderId="0" xfId="233" applyFont="1" applyFill="1" applyAlignment="1">
      <alignment horizontal="right" indent="1"/>
    </xf>
    <xf numFmtId="0" fontId="45" fillId="35" borderId="0" xfId="233" applyFont="1" applyFill="1"/>
    <xf numFmtId="0" fontId="71" fillId="35" borderId="17" xfId="233" applyFont="1" applyFill="1" applyBorder="1" applyAlignment="1">
      <alignment horizontal="left" indent="1"/>
    </xf>
    <xf numFmtId="0" fontId="72" fillId="9" borderId="0" xfId="230" applyFont="1"/>
    <xf numFmtId="0" fontId="3" fillId="9" borderId="0" xfId="232" applyFont="1"/>
    <xf numFmtId="164" fontId="7" fillId="9" borderId="0" xfId="232" applyNumberFormat="1" applyFont="1"/>
    <xf numFmtId="39" fontId="7" fillId="9" borderId="0" xfId="232" applyNumberFormat="1" applyFont="1"/>
    <xf numFmtId="0" fontId="7" fillId="9" borderId="0" xfId="232" applyFont="1"/>
    <xf numFmtId="0" fontId="37" fillId="34" borderId="10" xfId="232" applyFont="1" applyFill="1" applyBorder="1"/>
    <xf numFmtId="0" fontId="7" fillId="41" borderId="0" xfId="232" applyFont="1" applyFill="1"/>
    <xf numFmtId="0" fontId="5" fillId="0" borderId="0" xfId="234" applyFont="1" applyFill="1" applyAlignment="1">
      <alignment vertical="center"/>
    </xf>
    <xf numFmtId="166" fontId="4" fillId="9" borderId="0" xfId="233" applyNumberFormat="1" applyFont="1" applyAlignment="1">
      <alignment horizontal="left"/>
    </xf>
    <xf numFmtId="49" fontId="7" fillId="9" borderId="0" xfId="233" applyNumberFormat="1"/>
    <xf numFmtId="2" fontId="7" fillId="9" borderId="0" xfId="233" applyNumberFormat="1"/>
    <xf numFmtId="49" fontId="32" fillId="35" borderId="10" xfId="233" applyNumberFormat="1" applyFont="1" applyFill="1" applyBorder="1" applyAlignment="1">
      <alignment horizontal="center" vertical="center" wrapText="1"/>
    </xf>
    <xf numFmtId="166" fontId="9" fillId="35" borderId="10" xfId="233" applyNumberFormat="1" applyFont="1" applyFill="1" applyBorder="1" applyAlignment="1">
      <alignment horizontal="left"/>
    </xf>
    <xf numFmtId="0" fontId="9" fillId="35" borderId="10" xfId="233" applyFont="1" applyFill="1" applyBorder="1"/>
    <xf numFmtId="0" fontId="7" fillId="36" borderId="10" xfId="80" applyNumberFormat="1" applyFont="1" applyFill="1" applyBorder="1" applyAlignment="1" applyProtection="1">
      <alignment horizontal="right"/>
    </xf>
    <xf numFmtId="0" fontId="32" fillId="35" borderId="10" xfId="233" applyFont="1" applyFill="1" applyBorder="1"/>
    <xf numFmtId="49" fontId="32" fillId="37" borderId="10" xfId="233" applyNumberFormat="1" applyFont="1" applyFill="1" applyBorder="1"/>
    <xf numFmtId="49" fontId="7" fillId="9" borderId="0" xfId="232" applyNumberFormat="1" applyFont="1"/>
    <xf numFmtId="0" fontId="60" fillId="35" borderId="10" xfId="233" applyFont="1" applyFill="1" applyBorder="1"/>
    <xf numFmtId="164" fontId="7" fillId="38" borderId="10" xfId="80" applyNumberFormat="1" applyFont="1" applyFill="1" applyBorder="1" applyAlignment="1" applyProtection="1">
      <alignment horizontal="right"/>
    </xf>
    <xf numFmtId="0" fontId="0" fillId="9" borderId="0" xfId="233" applyFont="1"/>
    <xf numFmtId="0" fontId="37" fillId="34" borderId="10" xfId="233" applyFont="1" applyFill="1" applyBorder="1"/>
    <xf numFmtId="0" fontId="2" fillId="9" borderId="0" xfId="235" applyAlignment="1">
      <alignment horizontal="center" vertical="center"/>
    </xf>
    <xf numFmtId="0" fontId="68" fillId="9" borderId="0" xfId="232" applyFont="1"/>
    <xf numFmtId="0" fontId="7" fillId="41" borderId="0" xfId="234" applyFont="1" applyFill="1" applyAlignment="1">
      <alignment vertical="center"/>
    </xf>
    <xf numFmtId="0" fontId="2" fillId="9" borderId="0" xfId="232" applyAlignment="1">
      <alignment horizontal="left" indent="1"/>
    </xf>
    <xf numFmtId="0" fontId="7" fillId="9" borderId="0" xfId="232" applyFont="1" applyAlignment="1">
      <alignment horizontal="left" indent="1"/>
    </xf>
    <xf numFmtId="43" fontId="2" fillId="9" borderId="0" xfId="232" applyNumberFormat="1"/>
    <xf numFmtId="49" fontId="9" fillId="35" borderId="14" xfId="235" applyNumberFormat="1" applyFont="1" applyFill="1" applyBorder="1" applyAlignment="1">
      <alignment horizontal="center"/>
    </xf>
    <xf numFmtId="2" fontId="9" fillId="35" borderId="10" xfId="78" applyNumberFormat="1" applyFont="1" applyFill="1" applyBorder="1" applyAlignment="1" applyProtection="1">
      <alignment horizontal="center" wrapText="1"/>
    </xf>
    <xf numFmtId="0" fontId="0" fillId="9" borderId="0" xfId="235" applyFont="1"/>
    <xf numFmtId="166" fontId="7" fillId="13" borderId="10" xfId="237" applyNumberFormat="1" applyFont="1" applyFill="1" applyBorder="1" applyAlignment="1">
      <alignment horizontal="right"/>
    </xf>
    <xf numFmtId="0" fontId="73" fillId="36" borderId="10" xfId="0" applyFont="1" applyFill="1" applyBorder="1" applyAlignment="1" applyProtection="1">
      <alignment horizontal="right"/>
      <protection locked="0"/>
    </xf>
    <xf numFmtId="0" fontId="4" fillId="9" borderId="0" xfId="235" applyFont="1" applyAlignment="1">
      <alignment horizontal="right"/>
    </xf>
    <xf numFmtId="0" fontId="2" fillId="9" borderId="0" xfId="235" applyAlignment="1">
      <alignment horizontal="right"/>
    </xf>
    <xf numFmtId="0" fontId="7" fillId="9" borderId="0" xfId="235" applyFont="1"/>
    <xf numFmtId="0" fontId="32" fillId="37" borderId="15" xfId="235" applyFont="1" applyFill="1" applyBorder="1" applyAlignment="1">
      <alignment horizontal="left"/>
    </xf>
    <xf numFmtId="10" fontId="7" fillId="36" borderId="10" xfId="78" applyNumberFormat="1" applyFont="1" applyFill="1" applyBorder="1" applyAlignment="1" applyProtection="1">
      <alignment horizontal="right"/>
      <protection locked="0"/>
    </xf>
    <xf numFmtId="49" fontId="60" fillId="35" borderId="10" xfId="233" applyNumberFormat="1" applyFont="1" applyFill="1" applyBorder="1" applyAlignment="1">
      <alignment vertical="center" wrapText="1"/>
    </xf>
    <xf numFmtId="49" fontId="32" fillId="35" borderId="31" xfId="233" applyNumberFormat="1" applyFont="1" applyFill="1" applyBorder="1" applyAlignment="1">
      <alignment horizontal="left" vertical="center" wrapText="1"/>
    </xf>
    <xf numFmtId="0" fontId="7" fillId="0" borderId="0" xfId="221" applyAlignment="1">
      <alignment vertical="center" wrapText="1"/>
    </xf>
    <xf numFmtId="168" fontId="7" fillId="36" borderId="10" xfId="235" applyNumberFormat="1" applyFont="1" applyFill="1" applyBorder="1" applyAlignment="1" applyProtection="1">
      <alignment horizontal="left" wrapText="1"/>
      <protection locked="0"/>
    </xf>
    <xf numFmtId="0" fontId="7" fillId="36" borderId="10" xfId="235" applyFont="1" applyFill="1" applyBorder="1" applyAlignment="1" applyProtection="1">
      <alignment horizontal="left" wrapText="1"/>
      <protection locked="0"/>
    </xf>
    <xf numFmtId="49" fontId="7" fillId="36" borderId="10" xfId="78" applyNumberFormat="1" applyFont="1" applyFill="1" applyBorder="1" applyAlignment="1" applyProtection="1">
      <alignment horizontal="right"/>
      <protection locked="0"/>
    </xf>
    <xf numFmtId="49" fontId="7" fillId="35" borderId="10" xfId="233" applyNumberFormat="1" applyFill="1" applyBorder="1" applyAlignment="1">
      <alignment horizontal="left"/>
    </xf>
    <xf numFmtId="49" fontId="7" fillId="36" borderId="10" xfId="235" applyNumberFormat="1" applyFont="1" applyFill="1" applyBorder="1" applyProtection="1">
      <protection locked="0"/>
    </xf>
    <xf numFmtId="49" fontId="32" fillId="13" borderId="15" xfId="235" applyNumberFormat="1" applyFont="1" applyFill="1" applyBorder="1" applyAlignment="1">
      <alignment horizontal="right"/>
    </xf>
    <xf numFmtId="49" fontId="61" fillId="35" borderId="10" xfId="233" applyNumberFormat="1" applyFont="1" applyFill="1" applyBorder="1" applyAlignment="1">
      <alignment horizontal="left"/>
    </xf>
    <xf numFmtId="49" fontId="7" fillId="36" borderId="10" xfId="78" applyNumberFormat="1" applyFont="1" applyFill="1" applyBorder="1" applyAlignment="1" applyProtection="1">
      <protection locked="0"/>
    </xf>
    <xf numFmtId="49" fontId="32" fillId="35" borderId="10" xfId="233" quotePrefix="1" applyNumberFormat="1" applyFont="1" applyFill="1" applyBorder="1" applyAlignment="1">
      <alignment horizontal="center" vertical="center" wrapText="1"/>
    </xf>
    <xf numFmtId="49" fontId="61" fillId="35" borderId="10" xfId="237" applyNumberFormat="1" applyFont="1" applyFill="1" applyBorder="1" applyAlignment="1">
      <alignment horizontal="left"/>
    </xf>
    <xf numFmtId="49" fontId="7" fillId="36" borderId="10" xfId="237" applyNumberFormat="1" applyFont="1" applyFill="1" applyBorder="1" applyAlignment="1" applyProtection="1">
      <alignment horizontal="right"/>
      <protection locked="0"/>
    </xf>
    <xf numFmtId="49" fontId="7" fillId="13" borderId="10" xfId="237" applyNumberFormat="1" applyFont="1" applyFill="1" applyBorder="1" applyAlignment="1">
      <alignment horizontal="right"/>
    </xf>
    <xf numFmtId="49" fontId="58" fillId="35" borderId="10" xfId="237" applyNumberFormat="1" applyFont="1" applyFill="1" applyBorder="1" applyAlignment="1">
      <alignment horizontal="left"/>
    </xf>
    <xf numFmtId="49" fontId="7" fillId="36" borderId="10" xfId="237" applyNumberFormat="1" applyFont="1" applyFill="1" applyBorder="1" applyAlignment="1" applyProtection="1">
      <alignment vertical="top"/>
      <protection locked="0"/>
    </xf>
    <xf numFmtId="49" fontId="7" fillId="36" borderId="10" xfId="232" applyNumberFormat="1" applyFont="1" applyFill="1" applyBorder="1" applyAlignment="1" applyProtection="1">
      <alignment horizontal="center"/>
      <protection locked="0"/>
    </xf>
    <xf numFmtId="41" fontId="9" fillId="35" borderId="15" xfId="233" applyNumberFormat="1" applyFont="1" applyFill="1" applyBorder="1" applyAlignment="1" applyProtection="1">
      <alignment horizontal="left" indent="1"/>
      <protection locked="0"/>
    </xf>
    <xf numFmtId="164" fontId="7" fillId="36" borderId="10" xfId="78" applyNumberFormat="1" applyFont="1" applyFill="1" applyBorder="1" applyAlignment="1" applyProtection="1">
      <protection locked="0"/>
    </xf>
    <xf numFmtId="175" fontId="4" fillId="13" borderId="10" xfId="80" applyNumberFormat="1" applyFont="1" applyFill="1" applyBorder="1" applyAlignment="1" applyProtection="1">
      <alignment horizontal="right"/>
    </xf>
    <xf numFmtId="0" fontId="60" fillId="35" borderId="42" xfId="0" applyFont="1" applyFill="1" applyBorder="1"/>
    <xf numFmtId="0" fontId="60" fillId="35" borderId="0" xfId="0" applyFont="1" applyFill="1" applyAlignment="1">
      <alignment horizontal="center"/>
    </xf>
    <xf numFmtId="0" fontId="60" fillId="35" borderId="0" xfId="0" applyFont="1" applyFill="1"/>
    <xf numFmtId="0" fontId="60" fillId="35" borderId="43" xfId="0" applyFont="1" applyFill="1" applyBorder="1"/>
    <xf numFmtId="14" fontId="0" fillId="0" borderId="0" xfId="0" applyNumberFormat="1"/>
    <xf numFmtId="0" fontId="4" fillId="0" borderId="0" xfId="0" applyFont="1"/>
    <xf numFmtId="0" fontId="12" fillId="0" borderId="0" xfId="163" applyAlignment="1" applyProtection="1"/>
    <xf numFmtId="0" fontId="75" fillId="0" borderId="0" xfId="0" applyFont="1"/>
    <xf numFmtId="0" fontId="51" fillId="0" borderId="0" xfId="0" applyFont="1"/>
    <xf numFmtId="14" fontId="7" fillId="36" borderId="16" xfId="232" quotePrefix="1" applyNumberFormat="1" applyFont="1" applyFill="1" applyBorder="1" applyAlignment="1" applyProtection="1">
      <alignment horizontal="right"/>
      <protection locked="0"/>
    </xf>
    <xf numFmtId="170" fontId="7" fillId="36" borderId="10" xfId="237" quotePrefix="1" applyNumberFormat="1" applyFont="1" applyFill="1" applyBorder="1" applyAlignment="1" applyProtection="1">
      <alignment horizontal="right"/>
      <protection locked="0"/>
    </xf>
    <xf numFmtId="0" fontId="77" fillId="43" borderId="45" xfId="0" applyFont="1" applyFill="1" applyBorder="1" applyAlignment="1">
      <alignment wrapText="1"/>
    </xf>
    <xf numFmtId="0" fontId="76" fillId="44" borderId="46" xfId="0" applyFont="1" applyFill="1" applyBorder="1" applyAlignment="1">
      <alignment wrapText="1"/>
    </xf>
    <xf numFmtId="0" fontId="78" fillId="45" borderId="47" xfId="0" applyFont="1" applyFill="1" applyBorder="1"/>
    <xf numFmtId="3" fontId="78" fillId="45" borderId="47" xfId="0" applyNumberFormat="1" applyFont="1" applyFill="1" applyBorder="1"/>
    <xf numFmtId="3" fontId="4" fillId="0" borderId="44" xfId="0" applyNumberFormat="1" applyFont="1" applyBorder="1"/>
    <xf numFmtId="0" fontId="4" fillId="0" borderId="0" xfId="0" applyFont="1" applyAlignment="1">
      <alignment vertical="center" wrapText="1"/>
    </xf>
    <xf numFmtId="176" fontId="75" fillId="0" borderId="0" xfId="0" applyNumberFormat="1" applyFont="1"/>
    <xf numFmtId="177" fontId="0" fillId="0" borderId="0" xfId="78" applyNumberFormat="1" applyFont="1"/>
    <xf numFmtId="0" fontId="7" fillId="46" borderId="0" xfId="0" applyFont="1" applyFill="1"/>
    <xf numFmtId="3" fontId="78" fillId="46" borderId="47" xfId="0" applyNumberFormat="1" applyFont="1" applyFill="1" applyBorder="1"/>
    <xf numFmtId="0" fontId="50" fillId="34" borderId="0" xfId="0" applyFont="1" applyFill="1"/>
    <xf numFmtId="0" fontId="79" fillId="34" borderId="47" xfId="0" applyFont="1" applyFill="1" applyBorder="1"/>
    <xf numFmtId="3" fontId="79" fillId="34" borderId="47" xfId="0" applyNumberFormat="1" applyFont="1" applyFill="1" applyBorder="1"/>
    <xf numFmtId="0" fontId="52" fillId="0" borderId="0" xfId="0" applyFont="1"/>
    <xf numFmtId="0" fontId="52" fillId="42" borderId="0" xfId="0" applyFont="1" applyFill="1" applyAlignment="1">
      <alignment vertical="top" wrapText="1"/>
    </xf>
    <xf numFmtId="0" fontId="52" fillId="42" borderId="0" xfId="0" applyFont="1" applyFill="1"/>
    <xf numFmtId="169" fontId="52" fillId="42" borderId="0" xfId="78" applyNumberFormat="1" applyFont="1" applyFill="1" applyBorder="1"/>
    <xf numFmtId="0" fontId="4" fillId="46" borderId="0" xfId="0" applyFont="1" applyFill="1"/>
    <xf numFmtId="0" fontId="50" fillId="46" borderId="0" xfId="0" applyFont="1" applyFill="1"/>
    <xf numFmtId="3" fontId="50" fillId="46" borderId="0" xfId="0" applyNumberFormat="1" applyFont="1" applyFill="1"/>
    <xf numFmtId="0" fontId="76" fillId="47" borderId="46" xfId="0" applyFont="1" applyFill="1" applyBorder="1" applyAlignment="1">
      <alignment wrapText="1"/>
    </xf>
    <xf numFmtId="0" fontId="7" fillId="48" borderId="0" xfId="0" applyFont="1" applyFill="1"/>
    <xf numFmtId="0" fontId="50" fillId="48" borderId="0" xfId="0" applyFont="1" applyFill="1"/>
    <xf numFmtId="0" fontId="80" fillId="45" borderId="47" xfId="0" applyFont="1" applyFill="1" applyBorder="1"/>
    <xf numFmtId="3" fontId="78" fillId="48" borderId="47" xfId="0" applyNumberFormat="1" applyFont="1" applyFill="1" applyBorder="1"/>
    <xf numFmtId="169" fontId="50" fillId="48" borderId="0" xfId="78" applyNumberFormat="1" applyFont="1" applyFill="1"/>
    <xf numFmtId="0" fontId="2" fillId="0" borderId="0" xfId="0" applyFont="1"/>
    <xf numFmtId="166" fontId="2" fillId="36" borderId="10" xfId="232" applyNumberFormat="1" applyFill="1" applyBorder="1" applyAlignment="1" applyProtection="1">
      <alignment horizontal="left" indent="1"/>
      <protection locked="0"/>
    </xf>
    <xf numFmtId="166" fontId="2" fillId="36" borderId="16" xfId="232" applyNumberFormat="1" applyFill="1" applyBorder="1" applyAlignment="1" applyProtection="1">
      <alignment horizontal="center"/>
      <protection locked="0"/>
    </xf>
    <xf numFmtId="14" fontId="2" fillId="36" borderId="10" xfId="235" quotePrefix="1" applyNumberFormat="1" applyFill="1" applyBorder="1" applyProtection="1">
      <protection locked="0"/>
    </xf>
    <xf numFmtId="0" fontId="2" fillId="36" borderId="10" xfId="273" applyNumberFormat="1" applyFont="1" applyFill="1" applyBorder="1" applyAlignment="1" applyProtection="1">
      <alignment horizontal="center"/>
    </xf>
    <xf numFmtId="49" fontId="2" fillId="36" borderId="10" xfId="232" quotePrefix="1" applyNumberFormat="1" applyFill="1" applyBorder="1" applyAlignment="1" applyProtection="1">
      <alignment horizontal="center" vertical="center" wrapText="1"/>
      <protection locked="0"/>
    </xf>
    <xf numFmtId="49" fontId="2" fillId="36" borderId="10" xfId="78" applyNumberFormat="1" applyFont="1" applyFill="1" applyBorder="1" applyAlignment="1" applyProtection="1">
      <alignment horizontal="center"/>
      <protection locked="0"/>
    </xf>
    <xf numFmtId="49" fontId="2" fillId="36" borderId="10" xfId="78" applyNumberFormat="1" applyFont="1" applyFill="1" applyBorder="1" applyAlignment="1" applyProtection="1">
      <alignment horizontal="right"/>
      <protection locked="0"/>
    </xf>
    <xf numFmtId="49" fontId="2" fillId="36" borderId="10" xfId="273" applyNumberFormat="1" applyFont="1" applyFill="1" applyBorder="1" applyAlignment="1" applyProtection="1">
      <alignment horizontal="center"/>
      <protection locked="0"/>
    </xf>
    <xf numFmtId="49" fontId="0" fillId="36" borderId="10" xfId="273" applyNumberFormat="1" applyFont="1" applyFill="1" applyBorder="1" applyAlignment="1" applyProtection="1">
      <alignment horizontal="center"/>
      <protection locked="0"/>
    </xf>
    <xf numFmtId="49" fontId="2" fillId="36" borderId="10" xfId="235" applyNumberFormat="1" applyFill="1" applyBorder="1" applyAlignment="1" applyProtection="1">
      <alignment horizontal="center"/>
      <protection locked="0"/>
    </xf>
    <xf numFmtId="49" fontId="7" fillId="35" borderId="10" xfId="233" applyNumberFormat="1" applyFill="1" applyBorder="1" applyAlignment="1">
      <alignment horizontal="center"/>
    </xf>
    <xf numFmtId="49" fontId="2" fillId="36" borderId="10" xfId="237" applyNumberFormat="1" applyFill="1" applyBorder="1" applyAlignment="1" applyProtection="1">
      <alignment horizontal="center"/>
      <protection locked="0"/>
    </xf>
    <xf numFmtId="49" fontId="2" fillId="36" borderId="10" xfId="237" applyNumberFormat="1" applyFill="1" applyBorder="1" applyAlignment="1" applyProtection="1">
      <alignment horizontal="center" vertical="top"/>
      <protection locked="0"/>
    </xf>
    <xf numFmtId="168" fontId="2" fillId="36" borderId="10" xfId="235" applyNumberFormat="1" applyFill="1" applyBorder="1" applyAlignment="1" applyProtection="1">
      <alignment horizontal="center"/>
      <protection locked="0"/>
    </xf>
    <xf numFmtId="49" fontId="2" fillId="36" borderId="10" xfId="232" applyNumberFormat="1" applyFill="1" applyBorder="1" applyAlignment="1" applyProtection="1">
      <alignment horizontal="center"/>
      <protection locked="0"/>
    </xf>
    <xf numFmtId="49" fontId="7" fillId="36" borderId="10" xfId="235" applyNumberFormat="1" applyFont="1" applyFill="1" applyBorder="1" applyAlignment="1" applyProtection="1">
      <alignment horizontal="center"/>
      <protection locked="0"/>
    </xf>
    <xf numFmtId="0" fontId="2" fillId="36" borderId="16" xfId="232" applyFill="1" applyBorder="1" applyAlignment="1" applyProtection="1">
      <alignment horizontal="center"/>
      <protection locked="0"/>
    </xf>
    <xf numFmtId="168" fontId="2" fillId="36" borderId="10" xfId="235" applyNumberFormat="1" applyFill="1" applyBorder="1" applyAlignment="1" applyProtection="1">
      <alignment horizontal="center" vertical="center" wrapText="1"/>
      <protection locked="0"/>
    </xf>
    <xf numFmtId="0" fontId="2" fillId="36" borderId="10" xfId="237" applyFill="1" applyBorder="1" applyAlignment="1" applyProtection="1">
      <alignment horizontal="center"/>
      <protection locked="0"/>
    </xf>
    <xf numFmtId="166" fontId="2" fillId="36" borderId="10" xfId="237" applyNumberFormat="1" applyFill="1" applyBorder="1" applyAlignment="1" applyProtection="1">
      <alignment horizontal="right"/>
      <protection locked="0"/>
    </xf>
    <xf numFmtId="1" fontId="7" fillId="36" borderId="16" xfId="232" applyNumberFormat="1" applyFont="1" applyFill="1" applyBorder="1" applyAlignment="1" applyProtection="1">
      <alignment horizontal="right" wrapText="1"/>
      <protection locked="0"/>
    </xf>
    <xf numFmtId="164" fontId="2" fillId="36" borderId="10" xfId="235" applyNumberFormat="1" applyFill="1" applyBorder="1" applyProtection="1">
      <protection locked="0"/>
    </xf>
    <xf numFmtId="0" fontId="0" fillId="42" borderId="0" xfId="0" applyFill="1"/>
    <xf numFmtId="0" fontId="45" fillId="36" borderId="15" xfId="233" applyFont="1" applyFill="1" applyBorder="1" applyAlignment="1" applyProtection="1">
      <alignment horizontal="right" vertical="center"/>
      <protection locked="0"/>
    </xf>
    <xf numFmtId="0" fontId="45" fillId="36" borderId="32" xfId="233" applyFont="1" applyFill="1" applyBorder="1" applyAlignment="1" applyProtection="1">
      <alignment horizontal="right" vertical="center"/>
      <protection locked="0"/>
    </xf>
    <xf numFmtId="0" fontId="45" fillId="36" borderId="16" xfId="233" applyFont="1" applyFill="1" applyBorder="1" applyAlignment="1" applyProtection="1">
      <alignment horizontal="right" vertical="center"/>
      <protection locked="0"/>
    </xf>
    <xf numFmtId="0" fontId="81" fillId="35" borderId="19" xfId="233" applyFont="1" applyFill="1" applyBorder="1" applyAlignment="1">
      <alignment horizontal="center"/>
    </xf>
    <xf numFmtId="0" fontId="81" fillId="35" borderId="20" xfId="233" applyFont="1" applyFill="1" applyBorder="1" applyAlignment="1">
      <alignment horizontal="center"/>
    </xf>
    <xf numFmtId="0" fontId="81" fillId="35" borderId="21" xfId="233" applyFont="1" applyFill="1" applyBorder="1" applyAlignment="1">
      <alignment horizontal="center"/>
    </xf>
    <xf numFmtId="0" fontId="71" fillId="35" borderId="17" xfId="233" applyFont="1" applyFill="1" applyBorder="1" applyAlignment="1">
      <alignment horizontal="left" vertical="top"/>
    </xf>
    <xf numFmtId="49" fontId="5" fillId="36" borderId="32" xfId="230" applyNumberFormat="1" applyFont="1" applyFill="1" applyBorder="1" applyAlignment="1" applyProtection="1">
      <alignment horizontal="right" vertical="center"/>
      <protection locked="0"/>
    </xf>
    <xf numFmtId="49" fontId="45" fillId="36" borderId="32" xfId="229" applyNumberFormat="1" applyFont="1" applyFill="1" applyBorder="1" applyAlignment="1" applyProtection="1">
      <alignment horizontal="right" vertical="center"/>
      <protection locked="0"/>
    </xf>
    <xf numFmtId="49" fontId="45" fillId="36" borderId="16" xfId="229" applyNumberFormat="1" applyFont="1" applyFill="1" applyBorder="1" applyAlignment="1" applyProtection="1">
      <alignment horizontal="right" vertical="center"/>
      <protection locked="0"/>
    </xf>
    <xf numFmtId="0" fontId="71" fillId="35" borderId="30" xfId="230" applyFont="1" applyFill="1" applyBorder="1" applyAlignment="1">
      <alignment horizontal="left" vertical="center" wrapText="1"/>
    </xf>
    <xf numFmtId="0" fontId="71" fillId="35" borderId="0" xfId="230" applyFont="1" applyFill="1" applyAlignment="1">
      <alignment horizontal="left" vertical="center" wrapText="1"/>
    </xf>
    <xf numFmtId="0" fontId="71" fillId="35" borderId="15" xfId="230" applyFont="1" applyFill="1" applyBorder="1" applyAlignment="1">
      <alignment horizontal="left" vertical="center"/>
    </xf>
    <xf numFmtId="0" fontId="71" fillId="35" borderId="16" xfId="230" applyFont="1" applyFill="1" applyBorder="1" applyAlignment="1">
      <alignment horizontal="left" vertical="center"/>
    </xf>
    <xf numFmtId="14" fontId="5" fillId="36" borderId="32" xfId="230" applyNumberFormat="1" applyFont="1" applyFill="1" applyBorder="1" applyAlignment="1" applyProtection="1">
      <alignment horizontal="right" vertical="center"/>
      <protection locked="0"/>
    </xf>
    <xf numFmtId="14" fontId="45" fillId="36" borderId="32" xfId="229" applyNumberFormat="1" applyFont="1" applyFill="1" applyBorder="1" applyAlignment="1" applyProtection="1">
      <alignment horizontal="right" vertical="center"/>
      <protection locked="0"/>
    </xf>
    <xf numFmtId="14" fontId="45" fillId="36" borderId="16" xfId="229" applyNumberFormat="1" applyFont="1" applyFill="1" applyBorder="1" applyAlignment="1" applyProtection="1">
      <alignment horizontal="right" vertical="center"/>
      <protection locked="0"/>
    </xf>
    <xf numFmtId="0" fontId="5" fillId="36" borderId="10" xfId="230" applyFont="1" applyFill="1" applyBorder="1" applyAlignment="1" applyProtection="1">
      <alignment horizontal="right" vertical="center"/>
      <protection locked="0"/>
    </xf>
    <xf numFmtId="0" fontId="45" fillId="36" borderId="10" xfId="230" applyFont="1" applyFill="1" applyBorder="1" applyAlignment="1" applyProtection="1">
      <alignment horizontal="right" vertical="center"/>
      <protection locked="0"/>
    </xf>
    <xf numFmtId="0" fontId="71" fillId="35" borderId="32" xfId="230" applyFont="1" applyFill="1" applyBorder="1" applyAlignment="1">
      <alignment horizontal="left" vertical="center"/>
    </xf>
    <xf numFmtId="0" fontId="5" fillId="36" borderId="32" xfId="230" applyFont="1" applyFill="1" applyBorder="1" applyAlignment="1" applyProtection="1">
      <alignment horizontal="right" vertical="center"/>
      <protection locked="0"/>
    </xf>
    <xf numFmtId="0" fontId="45" fillId="36" borderId="32" xfId="229" applyFont="1" applyFill="1" applyBorder="1" applyAlignment="1" applyProtection="1">
      <alignment horizontal="right" vertical="center"/>
      <protection locked="0"/>
    </xf>
    <xf numFmtId="0" fontId="45" fillId="36" borderId="16" xfId="229" applyFont="1" applyFill="1" applyBorder="1" applyAlignment="1" applyProtection="1">
      <alignment horizontal="right" vertical="center"/>
      <protection locked="0"/>
    </xf>
    <xf numFmtId="0" fontId="71" fillId="35" borderId="0" xfId="230" applyFont="1" applyFill="1" applyAlignment="1">
      <alignment horizontal="left" vertical="center"/>
    </xf>
    <xf numFmtId="0" fontId="46" fillId="35" borderId="0" xfId="233" applyFont="1" applyFill="1" applyAlignment="1">
      <alignment horizontal="right" indent="1"/>
    </xf>
    <xf numFmtId="0" fontId="46" fillId="35" borderId="31" xfId="233" applyFont="1" applyFill="1" applyBorder="1" applyAlignment="1">
      <alignment horizontal="right" indent="1"/>
    </xf>
    <xf numFmtId="0" fontId="81" fillId="35" borderId="22" xfId="233" applyFont="1" applyFill="1" applyBorder="1" applyAlignment="1">
      <alignment horizontal="center"/>
    </xf>
    <xf numFmtId="0" fontId="81" fillId="35" borderId="23" xfId="233" applyFont="1" applyFill="1" applyBorder="1" applyAlignment="1">
      <alignment horizontal="center"/>
    </xf>
    <xf numFmtId="0" fontId="81" fillId="35" borderId="24" xfId="233" applyFont="1" applyFill="1" applyBorder="1" applyAlignment="1">
      <alignment horizontal="center"/>
    </xf>
    <xf numFmtId="0" fontId="71" fillId="35" borderId="22" xfId="233" applyFont="1" applyFill="1" applyBorder="1" applyAlignment="1">
      <alignment horizontal="left" vertical="top"/>
    </xf>
    <xf numFmtId="0" fontId="81" fillId="35" borderId="23" xfId="233" applyFont="1" applyFill="1" applyBorder="1" applyAlignment="1">
      <alignment horizontal="center" vertical="center"/>
    </xf>
    <xf numFmtId="0" fontId="81" fillId="35" borderId="24" xfId="233" applyFont="1" applyFill="1" applyBorder="1" applyAlignment="1">
      <alignment horizontal="center" vertical="center"/>
    </xf>
    <xf numFmtId="0" fontId="46" fillId="35" borderId="18" xfId="233" applyFont="1" applyFill="1" applyBorder="1" applyAlignment="1">
      <alignment horizontal="center"/>
    </xf>
    <xf numFmtId="0" fontId="46" fillId="35" borderId="0" xfId="233" applyFont="1" applyFill="1" applyAlignment="1">
      <alignment horizontal="center"/>
    </xf>
    <xf numFmtId="0" fontId="45" fillId="36" borderId="10" xfId="233" applyFont="1" applyFill="1" applyBorder="1" applyAlignment="1" applyProtection="1">
      <alignment horizontal="right" vertical="center"/>
      <protection locked="0"/>
    </xf>
    <xf numFmtId="0" fontId="45" fillId="35" borderId="30" xfId="233" applyFont="1" applyFill="1" applyBorder="1" applyAlignment="1">
      <alignment horizontal="center"/>
    </xf>
    <xf numFmtId="0" fontId="45" fillId="35" borderId="18" xfId="233" applyFont="1" applyFill="1" applyBorder="1" applyAlignment="1">
      <alignment horizontal="center"/>
    </xf>
    <xf numFmtId="0" fontId="45" fillId="9" borderId="32" xfId="233" applyFont="1" applyBorder="1" applyAlignment="1" applyProtection="1">
      <alignment horizontal="right" vertical="center"/>
      <protection locked="0"/>
    </xf>
    <xf numFmtId="0" fontId="45" fillId="9" borderId="16" xfId="233" applyFont="1" applyBorder="1" applyAlignment="1" applyProtection="1">
      <alignment horizontal="right" vertical="center"/>
      <protection locked="0"/>
    </xf>
    <xf numFmtId="0" fontId="45" fillId="36" borderId="15" xfId="233" quotePrefix="1" applyFont="1" applyFill="1" applyBorder="1" applyAlignment="1" applyProtection="1">
      <alignment horizontal="right" vertical="center"/>
      <protection locked="0"/>
    </xf>
    <xf numFmtId="0" fontId="5" fillId="9" borderId="19" xfId="230" applyFont="1" applyBorder="1" applyAlignment="1">
      <alignment horizontal="left" vertical="center"/>
    </xf>
    <xf numFmtId="0" fontId="45" fillId="9" borderId="20" xfId="230" applyFont="1" applyBorder="1" applyAlignment="1">
      <alignment horizontal="left" vertical="center"/>
    </xf>
    <xf numFmtId="0" fontId="45" fillId="9" borderId="21" xfId="230" applyFont="1" applyBorder="1" applyAlignment="1">
      <alignment horizontal="left" vertical="center"/>
    </xf>
    <xf numFmtId="164" fontId="5" fillId="13" borderId="22" xfId="52" applyFont="1" applyBorder="1" applyAlignment="1">
      <alignment horizontal="left" vertical="center"/>
    </xf>
    <xf numFmtId="0" fontId="45" fillId="9" borderId="23" xfId="230" applyFont="1" applyBorder="1" applyAlignment="1">
      <alignment horizontal="left" vertical="center"/>
    </xf>
    <xf numFmtId="0" fontId="45" fillId="9" borderId="24" xfId="230" applyFont="1" applyBorder="1" applyAlignment="1">
      <alignment horizontal="left" vertical="center"/>
    </xf>
    <xf numFmtId="164" fontId="5" fillId="36" borderId="17" xfId="166" applyFont="1" applyFill="1" applyBorder="1" applyAlignment="1" applyProtection="1">
      <alignment horizontal="left" vertical="center"/>
    </xf>
    <xf numFmtId="0" fontId="45" fillId="36" borderId="0" xfId="230" applyFont="1" applyFill="1" applyAlignment="1">
      <alignment horizontal="left" vertical="center"/>
    </xf>
    <xf numFmtId="0" fontId="45" fillId="36" borderId="18" xfId="230" applyFont="1" applyFill="1" applyBorder="1" applyAlignment="1">
      <alignment horizontal="left" vertical="center"/>
    </xf>
    <xf numFmtId="0" fontId="45" fillId="0" borderId="0" xfId="230" applyFont="1" applyFill="1" applyAlignment="1">
      <alignment horizontal="left" vertical="center"/>
    </xf>
    <xf numFmtId="0" fontId="45" fillId="9" borderId="0" xfId="230" applyFont="1" applyAlignment="1">
      <alignment horizontal="left" vertical="center"/>
    </xf>
    <xf numFmtId="0" fontId="5" fillId="0" borderId="0" xfId="230" applyFont="1" applyFill="1" applyAlignment="1">
      <alignment horizontal="right" vertical="center"/>
    </xf>
    <xf numFmtId="0" fontId="45" fillId="0" borderId="0" xfId="229" applyFont="1" applyFill="1" applyAlignment="1">
      <alignment horizontal="right" vertical="center"/>
    </xf>
    <xf numFmtId="0" fontId="5" fillId="36" borderId="32" xfId="230" applyFont="1" applyFill="1" applyBorder="1" applyAlignment="1" applyProtection="1">
      <alignment horizontal="right" vertical="center" wrapText="1"/>
      <protection locked="0"/>
    </xf>
    <xf numFmtId="0" fontId="45" fillId="36" borderId="32" xfId="229" applyFont="1" applyFill="1" applyBorder="1" applyAlignment="1" applyProtection="1">
      <alignment horizontal="right" vertical="center" wrapText="1"/>
      <protection locked="0"/>
    </xf>
    <xf numFmtId="0" fontId="45" fillId="36" borderId="16" xfId="229" applyFont="1" applyFill="1" applyBorder="1" applyAlignment="1" applyProtection="1">
      <alignment horizontal="right" vertical="center" wrapText="1"/>
      <protection locked="0"/>
    </xf>
    <xf numFmtId="0" fontId="5" fillId="36" borderId="10" xfId="230" applyFont="1" applyFill="1" applyBorder="1" applyAlignment="1" applyProtection="1">
      <alignment horizontal="right" vertical="center" wrapText="1"/>
      <protection locked="0"/>
    </xf>
    <xf numFmtId="0" fontId="45" fillId="36" borderId="10" xfId="230" applyFont="1" applyFill="1" applyBorder="1" applyAlignment="1" applyProtection="1">
      <alignment horizontal="right" vertical="center" wrapText="1"/>
      <protection locked="0"/>
    </xf>
    <xf numFmtId="0" fontId="82" fillId="39" borderId="0" xfId="0" applyFont="1" applyFill="1" applyAlignment="1">
      <alignment horizontal="center"/>
    </xf>
    <xf numFmtId="49" fontId="32" fillId="35" borderId="15" xfId="233" applyNumberFormat="1" applyFont="1" applyFill="1" applyBorder="1" applyAlignment="1">
      <alignment horizontal="center" vertical="center"/>
    </xf>
    <xf numFmtId="49" fontId="32" fillId="35" borderId="16" xfId="233" applyNumberFormat="1" applyFont="1" applyFill="1" applyBorder="1" applyAlignment="1">
      <alignment horizontal="center" vertical="center"/>
    </xf>
    <xf numFmtId="49" fontId="32" fillId="35" borderId="33" xfId="233" applyNumberFormat="1" applyFont="1" applyFill="1" applyBorder="1" applyAlignment="1">
      <alignment horizontal="center" vertical="center"/>
    </xf>
    <xf numFmtId="49" fontId="32" fillId="35" borderId="11" xfId="233" applyNumberFormat="1" applyFont="1" applyFill="1" applyBorder="1" applyAlignment="1">
      <alignment horizontal="center" vertical="center"/>
    </xf>
    <xf numFmtId="2" fontId="32" fillId="35" borderId="11" xfId="232" applyNumberFormat="1" applyFont="1" applyFill="1" applyBorder="1" applyAlignment="1">
      <alignment horizontal="center" vertical="center" wrapText="1"/>
    </xf>
    <xf numFmtId="2" fontId="32" fillId="35" borderId="13" xfId="232" applyNumberFormat="1" applyFont="1" applyFill="1" applyBorder="1" applyAlignment="1">
      <alignment horizontal="center" vertical="center" wrapText="1"/>
    </xf>
    <xf numFmtId="2" fontId="32" fillId="35" borderId="15" xfId="232" applyNumberFormat="1" applyFont="1" applyFill="1" applyBorder="1" applyAlignment="1">
      <alignment horizontal="center" vertical="center" wrapText="1"/>
    </xf>
    <xf numFmtId="2" fontId="32" fillId="35" borderId="32" xfId="232" applyNumberFormat="1" applyFont="1" applyFill="1" applyBorder="1" applyAlignment="1">
      <alignment horizontal="center" vertical="center" wrapText="1"/>
    </xf>
    <xf numFmtId="2" fontId="32" fillId="35" borderId="15" xfId="233" applyNumberFormat="1" applyFont="1" applyFill="1" applyBorder="1" applyAlignment="1">
      <alignment horizontal="center" vertical="center" wrapText="1"/>
    </xf>
    <xf numFmtId="2" fontId="32" fillId="35" borderId="32" xfId="233" applyNumberFormat="1" applyFont="1" applyFill="1" applyBorder="1" applyAlignment="1">
      <alignment horizontal="center" vertical="center" wrapText="1"/>
    </xf>
    <xf numFmtId="2" fontId="32" fillId="35" borderId="16" xfId="233" applyNumberFormat="1" applyFont="1" applyFill="1" applyBorder="1" applyAlignment="1">
      <alignment horizontal="center" vertical="center" wrapText="1"/>
    </xf>
    <xf numFmtId="167" fontId="32" fillId="35" borderId="15" xfId="232" quotePrefix="1" applyNumberFormat="1" applyFont="1" applyFill="1" applyBorder="1" applyAlignment="1">
      <alignment horizontal="left" vertical="center" wrapText="1"/>
    </xf>
    <xf numFmtId="167" fontId="32" fillId="35" borderId="16" xfId="232" quotePrefix="1" applyNumberFormat="1" applyFont="1" applyFill="1" applyBorder="1" applyAlignment="1">
      <alignment horizontal="left" vertical="center" wrapText="1"/>
    </xf>
    <xf numFmtId="0" fontId="5" fillId="39" borderId="0" xfId="0" applyFont="1" applyFill="1" applyAlignment="1">
      <alignment horizontal="left" vertical="top" wrapText="1"/>
    </xf>
    <xf numFmtId="49" fontId="9" fillId="35" borderId="15" xfId="232" applyNumberFormat="1" applyFont="1" applyFill="1" applyBorder="1" applyAlignment="1">
      <alignment horizontal="left" wrapText="1"/>
    </xf>
    <xf numFmtId="49" fontId="9" fillId="35" borderId="16" xfId="232" applyNumberFormat="1" applyFont="1" applyFill="1" applyBorder="1" applyAlignment="1">
      <alignment horizontal="left" wrapText="1"/>
    </xf>
    <xf numFmtId="0" fontId="5" fillId="0" borderId="0" xfId="234" applyFont="1" applyFill="1" applyAlignment="1">
      <alignment horizontal="left" vertical="center"/>
    </xf>
    <xf numFmtId="0" fontId="54" fillId="32" borderId="0" xfId="154" applyAlignment="1">
      <alignment horizontal="left" vertical="top" wrapText="1"/>
    </xf>
    <xf numFmtId="2" fontId="32" fillId="35" borderId="10" xfId="233" applyNumberFormat="1" applyFont="1" applyFill="1" applyBorder="1" applyAlignment="1">
      <alignment horizontal="center" vertical="center" wrapText="1"/>
    </xf>
    <xf numFmtId="0" fontId="5" fillId="39" borderId="0" xfId="0" applyFont="1" applyFill="1" applyAlignment="1">
      <alignment horizontal="left" vertical="center" wrapText="1"/>
    </xf>
    <xf numFmtId="0" fontId="32" fillId="37" borderId="32" xfId="235" applyFont="1" applyFill="1" applyBorder="1" applyAlignment="1">
      <alignment horizontal="left"/>
    </xf>
    <xf numFmtId="0" fontId="32" fillId="37" borderId="16" xfId="235" applyFont="1" applyFill="1" applyBorder="1" applyAlignment="1">
      <alignment horizontal="left"/>
    </xf>
    <xf numFmtId="49" fontId="32" fillId="35" borderId="30" xfId="237" applyNumberFormat="1" applyFont="1" applyFill="1" applyBorder="1" applyAlignment="1">
      <alignment horizontal="center" vertical="center" wrapText="1"/>
    </xf>
    <xf numFmtId="49" fontId="32" fillId="35" borderId="0" xfId="237" applyNumberFormat="1" applyFont="1" applyFill="1" applyAlignment="1">
      <alignment horizontal="center" vertical="center" wrapText="1"/>
    </xf>
    <xf numFmtId="49" fontId="32" fillId="35" borderId="15" xfId="237" applyNumberFormat="1" applyFont="1" applyFill="1" applyBorder="1" applyAlignment="1">
      <alignment horizontal="center" vertical="center" wrapText="1"/>
    </xf>
    <xf numFmtId="49" fontId="32" fillId="35" borderId="16" xfId="237" applyNumberFormat="1" applyFont="1" applyFill="1" applyBorder="1" applyAlignment="1">
      <alignment horizontal="center" vertical="center" wrapText="1"/>
    </xf>
    <xf numFmtId="49" fontId="58" fillId="37" borderId="33" xfId="232" applyNumberFormat="1" applyFont="1" applyFill="1" applyBorder="1" applyAlignment="1">
      <alignment horizontal="left"/>
    </xf>
    <xf numFmtId="49" fontId="58" fillId="37" borderId="34" xfId="232" applyNumberFormat="1" applyFont="1" applyFill="1" applyBorder="1" applyAlignment="1">
      <alignment horizontal="left"/>
    </xf>
    <xf numFmtId="168" fontId="58" fillId="37" borderId="15" xfId="235" applyNumberFormat="1" applyFont="1" applyFill="1" applyBorder="1" applyAlignment="1">
      <alignment horizontal="left"/>
    </xf>
    <xf numFmtId="168" fontId="58" fillId="37" borderId="32" xfId="235" applyNumberFormat="1" applyFont="1" applyFill="1" applyBorder="1" applyAlignment="1">
      <alignment horizontal="left"/>
    </xf>
    <xf numFmtId="168" fontId="58" fillId="37" borderId="16" xfId="235" applyNumberFormat="1" applyFont="1" applyFill="1" applyBorder="1" applyAlignment="1">
      <alignment horizontal="left"/>
    </xf>
    <xf numFmtId="49" fontId="9" fillId="35" borderId="38" xfId="233" applyNumberFormat="1" applyFont="1" applyFill="1" applyBorder="1" applyAlignment="1">
      <alignment horizontal="center" vertical="center" wrapText="1"/>
    </xf>
    <xf numFmtId="49" fontId="9" fillId="35" borderId="39" xfId="233" applyNumberFormat="1" applyFont="1" applyFill="1" applyBorder="1" applyAlignment="1">
      <alignment horizontal="center" vertical="center" wrapText="1"/>
    </xf>
    <xf numFmtId="49" fontId="9" fillId="35" borderId="40" xfId="233" applyNumberFormat="1" applyFont="1" applyFill="1" applyBorder="1" applyAlignment="1">
      <alignment horizontal="center" vertical="center" wrapText="1"/>
    </xf>
    <xf numFmtId="49" fontId="9" fillId="35" borderId="41" xfId="233" applyNumberFormat="1" applyFont="1" applyFill="1" applyBorder="1" applyAlignment="1">
      <alignment horizontal="center" vertical="center" wrapText="1"/>
    </xf>
    <xf numFmtId="49" fontId="60" fillId="35" borderId="14" xfId="233" applyNumberFormat="1" applyFont="1" applyFill="1" applyBorder="1" applyAlignment="1">
      <alignment horizontal="center" vertical="center"/>
    </xf>
    <xf numFmtId="49" fontId="60" fillId="35" borderId="12" xfId="233" applyNumberFormat="1" applyFont="1" applyFill="1" applyBorder="1" applyAlignment="1">
      <alignment horizontal="center" vertical="center"/>
    </xf>
    <xf numFmtId="49" fontId="32" fillId="35" borderId="35" xfId="233" applyNumberFormat="1" applyFont="1" applyFill="1" applyBorder="1" applyAlignment="1">
      <alignment horizontal="center" vertical="center" wrapText="1"/>
    </xf>
    <xf numFmtId="49" fontId="32" fillId="35" borderId="36" xfId="233" applyNumberFormat="1" applyFont="1" applyFill="1" applyBorder="1" applyAlignment="1">
      <alignment horizontal="center" vertical="center" wrapText="1"/>
    </xf>
    <xf numFmtId="49" fontId="74" fillId="35" borderId="35" xfId="233" applyNumberFormat="1" applyFont="1" applyFill="1" applyBorder="1" applyAlignment="1">
      <alignment horizontal="center" vertical="center" wrapText="1"/>
    </xf>
    <xf numFmtId="49" fontId="74" fillId="35" borderId="36" xfId="233" applyNumberFormat="1" applyFont="1" applyFill="1" applyBorder="1" applyAlignment="1">
      <alignment horizontal="center" vertical="center" wrapText="1"/>
    </xf>
    <xf numFmtId="49" fontId="32" fillId="35" borderId="19" xfId="233" applyNumberFormat="1" applyFont="1" applyFill="1" applyBorder="1" applyAlignment="1">
      <alignment horizontal="center" vertical="center" wrapText="1"/>
    </xf>
    <xf numFmtId="49" fontId="32" fillId="35" borderId="20" xfId="233" applyNumberFormat="1" applyFont="1" applyFill="1" applyBorder="1" applyAlignment="1">
      <alignment horizontal="center" vertical="center" wrapText="1"/>
    </xf>
    <xf numFmtId="49" fontId="32" fillId="35" borderId="21" xfId="233" applyNumberFormat="1" applyFont="1" applyFill="1" applyBorder="1" applyAlignment="1">
      <alignment horizontal="center" vertical="center" wrapText="1"/>
    </xf>
    <xf numFmtId="49" fontId="32" fillId="35" borderId="37" xfId="233" applyNumberFormat="1" applyFont="1" applyFill="1" applyBorder="1" applyAlignment="1">
      <alignment horizontal="center" vertical="center" wrapText="1"/>
    </xf>
    <xf numFmtId="49" fontId="9" fillId="35" borderId="14" xfId="233" applyNumberFormat="1" applyFont="1" applyFill="1" applyBorder="1" applyAlignment="1">
      <alignment horizontal="center" vertical="center" wrapText="1"/>
    </xf>
    <xf numFmtId="49" fontId="9" fillId="35" borderId="12" xfId="233" applyNumberFormat="1" applyFont="1" applyFill="1" applyBorder="1" applyAlignment="1">
      <alignment horizontal="center" vertical="center" wrapText="1"/>
    </xf>
    <xf numFmtId="174" fontId="34" fillId="13" borderId="10" xfId="80" applyNumberFormat="1" applyFont="1" applyFill="1" applyBorder="1" applyAlignment="1" applyProtection="1">
      <alignment horizontal="center" vertical="center" wrapText="1"/>
    </xf>
    <xf numFmtId="49" fontId="32" fillId="35" borderId="14" xfId="233" applyNumberFormat="1" applyFont="1" applyFill="1" applyBorder="1" applyAlignment="1">
      <alignment horizontal="center" vertical="center" wrapText="1"/>
    </xf>
    <xf numFmtId="49" fontId="32" fillId="35" borderId="12" xfId="233" applyNumberFormat="1" applyFont="1" applyFill="1" applyBorder="1" applyAlignment="1">
      <alignment horizontal="center" vertical="center" wrapText="1"/>
    </xf>
    <xf numFmtId="2" fontId="32" fillId="35" borderId="14" xfId="233" applyNumberFormat="1" applyFont="1" applyFill="1" applyBorder="1" applyAlignment="1">
      <alignment horizontal="center" vertical="center" wrapText="1"/>
    </xf>
    <xf numFmtId="2" fontId="32" fillId="35" borderId="12" xfId="233" applyNumberFormat="1" applyFont="1" applyFill="1" applyBorder="1" applyAlignment="1">
      <alignment horizontal="center" vertical="center" wrapText="1"/>
    </xf>
    <xf numFmtId="49" fontId="32" fillId="35" borderId="33" xfId="233" applyNumberFormat="1" applyFont="1" applyFill="1" applyBorder="1" applyAlignment="1">
      <alignment horizontal="center" vertical="center" wrapText="1"/>
    </xf>
    <xf numFmtId="49" fontId="32" fillId="35" borderId="11" xfId="233" applyNumberFormat="1" applyFont="1" applyFill="1" applyBorder="1" applyAlignment="1">
      <alignment horizontal="center" vertical="center" wrapText="1"/>
    </xf>
  </cellXfs>
  <cellStyles count="334">
    <cellStyle name="_APL (B001)_Jan11_Rec 2" xfId="267" xr:uid="{AA5DC9A6-9AAA-405A-BC5A-F0B5018E8552}"/>
    <cellStyle name="=C:\WINNT\SYSTEM32\COMMAND.COM 2" xfId="1" xr:uid="{19082080-256D-4138-9F10-5A2F1C63CF32}"/>
    <cellStyle name="=C:\WINNT\SYSTEM32\COMMAND.COM 2 2" xfId="324" xr:uid="{46631045-4891-46F5-8C98-50D21A881B83}"/>
    <cellStyle name="=C:\WINNT\SYSTEM32\COMMAND.COM 2 3" xfId="299" xr:uid="{8F548160-7BC6-4485-BF70-B008F1BF45FB}"/>
    <cellStyle name="20% - Accent1" xfId="2" builtinId="30" customBuiltin="1"/>
    <cellStyle name="20% - Accent1 2" xfId="3" xr:uid="{2FF1A157-9D04-4391-BE03-91F3B170296D}"/>
    <cellStyle name="20% - Accent2" xfId="4" builtinId="34" customBuiltin="1"/>
    <cellStyle name="20% - Accent2 2" xfId="5" xr:uid="{469CDF56-E730-462E-88AD-46F1A1A5062A}"/>
    <cellStyle name="20% - Accent3" xfId="6" builtinId="38" customBuiltin="1"/>
    <cellStyle name="20% - Accent3 2" xfId="7" xr:uid="{AF25FA27-5D7F-4BAA-9FB8-577D0C42521B}"/>
    <cellStyle name="20% - Accent4" xfId="8" builtinId="42" customBuiltin="1"/>
    <cellStyle name="20% - Accent4 2" xfId="9" xr:uid="{66C924E8-912B-48B8-8633-453A94ABDD4E}"/>
    <cellStyle name="20% - Accent5" xfId="10" builtinId="46" customBuiltin="1"/>
    <cellStyle name="20% - Accent5 2" xfId="11" xr:uid="{BB0D6F9E-E95E-4288-B121-5A20C37F9B93}"/>
    <cellStyle name="20% - Accent6" xfId="12" builtinId="50" customBuiltin="1"/>
    <cellStyle name="20% - Accent6 2" xfId="13" xr:uid="{0FE00519-BE7D-4808-BA88-EA1B759B558B}"/>
    <cellStyle name="40% - Accent1" xfId="14" builtinId="31" customBuiltin="1"/>
    <cellStyle name="40% - Accent1 2" xfId="15" xr:uid="{8A02651A-054D-4CF6-B032-6FDBCBC33D15}"/>
    <cellStyle name="40% - Accent2" xfId="16" builtinId="35" customBuiltin="1"/>
    <cellStyle name="40% - Accent2 2" xfId="17" xr:uid="{EC0156E0-49C5-468D-AF5B-63E34BC33C96}"/>
    <cellStyle name="40% - Accent3" xfId="18" builtinId="39" customBuiltin="1"/>
    <cellStyle name="40% - Accent3 2" xfId="19" xr:uid="{58014415-CF71-42D3-B431-EC2D31B71814}"/>
    <cellStyle name="40% - Accent4" xfId="20" builtinId="43" customBuiltin="1"/>
    <cellStyle name="40% - Accent4 2" xfId="21" xr:uid="{7ABC43BB-2A9B-407E-ABEE-120D4A434E44}"/>
    <cellStyle name="40% - Accent5" xfId="22" builtinId="47" customBuiltin="1"/>
    <cellStyle name="40% - Accent5 2" xfId="23" xr:uid="{B27DB9DF-6448-4A0B-918C-5F46E863C4C4}"/>
    <cellStyle name="40% - Accent6" xfId="24" builtinId="51" customBuiltin="1"/>
    <cellStyle name="40% - Accent6 2" xfId="25" xr:uid="{BC48D00D-F293-4D47-BE1A-B8ECDF39872A}"/>
    <cellStyle name="60% - Accent1" xfId="26" builtinId="32" customBuiltin="1"/>
    <cellStyle name="60% - Accent1 2" xfId="27" xr:uid="{700B14C3-6F17-4CD0-8D2D-94C7A7FFCF0C}"/>
    <cellStyle name="60% - Accent2" xfId="28" builtinId="36" customBuiltin="1"/>
    <cellStyle name="60% - Accent2 2" xfId="29" xr:uid="{AAE2C912-3BAD-4C03-A90D-C8E810AE321B}"/>
    <cellStyle name="60% - Accent3" xfId="30" builtinId="40" customBuiltin="1"/>
    <cellStyle name="60% - Accent3 2" xfId="31" xr:uid="{525AEB21-4AE6-4EAA-AD92-C7845135D2F2}"/>
    <cellStyle name="60% - Accent4" xfId="32" builtinId="44" customBuiltin="1"/>
    <cellStyle name="60% - Accent4 2" xfId="33" xr:uid="{A693AA91-0CAC-4CFD-B61A-516459759FD8}"/>
    <cellStyle name="60% - Accent5" xfId="34" builtinId="48" customBuiltin="1"/>
    <cellStyle name="60% - Accent5 2" xfId="35" xr:uid="{AD824D81-A416-476D-BF05-B6725976C90F}"/>
    <cellStyle name="60% - Accent6" xfId="36" builtinId="52" customBuiltin="1"/>
    <cellStyle name="60% - Accent6 2" xfId="37" xr:uid="{311133BC-6504-4606-A88D-D86D9FBDCD11}"/>
    <cellStyle name="Accent1" xfId="38" builtinId="29" customBuiltin="1"/>
    <cellStyle name="Accent1 2" xfId="39" xr:uid="{1DEBAAB1-A860-489B-BE1A-8D2308542E24}"/>
    <cellStyle name="Accent2" xfId="40" builtinId="33" customBuiltin="1"/>
    <cellStyle name="Accent2 2" xfId="41" xr:uid="{BA9C38D9-387D-440C-A8D7-84449206A9C9}"/>
    <cellStyle name="Accent3" xfId="42" builtinId="37" customBuiltin="1"/>
    <cellStyle name="Accent3 2" xfId="43" xr:uid="{06BB5C54-4AC9-4D17-BF6E-E7D3C9FCE685}"/>
    <cellStyle name="Accent4" xfId="44" builtinId="41" customBuiltin="1"/>
    <cellStyle name="Accent4 2" xfId="45" xr:uid="{913A62E2-535D-4097-9E57-47071849092A}"/>
    <cellStyle name="Accent5" xfId="46" builtinId="45" customBuiltin="1"/>
    <cellStyle name="Accent5 2" xfId="47" xr:uid="{1950D6FC-9DEB-4A56-98A9-0530CF1B1771}"/>
    <cellStyle name="Accent6" xfId="48" builtinId="49" customBuiltin="1"/>
    <cellStyle name="Accent6 2" xfId="49" xr:uid="{CCAC6749-A48B-4DA8-99DF-5DF1561CF2FE}"/>
    <cellStyle name="Bad" xfId="50" builtinId="27" customBuiltin="1"/>
    <cellStyle name="Bad 2" xfId="51" xr:uid="{6BD16740-AA8C-41B8-86FE-9EF9DA6E42E0}"/>
    <cellStyle name="Blockout" xfId="52" xr:uid="{A0D1EF90-A873-4A59-B372-96FFB96A2181}"/>
    <cellStyle name="Blockout 2" xfId="53" xr:uid="{2AA391C9-C486-4075-A2A2-C7A430B51B19}"/>
    <cellStyle name="Blockout 2 2" xfId="54" xr:uid="{F6B160FE-46C5-4E24-8A8C-F4BD3928CF67}"/>
    <cellStyle name="Blockout 2 2 2" xfId="55" xr:uid="{5D64FF4A-D31F-430D-B128-DEC1E0C7272F}"/>
    <cellStyle name="Blockout 2 2 2 2" xfId="56" xr:uid="{4DEA0E3C-0EA2-405F-93A7-F0E780C2AF1F}"/>
    <cellStyle name="Blockout 2 2 3" xfId="57" xr:uid="{264E3EBB-DD2E-4768-A766-99EC345DE6D0}"/>
    <cellStyle name="Blockout 2 2 3 2" xfId="58" xr:uid="{CF47BA15-9607-4708-9799-4F770119FE40}"/>
    <cellStyle name="Blockout 2 2 4" xfId="59" xr:uid="{D6F398C6-2F39-4710-8606-66145F4D6298}"/>
    <cellStyle name="Blockout 2 2 5" xfId="60" xr:uid="{DDF2B445-D06F-4FBD-8C7E-BC057C1C3712}"/>
    <cellStyle name="Blockout 2 2 6" xfId="270" xr:uid="{70C6FC43-B961-47E9-BB1C-74D72915AF57}"/>
    <cellStyle name="Blockout 2 3" xfId="61" xr:uid="{28CEE857-389B-4D54-B0CD-1FB30A1A2014}"/>
    <cellStyle name="Blockout 2 3 2" xfId="62" xr:uid="{821E5938-C18A-4A5F-9494-9924E0DE4877}"/>
    <cellStyle name="Blockout 2 4" xfId="63" xr:uid="{A8C2F3D7-CB98-426B-BF93-EFE85598214B}"/>
    <cellStyle name="Blockout 2 4 2" xfId="64" xr:uid="{099BCBE7-1E42-415D-B3EC-D87A5356D482}"/>
    <cellStyle name="Blockout 2 5" xfId="65" xr:uid="{57DD44EA-BD8B-4AEC-A6FE-86C3B4313A1D}"/>
    <cellStyle name="Blockout 2 6" xfId="66" xr:uid="{7E3B2796-742F-4990-BCD4-1677D422C719}"/>
    <cellStyle name="Blockout 2 7" xfId="269" xr:uid="{30793FA6-1148-424D-9A01-CD307282C64C}"/>
    <cellStyle name="Blockout 3" xfId="67" xr:uid="{E69AFD4B-6E3D-46A2-994B-B7EAB001317A}"/>
    <cellStyle name="Blockout 3 2" xfId="68" xr:uid="{453D5C2C-DB86-4E8D-BB4F-056798B0343A}"/>
    <cellStyle name="Blockout 3 2 2" xfId="69" xr:uid="{CF71C4FB-2C4F-45E8-8D9D-12DC926C43E5}"/>
    <cellStyle name="Blockout 3 3" xfId="70" xr:uid="{1946BFCC-C609-45B2-847E-6ACF0EE12419}"/>
    <cellStyle name="Blockout 3 3 2" xfId="71" xr:uid="{12F358FD-1B8A-4FF5-8FA3-17A37949E6F8}"/>
    <cellStyle name="Blockout 3 4" xfId="72" xr:uid="{26039BB9-06E3-457C-AF30-FC40DEBDA261}"/>
    <cellStyle name="Blockout 3 5" xfId="73" xr:uid="{1585EB33-BB6F-4B13-90A0-1B9A8C0BF913}"/>
    <cellStyle name="Blockout 3 6" xfId="271" xr:uid="{E24E5CD7-FA92-4943-A0D3-7C2B8A031D6B}"/>
    <cellStyle name="Blockout 4" xfId="268" xr:uid="{7B38C194-A34B-4E0D-997A-E5F8082F4D36}"/>
    <cellStyle name="Calculation" xfId="74" builtinId="22" customBuiltin="1"/>
    <cellStyle name="Calculation 2" xfId="75" xr:uid="{4EA9631A-DF2D-4A44-9577-E829B76CC24F}"/>
    <cellStyle name="Check Cell" xfId="76" builtinId="23" customBuiltin="1"/>
    <cellStyle name="Check Cell 2" xfId="77" xr:uid="{560654CB-6409-452B-97F8-2A7265456F57}"/>
    <cellStyle name="Comma" xfId="78" builtinId="3"/>
    <cellStyle name="Comma 10" xfId="79" xr:uid="{C8C707FD-C0FC-4385-85D7-6D3EF8F05205}"/>
    <cellStyle name="Comma 10 2" xfId="80" xr:uid="{01CCC7DB-AA35-4603-B8ED-835B036B78B3}"/>
    <cellStyle name="Comma 10 2 2" xfId="273" xr:uid="{17E26994-A42C-4A4B-8E96-A2B8D49541A1}"/>
    <cellStyle name="Comma 10 3" xfId="272" xr:uid="{5D47DD37-9B23-4737-854C-40672B865379}"/>
    <cellStyle name="Comma 11" xfId="81" xr:uid="{A207C916-C518-4BB3-A27C-FCB7D1FA1598}"/>
    <cellStyle name="Comma 11 2" xfId="330" xr:uid="{78FD4229-15A7-4D95-8366-2BC5804E3C5D}"/>
    <cellStyle name="Comma 12" xfId="82" xr:uid="{E693C576-AC8E-4E4B-9370-4CA76B0996E7}"/>
    <cellStyle name="Comma 12 2" xfId="314" xr:uid="{57556A72-54F1-4ECF-A428-118C62E923A6}"/>
    <cellStyle name="Comma 12 3" xfId="308" xr:uid="{4EC8E0DD-B60A-4088-8946-6A0125999DBB}"/>
    <cellStyle name="Comma 13" xfId="83" xr:uid="{9CF93399-9B14-4A8E-9809-658050537302}"/>
    <cellStyle name="Comma 13 2" xfId="261" xr:uid="{0BDE89DE-8910-4875-970D-C2A7AE266CF1}"/>
    <cellStyle name="Comma 13 2 2" xfId="316" xr:uid="{B04A85FD-D985-4E6B-8D46-980DAFE17423}"/>
    <cellStyle name="Comma 14" xfId="332" xr:uid="{23582797-51CE-4C8B-AF25-674772D05FB1}"/>
    <cellStyle name="Comma 15" xfId="319" xr:uid="{458609EA-7BED-4410-AACA-3DD9ECDE11E6}"/>
    <cellStyle name="Comma 2" xfId="84" xr:uid="{68E4C6A7-9CB3-4F67-8754-7E5A9A8C130F}"/>
    <cellStyle name="Comma 2 2" xfId="85" xr:uid="{27DFE0FD-94EE-4F46-89B9-AD8FAA64D5B3}"/>
    <cellStyle name="Comma 2 2 2" xfId="86" xr:uid="{079EC3C2-10E7-43AD-8539-44EA8C6D75E2}"/>
    <cellStyle name="Comma 2 2 2 2" xfId="87" xr:uid="{0F680AF5-6EE1-4B15-847B-B37DD050BD75}"/>
    <cellStyle name="Comma 2 2 2 2 2" xfId="88" xr:uid="{DEADAAD6-BC84-487F-8446-D801612F9A0D}"/>
    <cellStyle name="Comma 2 2 2 3" xfId="89" xr:uid="{C92B405A-D70D-42D3-9D2A-D41ED820E341}"/>
    <cellStyle name="Comma 2 2 3" xfId="90" xr:uid="{5B18298F-0F6D-4CF8-8EA1-E5A8CD13E0F4}"/>
    <cellStyle name="Comma 2 2 3 2" xfId="91" xr:uid="{DA03C95F-8339-4C85-9408-0C2A575BD1B5}"/>
    <cellStyle name="Comma 2 2 4" xfId="92" xr:uid="{63D14ADB-1011-4B0D-A962-70F0D725F0DA}"/>
    <cellStyle name="Comma 2 2 4 2" xfId="93" xr:uid="{011F22EF-64D4-4F3F-A674-DAF17436D5B8}"/>
    <cellStyle name="Comma 2 2 5" xfId="94" xr:uid="{5E95FED4-5874-41CB-9541-6F0D8F3B5206}"/>
    <cellStyle name="Comma 2 2 6" xfId="95" xr:uid="{5B2EA44F-A06B-491C-97C2-A128E8C76905}"/>
    <cellStyle name="Comma 2 2 7" xfId="274" xr:uid="{FB098A4D-83DC-458A-B60C-E8AB438DF115}"/>
    <cellStyle name="Comma 2 3" xfId="96" xr:uid="{CB0B9789-8897-483A-92BA-CACFF75B27C2}"/>
    <cellStyle name="Comma 2 3 2" xfId="97" xr:uid="{A5DF167C-D4E6-43D5-A8C0-B938051682BB}"/>
    <cellStyle name="Comma 2 3 2 2" xfId="98" xr:uid="{F752AA32-D97B-403D-923B-256B95977A9F}"/>
    <cellStyle name="Comma 2 3 3" xfId="99" xr:uid="{6339FDD8-62D5-4D2E-B701-AEB475CD7F0E}"/>
    <cellStyle name="Comma 2 3 4" xfId="306" xr:uid="{5842A77B-15CD-4052-B392-4B4A6B508EFF}"/>
    <cellStyle name="Comma 2 4" xfId="100" xr:uid="{6B53F70B-AE85-4F23-BDE8-B161E1110E1A}"/>
    <cellStyle name="Comma 2 4 2" xfId="101" xr:uid="{721A6678-9622-4E1F-AC59-1ABA0A88E900}"/>
    <cellStyle name="Comma 2 5" xfId="102" xr:uid="{99BF71C1-6A66-49DF-AB24-13D099104091}"/>
    <cellStyle name="Comma 2 5 2" xfId="103" xr:uid="{264EDE19-652C-4F47-B25E-1AA5204B0CD4}"/>
    <cellStyle name="Comma 2 5 3" xfId="265" xr:uid="{9843BB03-A6B1-485F-A93D-AACA14C9BEBF}"/>
    <cellStyle name="Comma 2 6" xfId="104" xr:uid="{32BB1EAE-6284-4E68-9E2E-4D860470D776}"/>
    <cellStyle name="Comma 2 7" xfId="105" xr:uid="{040EB3FC-9D6B-4E74-8FCC-46F7CA89455D}"/>
    <cellStyle name="Comma 3" xfId="106" xr:uid="{A4762935-6C9E-4EC5-B697-46DF1F78B85D}"/>
    <cellStyle name="Comma 3 10 3" xfId="328" xr:uid="{A8C4E1BC-68BD-4DF3-BF76-23811363564A}"/>
    <cellStyle name="Comma 3 2" xfId="107" xr:uid="{2FAC0881-D9CB-4DA7-8BFA-12B80AAA91F6}"/>
    <cellStyle name="Comma 3 2 2" xfId="108" xr:uid="{E5496A77-C820-4F1B-9922-608C6F4D1B99}"/>
    <cellStyle name="Comma 3 2 2 2" xfId="109" xr:uid="{AB1AD3C6-3DB1-4E5C-BE2A-9611651625F5}"/>
    <cellStyle name="Comma 3 2 2 3" xfId="325" xr:uid="{9C662DD5-D2A8-469F-9CA1-B2DFC3855042}"/>
    <cellStyle name="Comma 3 2 3" xfId="110" xr:uid="{524CF041-6F3E-4A7A-9D56-2588485E0B7F}"/>
    <cellStyle name="Comma 3 2 4" xfId="300" xr:uid="{5FD4BFCB-9D67-4CEE-A235-CC9383E30C31}"/>
    <cellStyle name="Comma 3 3" xfId="111" xr:uid="{A0B95DC5-E7B3-4987-98A3-D7D8631A8E1C}"/>
    <cellStyle name="Comma 3 3 2" xfId="112" xr:uid="{DCC845B1-0E93-41D1-BC9A-F46BFB12D4D1}"/>
    <cellStyle name="Comma 3 4" xfId="113" xr:uid="{A8854C6A-2524-4049-AB98-1147B41EEAFC}"/>
    <cellStyle name="Comma 3 4 2" xfId="114" xr:uid="{DA9DF1D4-1AEB-410D-A284-4F5E627F85B6}"/>
    <cellStyle name="Comma 3 5" xfId="115" xr:uid="{FBCAAE25-4E88-46D2-9EA7-85D959207371}"/>
    <cellStyle name="Comma 3 6" xfId="116" xr:uid="{AEA96487-2A47-48DF-925A-A2E3D447A2D6}"/>
    <cellStyle name="Comma 3 7" xfId="275" xr:uid="{070007C7-6419-4DA3-8B20-2C2C250ECE0F}"/>
    <cellStyle name="Comma 4" xfId="117" xr:uid="{54C56D6B-1752-4311-A473-D5556946CB5C}"/>
    <cellStyle name="Comma 4 2" xfId="118" xr:uid="{56973046-8740-4BD3-8E91-8924DED84E0E}"/>
    <cellStyle name="Comma 4 2 2" xfId="119" xr:uid="{B41D22BA-39C2-4971-82FF-4E783A8A3857}"/>
    <cellStyle name="Comma 4 2 2 2" xfId="327" xr:uid="{93E3E201-EAED-441A-BF1C-DFE1A69BEB5A}"/>
    <cellStyle name="Comma 4 2 3" xfId="310" xr:uid="{4BB6A3A0-AE3C-4C00-9382-8427DC440872}"/>
    <cellStyle name="Comma 4 3" xfId="120" xr:uid="{DE38264E-4FEA-4684-BFFA-F873138C6379}"/>
    <cellStyle name="Comma 4 3 2" xfId="121" xr:uid="{85AD7BBE-F6EB-4B98-9242-F06E2DFAA874}"/>
    <cellStyle name="Comma 4 4" xfId="122" xr:uid="{64D82909-AD83-4F79-AD04-4D09831B650F}"/>
    <cellStyle name="Comma 4 5" xfId="298" xr:uid="{31F2B4BA-248A-48F0-AA83-1229B84C6F2D}"/>
    <cellStyle name="Comma 5" xfId="123" xr:uid="{530B3C2E-51C5-45E5-9B73-FDDA4CCA15F8}"/>
    <cellStyle name="Comma 5 2" xfId="124" xr:uid="{B90D9163-5460-4C3F-ADCF-C7058AC1C1A3}"/>
    <cellStyle name="Comma 5 2 2" xfId="125" xr:uid="{BD83D35D-0881-4DF4-A670-D3502FC3D8A9}"/>
    <cellStyle name="Comma 5 2 3" xfId="322" xr:uid="{166A7ECD-A7F4-4F72-A312-18DFE61B0C60}"/>
    <cellStyle name="Comma 5 3" xfId="126" xr:uid="{4210A7EB-7F53-435C-BBC7-4C86E3145CCF}"/>
    <cellStyle name="Comma 5 4" xfId="305" xr:uid="{35C934D7-0EAF-4799-BBE1-E9486A366C4E}"/>
    <cellStyle name="Comma 6" xfId="127" xr:uid="{27C9CF2F-9472-4313-8226-D247012BC4AB}"/>
    <cellStyle name="Comma 6 2" xfId="128" xr:uid="{44C6553D-189A-4332-88C7-35360F2FC1EF}"/>
    <cellStyle name="Comma 6 2 2" xfId="129" xr:uid="{FA63B1F3-BF97-46CA-BB02-8197CD700997}"/>
    <cellStyle name="Comma 6 2 2 2" xfId="130" xr:uid="{E5410672-A6D5-4907-843C-1B55FD7D209F}"/>
    <cellStyle name="Comma 6 2 2 2 2" xfId="131" xr:uid="{800B24A3-B4DC-48ED-8963-2F9B266D1D16}"/>
    <cellStyle name="Comma 6 2 2 2 2 2" xfId="266" xr:uid="{8B0AA67F-62BB-4EC5-ACE8-630FD06EBA06}"/>
    <cellStyle name="Comma 6 2 3" xfId="132" xr:uid="{153FCEA4-3304-4957-8FF7-1D153A97B11F}"/>
    <cellStyle name="Comma 6 3" xfId="133" xr:uid="{83EFBCC7-8F14-4D79-991D-863F8D846E06}"/>
    <cellStyle name="Comma 6 3 2" xfId="134" xr:uid="{86BC2970-F3A1-4C22-9654-4A48169F0C58}"/>
    <cellStyle name="Comma 6 4" xfId="135" xr:uid="{82B84444-C50E-4178-8168-D7B2224B3EB6}"/>
    <cellStyle name="Comma 6 5" xfId="136" xr:uid="{5FC34D6F-24AE-4A51-A761-5E04CBA4F22B}"/>
    <cellStyle name="Comma 6 5 2" xfId="313" xr:uid="{3FF473ED-2572-4A09-86D8-4540FA4594B7}"/>
    <cellStyle name="Comma 7" xfId="137" xr:uid="{CDE7BD3E-ADDF-4FAF-9392-B75C0B965986}"/>
    <cellStyle name="Comma 7 2" xfId="138" xr:uid="{3B099803-4040-4790-A030-073B2710B265}"/>
    <cellStyle name="Comma 7 2 2" xfId="139" xr:uid="{A7180719-5BD2-46DF-A08A-071A55E451D2}"/>
    <cellStyle name="Comma 7 3" xfId="140" xr:uid="{CB7FDF1C-6D75-4B3A-9A1E-0431524FB17E}"/>
    <cellStyle name="Comma 8" xfId="141" xr:uid="{ED314B8A-2602-482F-8053-EA77A7296577}"/>
    <cellStyle name="Comma 8 2" xfId="142" xr:uid="{37ADCA3F-DD7C-4DAC-987E-C5A391E05D55}"/>
    <cellStyle name="Comma 8 2 2" xfId="143" xr:uid="{660439E7-B3EC-4784-9E53-F6500746B738}"/>
    <cellStyle name="Comma 8 3" xfId="144" xr:uid="{834E66AC-1D4C-44A8-B051-C4788F287009}"/>
    <cellStyle name="Comma 9" xfId="145" xr:uid="{E4F6BA5B-429D-4B61-893D-AB958E67E8F7}"/>
    <cellStyle name="Comma 9 2" xfId="146" xr:uid="{DE99C417-9BDD-47FF-99F7-A765E9282077}"/>
    <cellStyle name="Currency 2" xfId="147" xr:uid="{D94FD8DD-6063-4A5F-ABCA-6608DB540CDA}"/>
    <cellStyle name="Currency 2 2" xfId="148" xr:uid="{1667D2FE-9A5C-4FEF-BE5A-73C061E5B9CB}"/>
    <cellStyle name="Currency 2 2 2" xfId="149" xr:uid="{BEBF237E-3674-45EE-9856-824CAFB1A423}"/>
    <cellStyle name="Currency 2 2 3" xfId="318" xr:uid="{DE545AA1-3CF0-4BE8-8549-F09DAFFD39F7}"/>
    <cellStyle name="Currency 2 3" xfId="150" xr:uid="{78000477-1A7D-4A14-A4FD-2DD20A22DA7F}"/>
    <cellStyle name="Currency 2 3 2" xfId="151" xr:uid="{C96B9C85-A75A-4773-9F7D-5857A279E3BB}"/>
    <cellStyle name="Currency 2 4" xfId="152" xr:uid="{F90C2A8C-923A-4483-962F-14FD32091D6A}"/>
    <cellStyle name="Currency 2 5" xfId="301" xr:uid="{17263A32-D824-46F9-8069-802DB4922E13}"/>
    <cellStyle name="Currency 3" xfId="153" xr:uid="{134C3479-22B1-43B8-8911-357628538037}"/>
    <cellStyle name="dms_H" xfId="154" xr:uid="{72262894-CEBD-41C8-832D-FB14A437F91F}"/>
    <cellStyle name="dms_TopHeader" xfId="155" xr:uid="{F79EBEC0-1744-4700-A7F3-FE035BE22C3B}"/>
    <cellStyle name="Explanatory Text" xfId="156" builtinId="53" customBuiltin="1"/>
    <cellStyle name="Good" xfId="157" builtinId="26" customBuiltin="1"/>
    <cellStyle name="Good 2" xfId="158" xr:uid="{77366ACA-3897-4436-BD62-98C52DFCFC34}"/>
    <cellStyle name="Heading 1" xfId="159" builtinId="16" customBuiltin="1"/>
    <cellStyle name="Heading 2" xfId="160" builtinId="17" customBuiltin="1"/>
    <cellStyle name="Heading 3" xfId="161" builtinId="18" customBuiltin="1"/>
    <cellStyle name="Heading 4" xfId="162" builtinId="19" customBuiltin="1"/>
    <cellStyle name="Hyperlink" xfId="163" builtinId="8"/>
    <cellStyle name="Hyperlink 2 2 2" xfId="321" xr:uid="{F6F7973C-95DF-4535-8DE7-EBA2634619F6}"/>
    <cellStyle name="Input" xfId="164" builtinId="20" customBuiltin="1"/>
    <cellStyle name="Input 2" xfId="165" xr:uid="{5A168F5D-A7D4-4946-B3E8-714DA71B06D5}"/>
    <cellStyle name="Input1" xfId="166" xr:uid="{84F8D9B5-D750-4031-A237-00627D7BEC53}"/>
    <cellStyle name="Input1 2" xfId="167" xr:uid="{2CE72F30-567B-4C27-B48D-39076030E385}"/>
    <cellStyle name="Input1 2 2" xfId="168" xr:uid="{C0143748-3A95-4EF4-BB5B-843C96A5175C}"/>
    <cellStyle name="Input1 2 2 2" xfId="169" xr:uid="{47C34D03-DE2D-417E-A9DA-243AEA7CFF1E}"/>
    <cellStyle name="Input1 2 2 2 2" xfId="170" xr:uid="{C6B8033A-4AD5-40F1-8941-E414E0C01495}"/>
    <cellStyle name="Input1 2 2 3" xfId="171" xr:uid="{11584A09-0605-4A56-A774-97081BBB5B5B}"/>
    <cellStyle name="Input1 2 2 3 2" xfId="172" xr:uid="{E9EFB995-01D6-477B-9FE1-C3EE4D83A267}"/>
    <cellStyle name="Input1 2 2 4" xfId="173" xr:uid="{33DE8E24-E4C9-4CA0-975F-D2298073E087}"/>
    <cellStyle name="Input1 2 2 5" xfId="174" xr:uid="{9E30C910-C191-46BB-9A8D-F9DE161F10DC}"/>
    <cellStyle name="Input1 2 2 6" xfId="278" xr:uid="{583A2B2D-C187-441B-89F1-1221BDF8AA59}"/>
    <cellStyle name="Input1 2 3" xfId="175" xr:uid="{9A56F224-4C40-4513-BAED-98E80D96F9B8}"/>
    <cellStyle name="Input1 2 3 2" xfId="176" xr:uid="{B0B0F859-2A32-40B1-BEE3-E1D30AFD8D6E}"/>
    <cellStyle name="Input1 2 4" xfId="177" xr:uid="{E74122D5-7207-49C6-8FBC-7DF5840C22E2}"/>
    <cellStyle name="Input1 2 4 2" xfId="178" xr:uid="{2B39162C-06F4-401D-A175-398544F9C2B8}"/>
    <cellStyle name="Input1 2 5" xfId="179" xr:uid="{D0755B66-A4FC-4E0F-A99C-CBBBFF5F053A}"/>
    <cellStyle name="Input1 2 6" xfId="180" xr:uid="{1DA61399-9B86-4011-AE60-14764D4CCA43}"/>
    <cellStyle name="Input1 2 7" xfId="277" xr:uid="{9233EE44-AD15-4C6F-AF0C-905C0962DFB7}"/>
    <cellStyle name="Input1 3" xfId="181" xr:uid="{7E50889F-A78A-48F0-A0E9-F1482796D958}"/>
    <cellStyle name="Input1 3 2" xfId="182" xr:uid="{E36BF79F-848F-4EB8-8116-C2D513E91A32}"/>
    <cellStyle name="Input1 3 2 2" xfId="183" xr:uid="{28052C9C-85C8-462D-B930-78E0B261DA4A}"/>
    <cellStyle name="Input1 3 3" xfId="184" xr:uid="{8F345877-08FD-498D-A72F-CE456F59956C}"/>
    <cellStyle name="Input1 3 3 2" xfId="185" xr:uid="{8F8BC205-29B4-4FEC-B62B-7A9EC5203957}"/>
    <cellStyle name="Input1 3 4" xfId="186" xr:uid="{F0326241-1BF4-4D03-B7E5-1783DA4FF69F}"/>
    <cellStyle name="Input1 3 5" xfId="187" xr:uid="{A81AA952-63F8-401C-9A73-C56DC49F4AA1}"/>
    <cellStyle name="Input1 3 6" xfId="279" xr:uid="{8D1DDEE1-CC64-4F67-8045-C02374EF2371}"/>
    <cellStyle name="Input1 4" xfId="188" xr:uid="{E38D25C5-493E-4888-9E20-13D3F45AE981}"/>
    <cellStyle name="Input1 4 2" xfId="189" xr:uid="{4CB837F9-2B93-4DDF-A336-1AF428E9FACF}"/>
    <cellStyle name="Input1 5" xfId="276" xr:uid="{7320F5DF-317A-4648-9281-5F73CC30610F}"/>
    <cellStyle name="Input2" xfId="190" xr:uid="{8EBDB851-53D1-4B20-874E-92C84CDC1F15}"/>
    <cellStyle name="Input2 2" xfId="191" xr:uid="{BD363501-55A2-4C70-B2E6-4585BFFA49F2}"/>
    <cellStyle name="Input2 2 2" xfId="192" xr:uid="{AC29E072-5421-47C0-8E8E-6A9BAA48151E}"/>
    <cellStyle name="Input2 2 3" xfId="281" xr:uid="{8A7A4C35-BD47-475C-89EB-F9292DB7CD0F}"/>
    <cellStyle name="Input2 3" xfId="280" xr:uid="{164FFF76-94CC-47BB-B896-CE759AB55EF9}"/>
    <cellStyle name="Input3" xfId="193" xr:uid="{682D1426-6F50-4EFA-BBFE-97FD299735E0}"/>
    <cellStyle name="Input3 2" xfId="194" xr:uid="{2495B196-90F6-466A-85F0-967BC59067C3}"/>
    <cellStyle name="Input3 2 2" xfId="195" xr:uid="{009EFC13-CE66-48C8-8259-2D62ADCED8DD}"/>
    <cellStyle name="Input3 2 2 2" xfId="196" xr:uid="{F1202B15-B230-4F3E-B926-3156F1494A3D}"/>
    <cellStyle name="Input3 2 2 2 2" xfId="197" xr:uid="{6C06DE05-4841-42F9-9291-84B0CAEC6B93}"/>
    <cellStyle name="Input3 2 2 3" xfId="198" xr:uid="{94F7D3C2-3816-4E42-BDBD-D815FC861132}"/>
    <cellStyle name="Input3 2 2 3 2" xfId="199" xr:uid="{6753C094-2F7B-473A-B331-4DCD83268BA9}"/>
    <cellStyle name="Input3 2 2 4" xfId="200" xr:uid="{426D850D-FE9B-4350-BEF8-9017A5B094E3}"/>
    <cellStyle name="Input3 2 2 5" xfId="201" xr:uid="{B74768C9-E26C-4FCB-B1D0-083FE43B24F5}"/>
    <cellStyle name="Input3 2 2 6" xfId="284" xr:uid="{F3BFF780-B3F0-4483-896A-E2BED2A08302}"/>
    <cellStyle name="Input3 2 3" xfId="202" xr:uid="{52E773C4-A9F1-4B63-AC02-9F817A4AB958}"/>
    <cellStyle name="Input3 2 3 2" xfId="203" xr:uid="{B566F623-F133-4398-A40A-58646A2D209E}"/>
    <cellStyle name="Input3 2 4" xfId="204" xr:uid="{D276901A-960F-460A-8D29-4103CB495CB4}"/>
    <cellStyle name="Input3 2 4 2" xfId="205" xr:uid="{CDBC397D-B697-4E2D-995A-E17430531859}"/>
    <cellStyle name="Input3 2 5" xfId="206" xr:uid="{060F4037-E4CD-4281-BC6D-ADBE71E57CF3}"/>
    <cellStyle name="Input3 2 6" xfId="207" xr:uid="{986482EF-B9C5-4E96-ABA8-DDA38930BF25}"/>
    <cellStyle name="Input3 2 7" xfId="283" xr:uid="{58438C6C-0B78-4E40-99CE-FADD6D276878}"/>
    <cellStyle name="Input3 3" xfId="208" xr:uid="{F50DB379-1AA5-4E3D-A3F2-B921BE956EA6}"/>
    <cellStyle name="Input3 3 2" xfId="209" xr:uid="{43650BE1-AE7A-41AC-BCC3-8F554E25E1BA}"/>
    <cellStyle name="Input3 3 2 2" xfId="210" xr:uid="{4A534560-3958-455D-B046-05966DD5AE9A}"/>
    <cellStyle name="Input3 3 3" xfId="211" xr:uid="{5FB82325-97DF-4191-BE8F-9ECE2A4985A5}"/>
    <cellStyle name="Input3 3 3 2" xfId="212" xr:uid="{37E7757B-35B8-43C5-BC47-55346488E98A}"/>
    <cellStyle name="Input3 3 4" xfId="213" xr:uid="{7DEA4990-7D3B-4E29-96F7-95272E4D31A0}"/>
    <cellStyle name="Input3 3 5" xfId="214" xr:uid="{7CFC8621-C54D-4D22-BC49-B186D85D39BD}"/>
    <cellStyle name="Input3 3 6" xfId="285" xr:uid="{A5E4F302-1669-4165-870C-B2820AFF3BD7}"/>
    <cellStyle name="Input3 4" xfId="282" xr:uid="{2B803E8B-A92E-47D1-81BB-36B79115C491}"/>
    <cellStyle name="Linked Cell" xfId="215" builtinId="24" customBuiltin="1"/>
    <cellStyle name="Neutral" xfId="216" builtinId="28" customBuiltin="1"/>
    <cellStyle name="Neutral 2" xfId="217" xr:uid="{B125FBD5-F641-4232-9152-8CE82A68591E}"/>
    <cellStyle name="Normal" xfId="0" builtinId="0"/>
    <cellStyle name="Normal 10 2 3" xfId="304" xr:uid="{CF066DE2-9149-4DC7-8EC3-DBDD6292C7A2}"/>
    <cellStyle name="Normal 11" xfId="329" xr:uid="{1B547D24-84FF-4872-83E2-7A296600BCF4}"/>
    <cellStyle name="Normal 12" xfId="331" xr:uid="{F3EFCDFB-87D4-42BC-A484-B27EBC4EFBD5}"/>
    <cellStyle name="Normal 13" xfId="333" xr:uid="{BD383233-6B45-4ECA-8F98-7AE91BB212DD}"/>
    <cellStyle name="Normal 15" xfId="264" xr:uid="{90FD503A-8F84-4BD3-BE15-154A7AF82920}"/>
    <cellStyle name="Normal 2" xfId="218" xr:uid="{EEB87F7F-A0E3-41D6-8F9C-2DC294BA3A15}"/>
    <cellStyle name="Normal 2 2" xfId="219" xr:uid="{F6F06AB8-4DBC-4009-9D5D-F99B049D168F}"/>
    <cellStyle name="Normal 2 4 3" xfId="220" xr:uid="{EC724885-F331-4B3E-9BED-327D15EE348C}"/>
    <cellStyle name="Normal 3" xfId="221" xr:uid="{A13EE757-653A-4128-9AB4-344426BED1AD}"/>
    <cellStyle name="Normal 3 2" xfId="222" xr:uid="{6FAA4823-F97D-430B-903C-B58FDEEF76AD}"/>
    <cellStyle name="Normal 3 2 2" xfId="223" xr:uid="{0245BAE3-C483-4B18-97E1-9CA41E0F3F32}"/>
    <cellStyle name="Normal 3 2 3" xfId="286" xr:uid="{E8038DAB-4D79-4E22-8B75-413C1D940054}"/>
    <cellStyle name="Normal 3 3" xfId="224" xr:uid="{F1BF01CC-1E0E-4DAD-B20D-4F58312769C9}"/>
    <cellStyle name="Normal 3 3 2" xfId="263" xr:uid="{F26F35F5-0A0C-4295-BF50-A4AA4833FDCD}"/>
    <cellStyle name="Normal 4" xfId="225" xr:uid="{44664DE1-1469-4CEE-83EE-8C0CF3B38024}"/>
    <cellStyle name="Normal 4 2" xfId="297" xr:uid="{DA314F7E-FF93-47DC-8996-5CE564261AA1}"/>
    <cellStyle name="Normal 4 2 2" xfId="326" xr:uid="{F5437709-8C31-496A-BCD0-F84FD1D461BC}"/>
    <cellStyle name="Normal 4 3" xfId="323" xr:uid="{133987C3-7C80-4752-BE1B-616D67C93CF9}"/>
    <cellStyle name="Normal 4 4" xfId="287" xr:uid="{5FAA2B9D-BC31-425E-8291-C08B9C68F82A}"/>
    <cellStyle name="Normal 42" xfId="320" xr:uid="{46323F05-C377-462A-A6FB-A9D70965B981}"/>
    <cellStyle name="Normal 5" xfId="226" xr:uid="{A3CD1E3A-EF8C-45E0-85CC-4450DDFD279A}"/>
    <cellStyle name="Normal 6" xfId="227" xr:uid="{69782524-31F5-4A1C-AD4E-49439A182B58}"/>
    <cellStyle name="Normal 6 2" xfId="303" xr:uid="{4754FD87-C093-4F69-A27D-4C36702CD742}"/>
    <cellStyle name="Normal 7" xfId="260" xr:uid="{5AECF7B7-2A61-4363-B9FC-BE136359BB9F}"/>
    <cellStyle name="Normal 7 2" xfId="311" xr:uid="{F7C4FCDC-88D0-472A-B93D-5A1058462899}"/>
    <cellStyle name="Normal 8" xfId="312" xr:uid="{2DA3FEE4-40F2-4AF5-A565-9F890CD6302C}"/>
    <cellStyle name="Normal 9" xfId="317" xr:uid="{EA47C040-F4D1-48D1-AB05-A596E45E6F6E}"/>
    <cellStyle name="Normal_2010 06 02 - Urgent RIN for Vic DNSPs revised proposals" xfId="228" xr:uid="{A4510A46-B537-4F8F-BF55-467407707492}"/>
    <cellStyle name="Normal_2010 06 22 - AA - Scheme Templates for data collection" xfId="229" xr:uid="{414D49FE-9ECF-4BCC-9FAF-817E6D200247}"/>
    <cellStyle name="Normal_2010 06 22 - IE - Scheme Template for data collection" xfId="230" xr:uid="{81C36F8E-EEBD-46B9-B30F-66959D023390}"/>
    <cellStyle name="Normal_Book1" xfId="231" xr:uid="{44DE270F-C54D-4542-B6E4-24D8FD98E0D5}"/>
    <cellStyle name="Normal_D11 2371025  Financial information - 2012 Draft RIN - Ausgrid" xfId="232" xr:uid="{B6D04D09-6475-4D27-BFA5-6FFDBDA2BDF7}"/>
    <cellStyle name="Normal_D11 2371025  Financial information - 2012 Draft RIN - Ausgrid 2" xfId="233" xr:uid="{5441A187-743F-44E5-BFF2-5C3AEB09E2A4}"/>
    <cellStyle name="Normal_D12 1569  Opex, DMIS, EBSS - 2012 draft RIN - Ausgrid" xfId="234" xr:uid="{D976C4EE-7A03-43DA-B093-644116DBEBAC}"/>
    <cellStyle name="Normal_D12 16703  Overheads, Avoided Cost, ACS, Demand and Revenue - 2012 draft RIN - Ausgrid" xfId="235" xr:uid="{8983025E-A3A2-48BF-A782-6470F3B2B0DB}"/>
    <cellStyle name="Normal_D12 16703  Overheads, Avoided Cost, ACS, Demand and Revenue - 2012 draft RIN - Ausgrid 2" xfId="236" xr:uid="{1B525D05-BBD2-426A-909B-2CE38AB6259F}"/>
    <cellStyle name="Normal_Sheet1" xfId="237" xr:uid="{A6E4D229-3027-4798-A576-C0D3414FF8F9}"/>
    <cellStyle name="Normal_Sheet1 2" xfId="238" xr:uid="{DA152B22-E161-4003-B27E-EF9A2E4AF269}"/>
    <cellStyle name="Note" xfId="239" builtinId="10" customBuiltin="1"/>
    <cellStyle name="Note 2" xfId="240" xr:uid="{87600825-05AE-4C34-9805-D3DAC38E816D}"/>
    <cellStyle name="Note 2 2" xfId="241" xr:uid="{83092B29-EDA3-48C5-B557-8878BCD46E67}"/>
    <cellStyle name="Note 2 3" xfId="289" xr:uid="{99012ECC-027D-4590-B013-D0431DB1B716}"/>
    <cellStyle name="Note 3" xfId="288" xr:uid="{674C8839-0FB1-4939-A63A-A2E5DF1C6E4E}"/>
    <cellStyle name="Output" xfId="242" builtinId="21" customBuiltin="1"/>
    <cellStyle name="Output 2" xfId="243" xr:uid="{C6D2676A-6C8C-4362-9670-82B256DDC2FE}"/>
    <cellStyle name="Per cent" xfId="244" builtinId="5"/>
    <cellStyle name="Per cent 2" xfId="245" xr:uid="{2514EC37-5BA7-477F-B1FF-0B9B925C4F13}"/>
    <cellStyle name="Per cent 2 2" xfId="262" xr:uid="{04ED847B-6AE0-43B3-B57E-1FE06E9CF131}"/>
    <cellStyle name="Percent 2" xfId="246" xr:uid="{39471A21-217D-4DC7-89C2-EA846A2BF09B}"/>
    <cellStyle name="Percent 2 2" xfId="247" xr:uid="{F0ABAF39-B387-4AB2-B7D8-00D10AEA290A}"/>
    <cellStyle name="Percent 2 2 2" xfId="307" xr:uid="{3EA689B5-9A8B-4CB3-9E4A-F5DCAC3F36CE}"/>
    <cellStyle name="Percent 2 3" xfId="296" xr:uid="{ECFEC5AF-0E01-4793-94DD-CF51B1F237D9}"/>
    <cellStyle name="Percent 3" xfId="248" xr:uid="{D9A4EFE7-F22C-4E51-8E94-B3EEB0EC0F11}"/>
    <cellStyle name="Percent 3 2" xfId="302" xr:uid="{9576C515-D70C-4E7A-9F2A-0EF45C9EA895}"/>
    <cellStyle name="Percent 4" xfId="309" xr:uid="{3E7A696C-43A2-4085-8970-FFD0163448A8}"/>
    <cellStyle name="Percent 5" xfId="315" xr:uid="{BB40C3CF-847C-41D4-B353-87B766A745D2}"/>
    <cellStyle name="Style 1" xfId="249" xr:uid="{16C7471E-EA85-44E9-A311-D0E211DF2EA1}"/>
    <cellStyle name="Style 1 2" xfId="250" xr:uid="{3A3B78D2-1B06-4D1A-A6D8-7300F01DC573}"/>
    <cellStyle name="Style 1 2 2" xfId="251" xr:uid="{74E4CFD5-AFB3-4C81-9D41-8FD428BA0779}"/>
    <cellStyle name="Style 1 2 2 2" xfId="252" xr:uid="{20EB04D5-17EC-43DD-B72E-FFFD82C5A31A}"/>
    <cellStyle name="Style 1 2 2 3" xfId="291" xr:uid="{F441DF40-3849-4AD8-9D08-995B4EB0A70D}"/>
    <cellStyle name="Style 1 2 3" xfId="290" xr:uid="{4C246D04-9081-49F3-9975-486CED4356AB}"/>
    <cellStyle name="Style 1 3" xfId="253" xr:uid="{AB22C332-3D34-4075-984E-007F2130B5AE}"/>
    <cellStyle name="Style 1 3 2" xfId="254" xr:uid="{D2F3C081-8B5B-46C7-9BE2-C3DBD8FA57AB}"/>
    <cellStyle name="Style 1 3 3" xfId="292" xr:uid="{8FEAC476-882E-4391-9D85-3A7A8EC6A60E}"/>
    <cellStyle name="Style 1 4" xfId="255" xr:uid="{C8216DBF-EB08-45BA-BBDF-9CC0D58BCDD6}"/>
    <cellStyle name="Style 1 4 2" xfId="256" xr:uid="{113A0870-E0C1-45C3-AD24-1223AB31FF7D}"/>
    <cellStyle name="Table Heading" xfId="293" xr:uid="{CAE0547E-2CB6-4F09-95D4-928B78312C7C}"/>
    <cellStyle name="Table Text With Lines" xfId="294" xr:uid="{15D09DEA-FA3D-4985-A695-51FF9C5D0CD2}"/>
    <cellStyle name="Table Total Row" xfId="295" xr:uid="{F1D5D0B7-A87E-45DE-A9EA-370D297057D2}"/>
    <cellStyle name="Title" xfId="257" builtinId="15" customBuiltin="1"/>
    <cellStyle name="Total" xfId="258" builtinId="25" customBuiltin="1"/>
    <cellStyle name="Warning Text" xfId="259" builtinId="11" customBuiltin="1"/>
  </cellStyles>
  <dxfs count="90">
    <dxf>
      <font>
        <color auto="1"/>
      </font>
      <fill>
        <patternFill>
          <fgColor indexed="64"/>
          <bgColor rgb="FFFF0000"/>
        </patternFill>
      </fill>
    </dxf>
    <dxf>
      <font>
        <color rgb="FF9C0006"/>
      </font>
      <fill>
        <patternFill>
          <bgColor rgb="FFFFC7CE"/>
        </patternFill>
      </fill>
    </dxf>
    <dxf>
      <font>
        <color rgb="FF2B7AAF"/>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theme="0" tint="-0.24994659260841701"/>
      </font>
      <numFmt numFmtId="178" formatCode="&quot; -&quo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border outline="0">
        <top style="thin">
          <color theme="4"/>
        </top>
      </border>
    </dxf>
    <dxf>
      <font>
        <b/>
        <i val="0"/>
        <strike val="0"/>
        <condense val="0"/>
        <extend val="0"/>
        <outline val="0"/>
        <shadow val="0"/>
        <u val="none"/>
        <vertAlign val="baseline"/>
        <sz val="10"/>
        <color theme="0"/>
        <name val="Arial"/>
        <family val="2"/>
        <scheme val="none"/>
      </font>
      <fill>
        <patternFill patternType="solid">
          <fgColor indexed="64"/>
          <bgColor rgb="FF2B7AAF"/>
        </patternFill>
      </fill>
    </dxf>
    <dxf>
      <font>
        <b/>
        <i val="0"/>
        <color rgb="FFFFFFFF"/>
      </font>
      <fill>
        <patternFill>
          <bgColor rgb="FF00A0B3"/>
        </patternFill>
      </fill>
      <border>
        <left/>
        <right/>
        <top style="thin">
          <color rgb="FF00A0B3"/>
        </top>
        <bottom style="thin">
          <color rgb="FF00A0B3"/>
        </bottom>
        <vertical style="thin">
          <color rgb="FFFFFFFF"/>
        </vertical>
        <horizontal style="thin">
          <color rgb="FFFFFFFF"/>
        </horizontal>
      </border>
    </dxf>
    <dxf>
      <font>
        <b val="0"/>
        <i val="0"/>
        <color rgb="FF191919"/>
        <name val="Arial"/>
        <scheme val="none"/>
      </font>
      <border>
        <left style="thin">
          <color rgb="FF00A0B3"/>
        </left>
        <right style="thin">
          <color rgb="FF00A0B3"/>
        </right>
        <top style="thin">
          <color rgb="FF00A0B3"/>
        </top>
        <bottom style="thin">
          <color rgb="FF00A0B3"/>
        </bottom>
        <vertical style="thin">
          <color rgb="FF00A0B3"/>
        </vertical>
        <horizontal style="thin">
          <color rgb="FF00A0B3"/>
        </horizontal>
      </border>
    </dxf>
  </dxfs>
  <tableStyles count="1" defaultTableStyle="TableStyleMedium2" defaultPivotStyle="PivotStyleLight16">
    <tableStyle name="ERA Table Grid" pivot="0" count="2" xr9:uid="{81ED8AD2-24A7-4AF3-AA64-7813C422C47F}">
      <tableStyleElement type="wholeTable" dxfId="89"/>
      <tableStyleElement type="headerRow" dxfId="88"/>
    </tableStyle>
  </tableStyles>
  <colors>
    <mruColors>
      <color rgb="FFD7F1FC"/>
      <color rgb="FFFFF9E6"/>
      <color rgb="FFEBFFF0"/>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35" Type="http://schemas.openxmlformats.org/officeDocument/2006/relationships/customXml" Target="../customXml/item2.xml"/><Relationship Id="rId8" Type="http://schemas.openxmlformats.org/officeDocument/2006/relationships/worksheet" Target="worksheets/sheet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b="0" i="0" u="none" strike="noStrike" baseline="0">
                <a:solidFill>
                  <a:srgbClr val="333333"/>
                </a:solidFill>
                <a:latin typeface="Arial"/>
                <a:ea typeface="Arial"/>
                <a:cs typeface="Arial"/>
              </a:defRPr>
            </a:pPr>
            <a:r>
              <a:rPr lang="en-AU"/>
              <a:t>Revenue allocation to pipeline services</a:t>
            </a:r>
          </a:p>
        </c:rich>
      </c:tx>
      <c:overlay val="0"/>
      <c:spPr>
        <a:noFill/>
        <a:ln w="25400">
          <a:noFill/>
        </a:ln>
      </c:spPr>
    </c:title>
    <c:autoTitleDeleted val="0"/>
    <c:plotArea>
      <c:layout>
        <c:manualLayout>
          <c:layoutTarget val="inner"/>
          <c:xMode val="edge"/>
          <c:yMode val="edge"/>
          <c:x val="0.24177040996089655"/>
          <c:y val="6.7078467027851196E-2"/>
          <c:w val="0.53318213061065745"/>
          <c:h val="0.79869177557721505"/>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0-62D6-4B83-A765-39F91DEDB3C4}"/>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1-62D6-4B83-A765-39F91DEDB3C4}"/>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2-62D6-4B83-A765-39F91DEDB3C4}"/>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3-62D6-4B83-A765-39F91DEDB3C4}"/>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4-62D6-4B83-A765-39F91DEDB3C4}"/>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5-62D6-4B83-A765-39F91DEDB3C4}"/>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6-62D6-4B83-A765-39F91DEDB3C4}"/>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7-62D6-4B83-A765-39F91DEDB3C4}"/>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8-62D6-4B83-A765-39F91DEDB3C4}"/>
              </c:ext>
            </c:extLst>
          </c:dPt>
          <c:dPt>
            <c:idx val="9"/>
            <c:bubble3D val="0"/>
            <c:extLst>
              <c:ext xmlns:c16="http://schemas.microsoft.com/office/drawing/2014/chart" uri="{C3380CC4-5D6E-409C-BE32-E72D297353CC}">
                <c16:uniqueId val="{00000009-62D6-4B83-A765-39F91DEDB3C4}"/>
              </c:ext>
            </c:extLst>
          </c:dPt>
          <c:dLbls>
            <c:dLbl>
              <c:idx val="1"/>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1-62D6-4B83-A765-39F91DEDB3C4}"/>
                </c:ext>
              </c:extLst>
            </c:dLbl>
            <c:dLbl>
              <c:idx val="4"/>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4-62D6-4B83-A765-39F91DEDB3C4}"/>
                </c:ext>
              </c:extLst>
            </c:dLbl>
            <c:dLbl>
              <c:idx val="5"/>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5-62D6-4B83-A765-39F91DEDB3C4}"/>
                </c:ext>
              </c:extLst>
            </c:dLbl>
            <c:dLbl>
              <c:idx val="6"/>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6-62D6-4B83-A765-39F91DEDB3C4}"/>
                </c:ext>
              </c:extLst>
            </c:dLbl>
            <c:dLbl>
              <c:idx val="7"/>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7-62D6-4B83-A765-39F91DEDB3C4}"/>
                </c:ext>
              </c:extLst>
            </c:dLbl>
            <c:dLbl>
              <c:idx val="8"/>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8-62D6-4B83-A765-39F91DEDB3C4}"/>
                </c:ext>
              </c:extLst>
            </c:dLbl>
            <c:dLbl>
              <c:idx val="9"/>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9-62D6-4B83-A765-39F91DEDB3C4}"/>
                </c:ext>
              </c:extLst>
            </c:dLbl>
            <c:numFmt formatCode="0%;\-0%;\ &quot;&quot;" sourceLinked="0"/>
            <c:spPr>
              <a:noFill/>
              <a:ln w="25400">
                <a:noFill/>
              </a:ln>
            </c:spPr>
            <c:txPr>
              <a:bodyPr wrap="square" lIns="38100" tIns="19050" rIns="38100" bIns="19050" anchor="ctr">
                <a:spAutoFit/>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showLeaderLines val="1"/>
            <c:extLst>
              <c:ext xmlns:c15="http://schemas.microsoft.com/office/drawing/2012/chart" uri="{CE6537A1-D6FC-4f65-9D91-7224C49458BB}"/>
            </c:extLst>
          </c:dLbls>
          <c:cat>
            <c:strRef>
              <c:f>'2. Revenue and expenses'!$E$12:$E$21</c:f>
              <c:strCache>
                <c:ptCount val="10"/>
                <c:pt idx="0">
                  <c:v>Firm forward haul transportation service</c:v>
                </c:pt>
                <c:pt idx="1">
                  <c:v>Backhaul service</c:v>
                </c:pt>
                <c:pt idx="2">
                  <c:v>Interruptible or as available transportation service</c:v>
                </c:pt>
                <c:pt idx="3">
                  <c:v>Firm stand-alone compression service</c:v>
                </c:pt>
                <c:pt idx="4">
                  <c:v>Interruptible or as available stand-alone compression service</c:v>
                </c:pt>
                <c:pt idx="5">
                  <c:v>Park service</c:v>
                </c:pt>
                <c:pt idx="6">
                  <c:v>Park and loan services</c:v>
                </c:pt>
                <c:pt idx="7">
                  <c:v>Capacity trading service</c:v>
                </c:pt>
                <c:pt idx="8">
                  <c:v>In pipe trading service</c:v>
                </c:pt>
                <c:pt idx="9">
                  <c:v>Other</c:v>
                </c:pt>
              </c:strCache>
            </c:strRef>
          </c:cat>
          <c:val>
            <c:numRef>
              <c:f>'2. Revenue and expenses'!$D$12:$D$21</c:f>
              <c:numCache>
                <c:formatCode>_(* #,##0_);_(* \(#,##0\);_(* ""_);_(@_)</c:formatCode>
                <c:ptCount val="10"/>
                <c:pt idx="0">
                  <c:v>16754428.230206098</c:v>
                </c:pt>
                <c:pt idx="1">
                  <c:v>0</c:v>
                </c:pt>
                <c:pt idx="2">
                  <c:v>3704500.6171024838</c:v>
                </c:pt>
                <c:pt idx="3">
                  <c:v>0</c:v>
                </c:pt>
                <c:pt idx="4">
                  <c:v>0</c:v>
                </c:pt>
                <c:pt idx="5">
                  <c:v>0</c:v>
                </c:pt>
                <c:pt idx="6">
                  <c:v>0</c:v>
                </c:pt>
                <c:pt idx="7">
                  <c:v>6008.6447706146946</c:v>
                </c:pt>
                <c:pt idx="8">
                  <c:v>0</c:v>
                </c:pt>
                <c:pt idx="9">
                  <c:v>581714.33611332579</c:v>
                </c:pt>
              </c:numCache>
            </c:numRef>
          </c:val>
          <c:extLst>
            <c:ext xmlns:c16="http://schemas.microsoft.com/office/drawing/2014/chart" uri="{C3380CC4-5D6E-409C-BE32-E72D297353CC}">
              <c16:uniqueId val="{0000000A-62D6-4B83-A765-39F91DEDB3C4}"/>
            </c:ext>
          </c:extLst>
        </c:ser>
        <c:dLbls>
          <c:showLegendKey val="0"/>
          <c:showVal val="0"/>
          <c:showCatName val="0"/>
          <c:showSerName val="0"/>
          <c:showPercent val="0"/>
          <c:showBubbleSize val="0"/>
          <c:showLeaderLines val="1"/>
        </c:dLbls>
        <c:firstSliceAng val="0"/>
      </c:pieChart>
      <c:spPr>
        <a:noFill/>
        <a:ln w="25400">
          <a:noFill/>
        </a:ln>
      </c:spPr>
    </c:plotArea>
    <c:legend>
      <c:legendPos val="r"/>
      <c:layout>
        <c:manualLayout>
          <c:xMode val="edge"/>
          <c:yMode val="edge"/>
          <c:x val="0.24095702532059041"/>
          <c:y val="0.82859761115949448"/>
          <c:w val="0.5982381265299378"/>
          <c:h val="9.1431478704842584E-2"/>
        </c:manualLayout>
      </c:layout>
      <c:overlay val="0"/>
      <c:spPr>
        <a:noFill/>
        <a:ln w="25400">
          <a:noFill/>
        </a:ln>
      </c:spPr>
      <c:txPr>
        <a:bodyPr/>
        <a:lstStyle/>
        <a:p>
          <a:pPr>
            <a:defRPr sz="850" b="0" i="0" u="none" strike="noStrike" baseline="0">
              <a:solidFill>
                <a:srgbClr val="333333"/>
              </a:solidFill>
              <a:latin typeface="Arial"/>
              <a:ea typeface="Arial"/>
              <a:cs typeface="Arial"/>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b="0" i="0" u="none" strike="noStrike" baseline="0">
                <a:solidFill>
                  <a:srgbClr val="333333"/>
                </a:solidFill>
                <a:latin typeface="Arial"/>
                <a:ea typeface="Arial"/>
                <a:cs typeface="Arial"/>
              </a:defRPr>
            </a:pPr>
            <a:r>
              <a:rPr lang="en-AU"/>
              <a:t>Expense allocation to pipeline services</a:t>
            </a:r>
          </a:p>
        </c:rich>
      </c:tx>
      <c:overlay val="0"/>
      <c:spPr>
        <a:noFill/>
        <a:ln w="25400">
          <a:noFill/>
        </a:ln>
      </c:spPr>
    </c:title>
    <c:autoTitleDeleted val="0"/>
    <c:plotArea>
      <c:layout>
        <c:manualLayout>
          <c:layoutTarget val="inner"/>
          <c:xMode val="edge"/>
          <c:yMode val="edge"/>
          <c:x val="0.26497122127771"/>
          <c:y val="5.9444058054497949E-2"/>
          <c:w val="0.51226897399608629"/>
          <c:h val="0.79860449666463462"/>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0-4AEB-401F-A341-63BE5FF6248F}"/>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1-4AEB-401F-A341-63BE5FF6248F}"/>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2-4AEB-401F-A341-63BE5FF6248F}"/>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3-4AEB-401F-A341-63BE5FF6248F}"/>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4-4AEB-401F-A341-63BE5FF6248F}"/>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5-4AEB-401F-A341-63BE5FF6248F}"/>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6-4AEB-401F-A341-63BE5FF6248F}"/>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7-4AEB-401F-A341-63BE5FF6248F}"/>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8-4AEB-401F-A341-63BE5FF6248F}"/>
              </c:ext>
            </c:extLst>
          </c:dPt>
          <c:dPt>
            <c:idx val="9"/>
            <c:bubble3D val="0"/>
            <c:extLst>
              <c:ext xmlns:c16="http://schemas.microsoft.com/office/drawing/2014/chart" uri="{C3380CC4-5D6E-409C-BE32-E72D297353CC}">
                <c16:uniqueId val="{00000009-4AEB-401F-A341-63BE5FF6248F}"/>
              </c:ext>
            </c:extLst>
          </c:dPt>
          <c:dLbls>
            <c:dLbl>
              <c:idx val="1"/>
              <c:layout>
                <c:manualLayout>
                  <c:x val="6.9658976245652565E-2"/>
                  <c:y val="-8.8308678071702396E-3"/>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4AEB-401F-A341-63BE5FF6248F}"/>
                </c:ext>
              </c:extLst>
            </c:dLbl>
            <c:dLbl>
              <c:idx val="4"/>
              <c:layout>
                <c:manualLayout>
                  <c:x val="9.4621200802816018E-3"/>
                  <c:y val="4.3372409002892416E-3"/>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4AEB-401F-A341-63BE5FF6248F}"/>
                </c:ext>
              </c:extLst>
            </c:dLbl>
            <c:dLbl>
              <c:idx val="5"/>
              <c:layout>
                <c:manualLayout>
                  <c:x val="-3.4084159850856404E-4"/>
                  <c:y val="-1.0284269355420705E-2"/>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4AEB-401F-A341-63BE5FF6248F}"/>
                </c:ext>
              </c:extLst>
            </c:dLbl>
            <c:dLbl>
              <c:idx val="6"/>
              <c:layout>
                <c:manualLayout>
                  <c:x val="-7.5549572047626046E-3"/>
                  <c:y val="-1.9087522533174253E-3"/>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6-4AEB-401F-A341-63BE5FF6248F}"/>
                </c:ext>
              </c:extLst>
            </c:dLbl>
            <c:dLbl>
              <c:idx val="7"/>
              <c:layout>
                <c:manualLayout>
                  <c:x val="-7.0214069892144473E-3"/>
                  <c:y val="-3.5060841568912086E-2"/>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4AEB-401F-A341-63BE5FF6248F}"/>
                </c:ext>
              </c:extLst>
            </c:dLbl>
            <c:dLbl>
              <c:idx val="8"/>
              <c:layout>
                <c:manualLayout>
                  <c:x val="2.3741561499401775E-4"/>
                  <c:y val="1.0101140760341207E-4"/>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8-4AEB-401F-A341-63BE5FF6248F}"/>
                </c:ext>
              </c:extLst>
            </c:dLbl>
            <c:dLbl>
              <c:idx val="9"/>
              <c:layout>
                <c:manualLayout>
                  <c:x val="2.424949605010419E-4"/>
                  <c:y val="2.0644260931505398E-2"/>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9-4AEB-401F-A341-63BE5FF6248F}"/>
                </c:ext>
              </c:extLst>
            </c:dLbl>
            <c:numFmt formatCode="0%;\-0%;\ &quot;&quot;\ " sourceLinked="0"/>
            <c:spPr>
              <a:noFill/>
              <a:ln w="25400">
                <a:noFill/>
              </a:ln>
            </c:spPr>
            <c:txPr>
              <a:bodyPr wrap="square" lIns="38100" tIns="19050" rIns="38100" bIns="19050" anchor="ctr">
                <a:spAutoFit/>
              </a:bodyPr>
              <a:lstStyle/>
              <a:p>
                <a:pPr>
                  <a:defRPr sz="900" b="0" i="0" u="none" strike="noStrike" baseline="0">
                    <a:solidFill>
                      <a:srgbClr val="000000"/>
                    </a:solidFill>
                    <a:latin typeface="Arial"/>
                    <a:ea typeface="Arial"/>
                    <a:cs typeface="Arial"/>
                  </a:defRPr>
                </a:pPr>
                <a:endParaRPr lang="en-US"/>
              </a:p>
            </c:txPr>
            <c:showLegendKey val="0"/>
            <c:showVal val="0"/>
            <c:showCatName val="1"/>
            <c:showSerName val="0"/>
            <c:showPercent val="1"/>
            <c:showBubbleSize val="0"/>
            <c:showLeaderLines val="1"/>
            <c:extLst>
              <c:ext xmlns:c15="http://schemas.microsoft.com/office/drawing/2012/chart" uri="{CE6537A1-D6FC-4f65-9D91-7224C49458BB}"/>
            </c:extLst>
          </c:dLbls>
          <c:cat>
            <c:strRef>
              <c:f>'2. Revenue and expenses'!$E$12:$E$21</c:f>
              <c:strCache>
                <c:ptCount val="10"/>
                <c:pt idx="0">
                  <c:v>Firm forward haul transportation service</c:v>
                </c:pt>
                <c:pt idx="1">
                  <c:v>Backhaul service</c:v>
                </c:pt>
                <c:pt idx="2">
                  <c:v>Interruptible or as available transportation service</c:v>
                </c:pt>
                <c:pt idx="3">
                  <c:v>Firm stand-alone compression service</c:v>
                </c:pt>
                <c:pt idx="4">
                  <c:v>Interruptible or as available stand-alone compression service</c:v>
                </c:pt>
                <c:pt idx="5">
                  <c:v>Park service</c:v>
                </c:pt>
                <c:pt idx="6">
                  <c:v>Park and loan services</c:v>
                </c:pt>
                <c:pt idx="7">
                  <c:v>Capacity trading service</c:v>
                </c:pt>
                <c:pt idx="8">
                  <c:v>In pipe trading service</c:v>
                </c:pt>
                <c:pt idx="9">
                  <c:v>Other</c:v>
                </c:pt>
              </c:strCache>
            </c:strRef>
          </c:cat>
          <c:val>
            <c:numRef>
              <c:f>'2. Revenue and expenses'!$F$12:$F$21</c:f>
              <c:numCache>
                <c:formatCode>_(* #,##0_);_(* \(#,##0\);_(* ""_);_(@_)</c:formatCode>
                <c:ptCount val="10"/>
                <c:pt idx="0">
                  <c:v>7052884.8697163854</c:v>
                </c:pt>
                <c:pt idx="1">
                  <c:v>0</c:v>
                </c:pt>
                <c:pt idx="2">
                  <c:v>1559433.4818966079</c:v>
                </c:pt>
                <c:pt idx="3">
                  <c:v>0</c:v>
                </c:pt>
                <c:pt idx="4">
                  <c:v>0</c:v>
                </c:pt>
                <c:pt idx="5">
                  <c:v>0</c:v>
                </c:pt>
                <c:pt idx="6">
                  <c:v>0</c:v>
                </c:pt>
                <c:pt idx="7">
                  <c:v>2529.3778580737376</c:v>
                </c:pt>
                <c:pt idx="8">
                  <c:v>0</c:v>
                </c:pt>
                <c:pt idx="9">
                  <c:v>244876.41018235564</c:v>
                </c:pt>
              </c:numCache>
            </c:numRef>
          </c:val>
          <c:extLst>
            <c:ext xmlns:c16="http://schemas.microsoft.com/office/drawing/2014/chart" uri="{C3380CC4-5D6E-409C-BE32-E72D297353CC}">
              <c16:uniqueId val="{0000000A-4AEB-401F-A341-63BE5FF6248F}"/>
            </c:ext>
          </c:extLst>
        </c:ser>
        <c:dLbls>
          <c:showLegendKey val="0"/>
          <c:showVal val="0"/>
          <c:showCatName val="0"/>
          <c:showSerName val="0"/>
          <c:showPercent val="0"/>
          <c:showBubbleSize val="0"/>
          <c:showLeaderLines val="1"/>
        </c:dLbls>
        <c:firstSliceAng val="0"/>
      </c:pieChart>
      <c:spPr>
        <a:noFill/>
        <a:ln w="25400">
          <a:noFill/>
        </a:ln>
      </c:spPr>
    </c:plotArea>
    <c:legend>
      <c:legendPos val="r"/>
      <c:layout>
        <c:manualLayout>
          <c:xMode val="edge"/>
          <c:yMode val="edge"/>
          <c:x val="0.2474407916909219"/>
          <c:y val="0.79030069871403064"/>
          <c:w val="0.56623902556927475"/>
          <c:h val="9.3425136926377328E-2"/>
        </c:manualLayout>
      </c:layout>
      <c:overlay val="0"/>
      <c:spPr>
        <a:noFill/>
        <a:ln w="25400">
          <a:noFill/>
        </a:ln>
      </c:spPr>
      <c:txPr>
        <a:bodyPr/>
        <a:lstStyle/>
        <a:p>
          <a:pPr>
            <a:defRPr sz="850" b="0" i="0" u="none" strike="noStrike" baseline="0">
              <a:solidFill>
                <a:srgbClr val="333333"/>
              </a:solidFill>
              <a:latin typeface="Arial"/>
              <a:ea typeface="Arial"/>
              <a:cs typeface="Arial"/>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b="0" i="0" u="none" strike="noStrike" baseline="0">
                <a:solidFill>
                  <a:srgbClr val="333333"/>
                </a:solidFill>
                <a:latin typeface="Arial"/>
                <a:ea typeface="Arial"/>
                <a:cs typeface="Arial"/>
              </a:defRPr>
            </a:pPr>
            <a:r>
              <a:rPr lang="en-AU"/>
              <a:t>Historical demand</a:t>
            </a:r>
          </a:p>
        </c:rich>
      </c:tx>
      <c:overlay val="0"/>
      <c:spPr>
        <a:noFill/>
        <a:ln w="25400">
          <a:noFill/>
        </a:ln>
      </c:spPr>
    </c:title>
    <c:autoTitleDeleted val="0"/>
    <c:plotArea>
      <c:layout/>
      <c:barChart>
        <c:barDir val="col"/>
        <c:grouping val="stacked"/>
        <c:varyColors val="0"/>
        <c:ser>
          <c:idx val="0"/>
          <c:order val="0"/>
          <c:tx>
            <c:strRef>
              <c:f>'5. Historical demand'!$C$40:$C$41</c:f>
              <c:strCache>
                <c:ptCount val="2"/>
                <c:pt idx="0">
                  <c:v>Contracted firm capacity-transportation</c:v>
                </c:pt>
                <c:pt idx="1">
                  <c:v>TJ/day</c:v>
                </c:pt>
              </c:strCache>
            </c:strRef>
          </c:tx>
          <c:spPr>
            <a:solidFill>
              <a:schemeClr val="accent6">
                <a:lumMod val="60000"/>
                <a:lumOff val="40000"/>
              </a:schemeClr>
            </a:solidFill>
            <a:ln w="28575" cap="rnd">
              <a:solidFill>
                <a:schemeClr val="accent6">
                  <a:lumMod val="60000"/>
                  <a:lumOff val="40000"/>
                </a:schemeClr>
              </a:solidFill>
              <a:round/>
            </a:ln>
            <a:effectLst/>
          </c:spPr>
          <c:invertIfNegative val="0"/>
          <c:cat>
            <c:strRef>
              <c:f>'5. Historical demand'!$B$43:$B$408</c:f>
              <c:strCache>
                <c:ptCount val="365"/>
                <c:pt idx="0">
                  <c:v>1/07/2024</c:v>
                </c:pt>
                <c:pt idx="1">
                  <c:v>2/07/2024</c:v>
                </c:pt>
                <c:pt idx="2">
                  <c:v>3/07/2024</c:v>
                </c:pt>
                <c:pt idx="3">
                  <c:v>4/07/2024</c:v>
                </c:pt>
                <c:pt idx="4">
                  <c:v>5/07/2024</c:v>
                </c:pt>
                <c:pt idx="5">
                  <c:v>6/07/2024</c:v>
                </c:pt>
                <c:pt idx="6">
                  <c:v>7/07/2024</c:v>
                </c:pt>
                <c:pt idx="7">
                  <c:v>8/07/2024</c:v>
                </c:pt>
                <c:pt idx="8">
                  <c:v>9/07/2024</c:v>
                </c:pt>
                <c:pt idx="9">
                  <c:v>10/07/2024</c:v>
                </c:pt>
                <c:pt idx="10">
                  <c:v>11/07/2024</c:v>
                </c:pt>
                <c:pt idx="11">
                  <c:v>12/07/2024</c:v>
                </c:pt>
                <c:pt idx="12">
                  <c:v>13/07/2024</c:v>
                </c:pt>
                <c:pt idx="13">
                  <c:v>14/07/2024</c:v>
                </c:pt>
                <c:pt idx="14">
                  <c:v>15/07/2024</c:v>
                </c:pt>
                <c:pt idx="15">
                  <c:v>16/07/2024</c:v>
                </c:pt>
                <c:pt idx="16">
                  <c:v>17/07/2024</c:v>
                </c:pt>
                <c:pt idx="17">
                  <c:v>18/07/2024</c:v>
                </c:pt>
                <c:pt idx="18">
                  <c:v>19/07/2024</c:v>
                </c:pt>
                <c:pt idx="19">
                  <c:v>20/07/2024</c:v>
                </c:pt>
                <c:pt idx="20">
                  <c:v>21/07/2024</c:v>
                </c:pt>
                <c:pt idx="21">
                  <c:v>22/07/2024</c:v>
                </c:pt>
                <c:pt idx="22">
                  <c:v>23/07/2024</c:v>
                </c:pt>
                <c:pt idx="23">
                  <c:v>24/07/2024</c:v>
                </c:pt>
                <c:pt idx="24">
                  <c:v>25/07/2024</c:v>
                </c:pt>
                <c:pt idx="25">
                  <c:v>26/07/2024</c:v>
                </c:pt>
                <c:pt idx="26">
                  <c:v>27/07/2024</c:v>
                </c:pt>
                <c:pt idx="27">
                  <c:v>28/07/2024</c:v>
                </c:pt>
                <c:pt idx="28">
                  <c:v>29/07/2024</c:v>
                </c:pt>
                <c:pt idx="29">
                  <c:v>30/07/2024</c:v>
                </c:pt>
                <c:pt idx="30">
                  <c:v>31/07/2024</c:v>
                </c:pt>
                <c:pt idx="31">
                  <c:v>1/08/2024</c:v>
                </c:pt>
                <c:pt idx="32">
                  <c:v>2/08/2024</c:v>
                </c:pt>
                <c:pt idx="33">
                  <c:v>3/08/2024</c:v>
                </c:pt>
                <c:pt idx="34">
                  <c:v>4/08/2024</c:v>
                </c:pt>
                <c:pt idx="35">
                  <c:v>5/08/2024</c:v>
                </c:pt>
                <c:pt idx="36">
                  <c:v>6/08/2024</c:v>
                </c:pt>
                <c:pt idx="37">
                  <c:v>7/08/2024</c:v>
                </c:pt>
                <c:pt idx="38">
                  <c:v>8/08/2024</c:v>
                </c:pt>
                <c:pt idx="39">
                  <c:v>9/08/2024</c:v>
                </c:pt>
                <c:pt idx="40">
                  <c:v>10/08/2024</c:v>
                </c:pt>
                <c:pt idx="41">
                  <c:v>11/08/2024</c:v>
                </c:pt>
                <c:pt idx="42">
                  <c:v>12/08/2024</c:v>
                </c:pt>
                <c:pt idx="43">
                  <c:v>13/08/2024</c:v>
                </c:pt>
                <c:pt idx="44">
                  <c:v>14/08/2024</c:v>
                </c:pt>
                <c:pt idx="45">
                  <c:v>15/08/2024</c:v>
                </c:pt>
                <c:pt idx="46">
                  <c:v>16/08/2024</c:v>
                </c:pt>
                <c:pt idx="47">
                  <c:v>17/08/2024</c:v>
                </c:pt>
                <c:pt idx="48">
                  <c:v>18/08/2024</c:v>
                </c:pt>
                <c:pt idx="49">
                  <c:v>19/08/2024</c:v>
                </c:pt>
                <c:pt idx="50">
                  <c:v>20/08/2024</c:v>
                </c:pt>
                <c:pt idx="51">
                  <c:v>21/08/2024</c:v>
                </c:pt>
                <c:pt idx="52">
                  <c:v>22/08/2024</c:v>
                </c:pt>
                <c:pt idx="53">
                  <c:v>23/08/2024</c:v>
                </c:pt>
                <c:pt idx="54">
                  <c:v>24/08/2024</c:v>
                </c:pt>
                <c:pt idx="55">
                  <c:v>25/08/2024</c:v>
                </c:pt>
                <c:pt idx="56">
                  <c:v>26/08/2024</c:v>
                </c:pt>
                <c:pt idx="57">
                  <c:v>27/08/2024</c:v>
                </c:pt>
                <c:pt idx="58">
                  <c:v>28/08/2024</c:v>
                </c:pt>
                <c:pt idx="59">
                  <c:v>29/08/2024</c:v>
                </c:pt>
                <c:pt idx="60">
                  <c:v>30/08/2024</c:v>
                </c:pt>
                <c:pt idx="61">
                  <c:v>31/08/2024</c:v>
                </c:pt>
                <c:pt idx="62">
                  <c:v>1/09/2024</c:v>
                </c:pt>
                <c:pt idx="63">
                  <c:v>2/09/2024</c:v>
                </c:pt>
                <c:pt idx="64">
                  <c:v>3/09/2024</c:v>
                </c:pt>
                <c:pt idx="65">
                  <c:v>4/09/2024</c:v>
                </c:pt>
                <c:pt idx="66">
                  <c:v>5/09/2024</c:v>
                </c:pt>
                <c:pt idx="67">
                  <c:v>6/09/2024</c:v>
                </c:pt>
                <c:pt idx="68">
                  <c:v>7/09/2024</c:v>
                </c:pt>
                <c:pt idx="69">
                  <c:v>8/09/2024</c:v>
                </c:pt>
                <c:pt idx="70">
                  <c:v>9/09/2024</c:v>
                </c:pt>
                <c:pt idx="71">
                  <c:v>10/09/2024</c:v>
                </c:pt>
                <c:pt idx="72">
                  <c:v>11/09/2024</c:v>
                </c:pt>
                <c:pt idx="73">
                  <c:v>12/09/2024</c:v>
                </c:pt>
                <c:pt idx="74">
                  <c:v>13/09/2024</c:v>
                </c:pt>
                <c:pt idx="75">
                  <c:v>14/09/2024</c:v>
                </c:pt>
                <c:pt idx="76">
                  <c:v>15/09/2024</c:v>
                </c:pt>
                <c:pt idx="77">
                  <c:v>16/09/2024</c:v>
                </c:pt>
                <c:pt idx="78">
                  <c:v>17/09/2024</c:v>
                </c:pt>
                <c:pt idx="79">
                  <c:v>18/09/2024</c:v>
                </c:pt>
                <c:pt idx="80">
                  <c:v>19/09/2024</c:v>
                </c:pt>
                <c:pt idx="81">
                  <c:v>20/09/2024</c:v>
                </c:pt>
                <c:pt idx="82">
                  <c:v>21/09/2024</c:v>
                </c:pt>
                <c:pt idx="83">
                  <c:v>22/09/2024</c:v>
                </c:pt>
                <c:pt idx="84">
                  <c:v>23/09/2024</c:v>
                </c:pt>
                <c:pt idx="85">
                  <c:v>24/09/2024</c:v>
                </c:pt>
                <c:pt idx="86">
                  <c:v>25/09/2024</c:v>
                </c:pt>
                <c:pt idx="87">
                  <c:v>26/09/2024</c:v>
                </c:pt>
                <c:pt idx="88">
                  <c:v>27/09/2024</c:v>
                </c:pt>
                <c:pt idx="89">
                  <c:v>28/09/2024</c:v>
                </c:pt>
                <c:pt idx="90">
                  <c:v>29/09/2024</c:v>
                </c:pt>
                <c:pt idx="91">
                  <c:v>30/09/2024</c:v>
                </c:pt>
                <c:pt idx="92">
                  <c:v>1/10/2024</c:v>
                </c:pt>
                <c:pt idx="93">
                  <c:v>2/10/2024</c:v>
                </c:pt>
                <c:pt idx="94">
                  <c:v>3/10/2024</c:v>
                </c:pt>
                <c:pt idx="95">
                  <c:v>4/10/2024</c:v>
                </c:pt>
                <c:pt idx="96">
                  <c:v>5/10/2024</c:v>
                </c:pt>
                <c:pt idx="97">
                  <c:v>6/10/2024</c:v>
                </c:pt>
                <c:pt idx="98">
                  <c:v>7/10/2024</c:v>
                </c:pt>
                <c:pt idx="99">
                  <c:v>8/10/2024</c:v>
                </c:pt>
                <c:pt idx="100">
                  <c:v>9/10/2024</c:v>
                </c:pt>
                <c:pt idx="101">
                  <c:v>10/10/2024</c:v>
                </c:pt>
                <c:pt idx="102">
                  <c:v>11/10/2024</c:v>
                </c:pt>
                <c:pt idx="103">
                  <c:v>12/10/2024</c:v>
                </c:pt>
                <c:pt idx="104">
                  <c:v>13/10/2024</c:v>
                </c:pt>
                <c:pt idx="105">
                  <c:v>14/10/2024</c:v>
                </c:pt>
                <c:pt idx="106">
                  <c:v>15/10/2024</c:v>
                </c:pt>
                <c:pt idx="107">
                  <c:v>16/10/2024</c:v>
                </c:pt>
                <c:pt idx="108">
                  <c:v>17/10/2024</c:v>
                </c:pt>
                <c:pt idx="109">
                  <c:v>18/10/2024</c:v>
                </c:pt>
                <c:pt idx="110">
                  <c:v>19/10/2024</c:v>
                </c:pt>
                <c:pt idx="111">
                  <c:v>20/10/2024</c:v>
                </c:pt>
                <c:pt idx="112">
                  <c:v>21/10/2024</c:v>
                </c:pt>
                <c:pt idx="113">
                  <c:v>22/10/2024</c:v>
                </c:pt>
                <c:pt idx="114">
                  <c:v>23/10/2024</c:v>
                </c:pt>
                <c:pt idx="115">
                  <c:v>24/10/2024</c:v>
                </c:pt>
                <c:pt idx="116">
                  <c:v>25/10/2024</c:v>
                </c:pt>
                <c:pt idx="117">
                  <c:v>26/10/2024</c:v>
                </c:pt>
                <c:pt idx="118">
                  <c:v>27/10/2024</c:v>
                </c:pt>
                <c:pt idx="119">
                  <c:v>28/10/2024</c:v>
                </c:pt>
                <c:pt idx="120">
                  <c:v>29/10/2024</c:v>
                </c:pt>
                <c:pt idx="121">
                  <c:v>30/10/2024</c:v>
                </c:pt>
                <c:pt idx="122">
                  <c:v>31/10/2024</c:v>
                </c:pt>
                <c:pt idx="123">
                  <c:v>1/11/2024</c:v>
                </c:pt>
                <c:pt idx="124">
                  <c:v>2/11/2024</c:v>
                </c:pt>
                <c:pt idx="125">
                  <c:v>3/11/2024</c:v>
                </c:pt>
                <c:pt idx="126">
                  <c:v>4/11/2024</c:v>
                </c:pt>
                <c:pt idx="127">
                  <c:v>5/11/2024</c:v>
                </c:pt>
                <c:pt idx="128">
                  <c:v>6/11/2024</c:v>
                </c:pt>
                <c:pt idx="129">
                  <c:v>7/11/2024</c:v>
                </c:pt>
                <c:pt idx="130">
                  <c:v>8/11/2024</c:v>
                </c:pt>
                <c:pt idx="131">
                  <c:v>9/11/2024</c:v>
                </c:pt>
                <c:pt idx="132">
                  <c:v>10/11/2024</c:v>
                </c:pt>
                <c:pt idx="133">
                  <c:v>11/11/2024</c:v>
                </c:pt>
                <c:pt idx="134">
                  <c:v>12/11/2024</c:v>
                </c:pt>
                <c:pt idx="135">
                  <c:v>13/11/2024</c:v>
                </c:pt>
                <c:pt idx="136">
                  <c:v>14/11/2024</c:v>
                </c:pt>
                <c:pt idx="137">
                  <c:v>15/11/2024</c:v>
                </c:pt>
                <c:pt idx="138">
                  <c:v>16/11/2024</c:v>
                </c:pt>
                <c:pt idx="139">
                  <c:v>17/11/2024</c:v>
                </c:pt>
                <c:pt idx="140">
                  <c:v>18/11/2024</c:v>
                </c:pt>
                <c:pt idx="141">
                  <c:v>19/11/2024</c:v>
                </c:pt>
                <c:pt idx="142">
                  <c:v>20/11/2024</c:v>
                </c:pt>
                <c:pt idx="143">
                  <c:v>21/11/2024</c:v>
                </c:pt>
                <c:pt idx="144">
                  <c:v>22/11/2024</c:v>
                </c:pt>
                <c:pt idx="145">
                  <c:v>23/11/2024</c:v>
                </c:pt>
                <c:pt idx="146">
                  <c:v>24/11/2024</c:v>
                </c:pt>
                <c:pt idx="147">
                  <c:v>25/11/2024</c:v>
                </c:pt>
                <c:pt idx="148">
                  <c:v>26/11/2024</c:v>
                </c:pt>
                <c:pt idx="149">
                  <c:v>27/11/2024</c:v>
                </c:pt>
                <c:pt idx="150">
                  <c:v>28/11/2024</c:v>
                </c:pt>
                <c:pt idx="151">
                  <c:v>29/11/2024</c:v>
                </c:pt>
                <c:pt idx="152">
                  <c:v>30/11/2024</c:v>
                </c:pt>
                <c:pt idx="153">
                  <c:v>1/12/2024</c:v>
                </c:pt>
                <c:pt idx="154">
                  <c:v>2/12/2024</c:v>
                </c:pt>
                <c:pt idx="155">
                  <c:v>3/12/2024</c:v>
                </c:pt>
                <c:pt idx="156">
                  <c:v>4/12/2024</c:v>
                </c:pt>
                <c:pt idx="157">
                  <c:v>5/12/2024</c:v>
                </c:pt>
                <c:pt idx="158">
                  <c:v>6/12/2024</c:v>
                </c:pt>
                <c:pt idx="159">
                  <c:v>7/12/2024</c:v>
                </c:pt>
                <c:pt idx="160">
                  <c:v>8/12/2024</c:v>
                </c:pt>
                <c:pt idx="161">
                  <c:v>9/12/2024</c:v>
                </c:pt>
                <c:pt idx="162">
                  <c:v>10/12/2024</c:v>
                </c:pt>
                <c:pt idx="163">
                  <c:v>11/12/2024</c:v>
                </c:pt>
                <c:pt idx="164">
                  <c:v>12/12/2024</c:v>
                </c:pt>
                <c:pt idx="165">
                  <c:v>13/12/2024</c:v>
                </c:pt>
                <c:pt idx="166">
                  <c:v>14/12/2024</c:v>
                </c:pt>
                <c:pt idx="167">
                  <c:v>15/12/2024</c:v>
                </c:pt>
                <c:pt idx="168">
                  <c:v>16/12/2024</c:v>
                </c:pt>
                <c:pt idx="169">
                  <c:v>17/12/2024</c:v>
                </c:pt>
                <c:pt idx="170">
                  <c:v>18/12/2024</c:v>
                </c:pt>
                <c:pt idx="171">
                  <c:v>19/12/2024</c:v>
                </c:pt>
                <c:pt idx="172">
                  <c:v>20/12/2024</c:v>
                </c:pt>
                <c:pt idx="173">
                  <c:v>21/12/2024</c:v>
                </c:pt>
                <c:pt idx="174">
                  <c:v>22/12/2024</c:v>
                </c:pt>
                <c:pt idx="175">
                  <c:v>23/12/2024</c:v>
                </c:pt>
                <c:pt idx="176">
                  <c:v>24/12/2024</c:v>
                </c:pt>
                <c:pt idx="177">
                  <c:v>25/12/2024</c:v>
                </c:pt>
                <c:pt idx="178">
                  <c:v>26/12/2024</c:v>
                </c:pt>
                <c:pt idx="179">
                  <c:v>27/12/2024</c:v>
                </c:pt>
                <c:pt idx="180">
                  <c:v>28/12/2024</c:v>
                </c:pt>
                <c:pt idx="181">
                  <c:v>29/12/2024</c:v>
                </c:pt>
                <c:pt idx="182">
                  <c:v>30/12/2024</c:v>
                </c:pt>
                <c:pt idx="183">
                  <c:v>31/12/2024</c:v>
                </c:pt>
                <c:pt idx="184">
                  <c:v>1/01/2025</c:v>
                </c:pt>
                <c:pt idx="185">
                  <c:v>2/01/2025</c:v>
                </c:pt>
                <c:pt idx="186">
                  <c:v>3/01/2025</c:v>
                </c:pt>
                <c:pt idx="187">
                  <c:v>4/01/2025</c:v>
                </c:pt>
                <c:pt idx="188">
                  <c:v>5/01/2025</c:v>
                </c:pt>
                <c:pt idx="189">
                  <c:v>6/01/2025</c:v>
                </c:pt>
                <c:pt idx="190">
                  <c:v>7/01/2025</c:v>
                </c:pt>
                <c:pt idx="191">
                  <c:v>8/01/2025</c:v>
                </c:pt>
                <c:pt idx="192">
                  <c:v>9/01/2025</c:v>
                </c:pt>
                <c:pt idx="193">
                  <c:v>10/01/2025</c:v>
                </c:pt>
                <c:pt idx="194">
                  <c:v>11/01/2025</c:v>
                </c:pt>
                <c:pt idx="195">
                  <c:v>12/01/2025</c:v>
                </c:pt>
                <c:pt idx="196">
                  <c:v>13/01/2025</c:v>
                </c:pt>
                <c:pt idx="197">
                  <c:v>14/01/2025</c:v>
                </c:pt>
                <c:pt idx="198">
                  <c:v>15/01/2025</c:v>
                </c:pt>
                <c:pt idx="199">
                  <c:v>16/01/2025</c:v>
                </c:pt>
                <c:pt idx="200">
                  <c:v>17/01/2025</c:v>
                </c:pt>
                <c:pt idx="201">
                  <c:v>18/01/2025</c:v>
                </c:pt>
                <c:pt idx="202">
                  <c:v>19/01/2025</c:v>
                </c:pt>
                <c:pt idx="203">
                  <c:v>20/01/2025</c:v>
                </c:pt>
                <c:pt idx="204">
                  <c:v>21/01/2025</c:v>
                </c:pt>
                <c:pt idx="205">
                  <c:v>22/01/2025</c:v>
                </c:pt>
                <c:pt idx="206">
                  <c:v>23/01/2025</c:v>
                </c:pt>
                <c:pt idx="207">
                  <c:v>24/01/2025</c:v>
                </c:pt>
                <c:pt idx="208">
                  <c:v>25/01/2025</c:v>
                </c:pt>
                <c:pt idx="209">
                  <c:v>26/01/2025</c:v>
                </c:pt>
                <c:pt idx="210">
                  <c:v>27/01/2025</c:v>
                </c:pt>
                <c:pt idx="211">
                  <c:v>28/01/2025</c:v>
                </c:pt>
                <c:pt idx="212">
                  <c:v>29/01/2025</c:v>
                </c:pt>
                <c:pt idx="213">
                  <c:v>30/01/2025</c:v>
                </c:pt>
                <c:pt idx="214">
                  <c:v>31/01/2025</c:v>
                </c:pt>
                <c:pt idx="215">
                  <c:v>1/02/2025</c:v>
                </c:pt>
                <c:pt idx="216">
                  <c:v>2/02/2025</c:v>
                </c:pt>
                <c:pt idx="217">
                  <c:v>3/02/2025</c:v>
                </c:pt>
                <c:pt idx="218">
                  <c:v>4/02/2025</c:v>
                </c:pt>
                <c:pt idx="219">
                  <c:v>5/02/2025</c:v>
                </c:pt>
                <c:pt idx="220">
                  <c:v>6/02/2025</c:v>
                </c:pt>
                <c:pt idx="221">
                  <c:v>7/02/2025</c:v>
                </c:pt>
                <c:pt idx="222">
                  <c:v>8/02/2025</c:v>
                </c:pt>
                <c:pt idx="223">
                  <c:v>9/02/2025</c:v>
                </c:pt>
                <c:pt idx="224">
                  <c:v>10/02/2025</c:v>
                </c:pt>
                <c:pt idx="225">
                  <c:v>11/02/2025</c:v>
                </c:pt>
                <c:pt idx="226">
                  <c:v>12/02/2025</c:v>
                </c:pt>
                <c:pt idx="227">
                  <c:v>13/02/2025</c:v>
                </c:pt>
                <c:pt idx="228">
                  <c:v>14/02/2025</c:v>
                </c:pt>
                <c:pt idx="229">
                  <c:v>15/02/2025</c:v>
                </c:pt>
                <c:pt idx="230">
                  <c:v>16/02/2025</c:v>
                </c:pt>
                <c:pt idx="231">
                  <c:v>17/02/2025</c:v>
                </c:pt>
                <c:pt idx="232">
                  <c:v>18/02/2025</c:v>
                </c:pt>
                <c:pt idx="233">
                  <c:v>19/02/2025</c:v>
                </c:pt>
                <c:pt idx="234">
                  <c:v>20/02/2025</c:v>
                </c:pt>
                <c:pt idx="235">
                  <c:v>21/02/2025</c:v>
                </c:pt>
                <c:pt idx="236">
                  <c:v>22/02/2025</c:v>
                </c:pt>
                <c:pt idx="237">
                  <c:v>23/02/2025</c:v>
                </c:pt>
                <c:pt idx="238">
                  <c:v>24/02/2025</c:v>
                </c:pt>
                <c:pt idx="239">
                  <c:v>25/02/2025</c:v>
                </c:pt>
                <c:pt idx="240">
                  <c:v>26/02/2025</c:v>
                </c:pt>
                <c:pt idx="241">
                  <c:v>27/02/2025</c:v>
                </c:pt>
                <c:pt idx="242">
                  <c:v>28/02/2025</c:v>
                </c:pt>
                <c:pt idx="243">
                  <c:v>1/03/2025</c:v>
                </c:pt>
                <c:pt idx="244">
                  <c:v>2/03/2025</c:v>
                </c:pt>
                <c:pt idx="245">
                  <c:v>3/03/2025</c:v>
                </c:pt>
                <c:pt idx="246">
                  <c:v>4/03/2025</c:v>
                </c:pt>
                <c:pt idx="247">
                  <c:v>5/03/2025</c:v>
                </c:pt>
                <c:pt idx="248">
                  <c:v>6/03/2025</c:v>
                </c:pt>
                <c:pt idx="249">
                  <c:v>7/03/2025</c:v>
                </c:pt>
                <c:pt idx="250">
                  <c:v>8/03/2025</c:v>
                </c:pt>
                <c:pt idx="251">
                  <c:v>9/03/2025</c:v>
                </c:pt>
                <c:pt idx="252">
                  <c:v>10/03/2025</c:v>
                </c:pt>
                <c:pt idx="253">
                  <c:v>11/03/2025</c:v>
                </c:pt>
                <c:pt idx="254">
                  <c:v>12/03/2025</c:v>
                </c:pt>
                <c:pt idx="255">
                  <c:v>13/03/2025</c:v>
                </c:pt>
                <c:pt idx="256">
                  <c:v>14/03/2025</c:v>
                </c:pt>
                <c:pt idx="257">
                  <c:v>15/03/2025</c:v>
                </c:pt>
                <c:pt idx="258">
                  <c:v>16/03/2025</c:v>
                </c:pt>
                <c:pt idx="259">
                  <c:v>17/03/2025</c:v>
                </c:pt>
                <c:pt idx="260">
                  <c:v>18/03/2025</c:v>
                </c:pt>
                <c:pt idx="261">
                  <c:v>19/03/2025</c:v>
                </c:pt>
                <c:pt idx="262">
                  <c:v>20/03/2025</c:v>
                </c:pt>
                <c:pt idx="263">
                  <c:v>21/03/2025</c:v>
                </c:pt>
                <c:pt idx="264">
                  <c:v>22/03/2025</c:v>
                </c:pt>
                <c:pt idx="265">
                  <c:v>23/03/2025</c:v>
                </c:pt>
                <c:pt idx="266">
                  <c:v>24/03/2025</c:v>
                </c:pt>
                <c:pt idx="267">
                  <c:v>25/03/2025</c:v>
                </c:pt>
                <c:pt idx="268">
                  <c:v>26/03/2025</c:v>
                </c:pt>
                <c:pt idx="269">
                  <c:v>27/03/2025</c:v>
                </c:pt>
                <c:pt idx="270">
                  <c:v>28/03/2025</c:v>
                </c:pt>
                <c:pt idx="271">
                  <c:v>29/03/2025</c:v>
                </c:pt>
                <c:pt idx="272">
                  <c:v>30/03/2025</c:v>
                </c:pt>
                <c:pt idx="273">
                  <c:v>31/03/2025</c:v>
                </c:pt>
                <c:pt idx="274">
                  <c:v>1/04/2025</c:v>
                </c:pt>
                <c:pt idx="275">
                  <c:v>2/04/2025</c:v>
                </c:pt>
                <c:pt idx="276">
                  <c:v>3/04/2025</c:v>
                </c:pt>
                <c:pt idx="277">
                  <c:v>4/04/2025</c:v>
                </c:pt>
                <c:pt idx="278">
                  <c:v>5/04/2025</c:v>
                </c:pt>
                <c:pt idx="279">
                  <c:v>6/04/2025</c:v>
                </c:pt>
                <c:pt idx="280">
                  <c:v>7/04/2025</c:v>
                </c:pt>
                <c:pt idx="281">
                  <c:v>8/04/2025</c:v>
                </c:pt>
                <c:pt idx="282">
                  <c:v>9/04/2025</c:v>
                </c:pt>
                <c:pt idx="283">
                  <c:v>10/04/2025</c:v>
                </c:pt>
                <c:pt idx="284">
                  <c:v>11/04/2025</c:v>
                </c:pt>
                <c:pt idx="285">
                  <c:v>12/04/2025</c:v>
                </c:pt>
                <c:pt idx="286">
                  <c:v>13/04/2025</c:v>
                </c:pt>
                <c:pt idx="287">
                  <c:v>14/04/2025</c:v>
                </c:pt>
                <c:pt idx="288">
                  <c:v>15/04/2025</c:v>
                </c:pt>
                <c:pt idx="289">
                  <c:v>16/04/2025</c:v>
                </c:pt>
                <c:pt idx="290">
                  <c:v>17/04/2025</c:v>
                </c:pt>
                <c:pt idx="291">
                  <c:v>18/04/2025</c:v>
                </c:pt>
                <c:pt idx="292">
                  <c:v>19/04/2025</c:v>
                </c:pt>
                <c:pt idx="293">
                  <c:v>20/04/2025</c:v>
                </c:pt>
                <c:pt idx="294">
                  <c:v>21/04/2025</c:v>
                </c:pt>
                <c:pt idx="295">
                  <c:v>22/04/2025</c:v>
                </c:pt>
                <c:pt idx="296">
                  <c:v>23/04/2025</c:v>
                </c:pt>
                <c:pt idx="297">
                  <c:v>24/04/2025</c:v>
                </c:pt>
                <c:pt idx="298">
                  <c:v>25/04/2025</c:v>
                </c:pt>
                <c:pt idx="299">
                  <c:v>26/04/2025</c:v>
                </c:pt>
                <c:pt idx="300">
                  <c:v>27/04/2025</c:v>
                </c:pt>
                <c:pt idx="301">
                  <c:v>28/04/2025</c:v>
                </c:pt>
                <c:pt idx="302">
                  <c:v>29/04/2025</c:v>
                </c:pt>
                <c:pt idx="303">
                  <c:v>30/04/2025</c:v>
                </c:pt>
                <c:pt idx="304">
                  <c:v>1/05/2025</c:v>
                </c:pt>
                <c:pt idx="305">
                  <c:v>2/05/2025</c:v>
                </c:pt>
                <c:pt idx="306">
                  <c:v>3/05/2025</c:v>
                </c:pt>
                <c:pt idx="307">
                  <c:v>4/05/2025</c:v>
                </c:pt>
                <c:pt idx="308">
                  <c:v>5/05/2025</c:v>
                </c:pt>
                <c:pt idx="309">
                  <c:v>6/05/2025</c:v>
                </c:pt>
                <c:pt idx="310">
                  <c:v>7/05/2025</c:v>
                </c:pt>
                <c:pt idx="311">
                  <c:v>8/05/2025</c:v>
                </c:pt>
                <c:pt idx="312">
                  <c:v>9/05/2025</c:v>
                </c:pt>
                <c:pt idx="313">
                  <c:v>10/05/2025</c:v>
                </c:pt>
                <c:pt idx="314">
                  <c:v>11/05/2025</c:v>
                </c:pt>
                <c:pt idx="315">
                  <c:v>12/05/2025</c:v>
                </c:pt>
                <c:pt idx="316">
                  <c:v>13/05/2025</c:v>
                </c:pt>
                <c:pt idx="317">
                  <c:v>14/05/2025</c:v>
                </c:pt>
                <c:pt idx="318">
                  <c:v>15/05/2025</c:v>
                </c:pt>
                <c:pt idx="319">
                  <c:v>16/05/2025</c:v>
                </c:pt>
                <c:pt idx="320">
                  <c:v>17/05/2025</c:v>
                </c:pt>
                <c:pt idx="321">
                  <c:v>18/05/2025</c:v>
                </c:pt>
                <c:pt idx="322">
                  <c:v>19/05/2025</c:v>
                </c:pt>
                <c:pt idx="323">
                  <c:v>20/05/2025</c:v>
                </c:pt>
                <c:pt idx="324">
                  <c:v>21/05/2025</c:v>
                </c:pt>
                <c:pt idx="325">
                  <c:v>22/05/2025</c:v>
                </c:pt>
                <c:pt idx="326">
                  <c:v>23/05/2025</c:v>
                </c:pt>
                <c:pt idx="327">
                  <c:v>24/05/2025</c:v>
                </c:pt>
                <c:pt idx="328">
                  <c:v>25/05/2025</c:v>
                </c:pt>
                <c:pt idx="329">
                  <c:v>26/05/2025</c:v>
                </c:pt>
                <c:pt idx="330">
                  <c:v>27/05/2025</c:v>
                </c:pt>
                <c:pt idx="331">
                  <c:v>28/05/2025</c:v>
                </c:pt>
                <c:pt idx="332">
                  <c:v>29/05/2025</c:v>
                </c:pt>
                <c:pt idx="333">
                  <c:v>30/05/2025</c:v>
                </c:pt>
                <c:pt idx="334">
                  <c:v>31/05/2025</c:v>
                </c:pt>
                <c:pt idx="335">
                  <c:v>1/06/2025</c:v>
                </c:pt>
                <c:pt idx="336">
                  <c:v>2/06/2025</c:v>
                </c:pt>
                <c:pt idx="337">
                  <c:v>3/06/2025</c:v>
                </c:pt>
                <c:pt idx="338">
                  <c:v>4/06/2025</c:v>
                </c:pt>
                <c:pt idx="339">
                  <c:v>5/06/2025</c:v>
                </c:pt>
                <c:pt idx="340">
                  <c:v>6/06/2025</c:v>
                </c:pt>
                <c:pt idx="341">
                  <c:v>7/06/2025</c:v>
                </c:pt>
                <c:pt idx="342">
                  <c:v>8/06/2025</c:v>
                </c:pt>
                <c:pt idx="343">
                  <c:v>9/06/2025</c:v>
                </c:pt>
                <c:pt idx="344">
                  <c:v>10/06/2025</c:v>
                </c:pt>
                <c:pt idx="345">
                  <c:v>11/06/2025</c:v>
                </c:pt>
                <c:pt idx="346">
                  <c:v>12/06/2025</c:v>
                </c:pt>
                <c:pt idx="347">
                  <c:v>13/06/2025</c:v>
                </c:pt>
                <c:pt idx="348">
                  <c:v>14/06/2025</c:v>
                </c:pt>
                <c:pt idx="349">
                  <c:v>15/06/2025</c:v>
                </c:pt>
                <c:pt idx="350">
                  <c:v>16/06/2025</c:v>
                </c:pt>
                <c:pt idx="351">
                  <c:v>17/06/2025</c:v>
                </c:pt>
                <c:pt idx="352">
                  <c:v>18/06/2025</c:v>
                </c:pt>
                <c:pt idx="353">
                  <c:v>19/06/2025</c:v>
                </c:pt>
                <c:pt idx="354">
                  <c:v>20/06/2025</c:v>
                </c:pt>
                <c:pt idx="355">
                  <c:v>21/06/2025</c:v>
                </c:pt>
                <c:pt idx="356">
                  <c:v>22/06/2025</c:v>
                </c:pt>
                <c:pt idx="357">
                  <c:v>23/06/2025</c:v>
                </c:pt>
                <c:pt idx="358">
                  <c:v>24/06/2025</c:v>
                </c:pt>
                <c:pt idx="359">
                  <c:v>25/06/2025</c:v>
                </c:pt>
                <c:pt idx="360">
                  <c:v>26/06/2025</c:v>
                </c:pt>
                <c:pt idx="361">
                  <c:v>27/06/2025</c:v>
                </c:pt>
                <c:pt idx="362">
                  <c:v>28/06/2025</c:v>
                </c:pt>
                <c:pt idx="363">
                  <c:v>29/06/2025</c:v>
                </c:pt>
                <c:pt idx="364">
                  <c:v>30/06/2025</c:v>
                </c:pt>
              </c:strCache>
            </c:strRef>
          </c:cat>
          <c:val>
            <c:numRef>
              <c:f>'5. Historical demand'!$C$43:$C$408</c:f>
              <c:numCache>
                <c:formatCode>_(* #,##0_);_(* \(#,##0\);_(* "-"_);_(@_)</c:formatCode>
                <c:ptCount val="366"/>
                <c:pt idx="0">
                  <c:v>163.95</c:v>
                </c:pt>
                <c:pt idx="1">
                  <c:v>163.95</c:v>
                </c:pt>
                <c:pt idx="2">
                  <c:v>163.95</c:v>
                </c:pt>
                <c:pt idx="3">
                  <c:v>163.95</c:v>
                </c:pt>
                <c:pt idx="4">
                  <c:v>163.95</c:v>
                </c:pt>
                <c:pt idx="5">
                  <c:v>163.95</c:v>
                </c:pt>
                <c:pt idx="6">
                  <c:v>163.95</c:v>
                </c:pt>
                <c:pt idx="7">
                  <c:v>163.95</c:v>
                </c:pt>
                <c:pt idx="8">
                  <c:v>163.95</c:v>
                </c:pt>
                <c:pt idx="9">
                  <c:v>163.95</c:v>
                </c:pt>
                <c:pt idx="10">
                  <c:v>163.95</c:v>
                </c:pt>
                <c:pt idx="11">
                  <c:v>163.95</c:v>
                </c:pt>
                <c:pt idx="12">
                  <c:v>163.95</c:v>
                </c:pt>
                <c:pt idx="13">
                  <c:v>163.95</c:v>
                </c:pt>
                <c:pt idx="14">
                  <c:v>163.95</c:v>
                </c:pt>
                <c:pt idx="15">
                  <c:v>163.95</c:v>
                </c:pt>
                <c:pt idx="16">
                  <c:v>163.95</c:v>
                </c:pt>
                <c:pt idx="17">
                  <c:v>163.95</c:v>
                </c:pt>
                <c:pt idx="18">
                  <c:v>163.95</c:v>
                </c:pt>
                <c:pt idx="19">
                  <c:v>163.95</c:v>
                </c:pt>
                <c:pt idx="20">
                  <c:v>163.95</c:v>
                </c:pt>
                <c:pt idx="21">
                  <c:v>163.95</c:v>
                </c:pt>
                <c:pt idx="22">
                  <c:v>163.95</c:v>
                </c:pt>
                <c:pt idx="23">
                  <c:v>163.95</c:v>
                </c:pt>
                <c:pt idx="24">
                  <c:v>163.95</c:v>
                </c:pt>
                <c:pt idx="25">
                  <c:v>163.95</c:v>
                </c:pt>
                <c:pt idx="26">
                  <c:v>163.95</c:v>
                </c:pt>
                <c:pt idx="27">
                  <c:v>163.95</c:v>
                </c:pt>
                <c:pt idx="28">
                  <c:v>163.95</c:v>
                </c:pt>
                <c:pt idx="29">
                  <c:v>163.95</c:v>
                </c:pt>
                <c:pt idx="30">
                  <c:v>163.95</c:v>
                </c:pt>
                <c:pt idx="31">
                  <c:v>163.95</c:v>
                </c:pt>
                <c:pt idx="32">
                  <c:v>163.95</c:v>
                </c:pt>
                <c:pt idx="33">
                  <c:v>163.95</c:v>
                </c:pt>
                <c:pt idx="34">
                  <c:v>163.95</c:v>
                </c:pt>
                <c:pt idx="35">
                  <c:v>163.95</c:v>
                </c:pt>
                <c:pt idx="36">
                  <c:v>163.95</c:v>
                </c:pt>
                <c:pt idx="37">
                  <c:v>163.95</c:v>
                </c:pt>
                <c:pt idx="38">
                  <c:v>163.95</c:v>
                </c:pt>
                <c:pt idx="39">
                  <c:v>163.95</c:v>
                </c:pt>
                <c:pt idx="40">
                  <c:v>163.95</c:v>
                </c:pt>
                <c:pt idx="41">
                  <c:v>163.95</c:v>
                </c:pt>
                <c:pt idx="42">
                  <c:v>163.95</c:v>
                </c:pt>
                <c:pt idx="43">
                  <c:v>163.95</c:v>
                </c:pt>
                <c:pt idx="44">
                  <c:v>163.95</c:v>
                </c:pt>
                <c:pt idx="45">
                  <c:v>163.95</c:v>
                </c:pt>
                <c:pt idx="46">
                  <c:v>163.95</c:v>
                </c:pt>
                <c:pt idx="47">
                  <c:v>163.95</c:v>
                </c:pt>
                <c:pt idx="48">
                  <c:v>163.95</c:v>
                </c:pt>
                <c:pt idx="49">
                  <c:v>163.95</c:v>
                </c:pt>
                <c:pt idx="50">
                  <c:v>163.95</c:v>
                </c:pt>
                <c:pt idx="51">
                  <c:v>163.95</c:v>
                </c:pt>
                <c:pt idx="52">
                  <c:v>163.95</c:v>
                </c:pt>
                <c:pt idx="53">
                  <c:v>163.95</c:v>
                </c:pt>
                <c:pt idx="54">
                  <c:v>163.95</c:v>
                </c:pt>
                <c:pt idx="55">
                  <c:v>163.95</c:v>
                </c:pt>
                <c:pt idx="56">
                  <c:v>163.95</c:v>
                </c:pt>
                <c:pt idx="57">
                  <c:v>163.95</c:v>
                </c:pt>
                <c:pt idx="58">
                  <c:v>163.95</c:v>
                </c:pt>
                <c:pt idx="59">
                  <c:v>163.95</c:v>
                </c:pt>
                <c:pt idx="60">
                  <c:v>163.95</c:v>
                </c:pt>
                <c:pt idx="61">
                  <c:v>163.95</c:v>
                </c:pt>
                <c:pt idx="62">
                  <c:v>163.95</c:v>
                </c:pt>
                <c:pt idx="63">
                  <c:v>163.95</c:v>
                </c:pt>
                <c:pt idx="64">
                  <c:v>163.95</c:v>
                </c:pt>
                <c:pt idx="65">
                  <c:v>163.95</c:v>
                </c:pt>
                <c:pt idx="66">
                  <c:v>163.95</c:v>
                </c:pt>
                <c:pt idx="67">
                  <c:v>163.95</c:v>
                </c:pt>
                <c:pt idx="68">
                  <c:v>163.95</c:v>
                </c:pt>
                <c:pt idx="69">
                  <c:v>163.95</c:v>
                </c:pt>
                <c:pt idx="70">
                  <c:v>163.95</c:v>
                </c:pt>
                <c:pt idx="71">
                  <c:v>163.95</c:v>
                </c:pt>
                <c:pt idx="72">
                  <c:v>163.95</c:v>
                </c:pt>
                <c:pt idx="73">
                  <c:v>163.95</c:v>
                </c:pt>
                <c:pt idx="74">
                  <c:v>163.95</c:v>
                </c:pt>
                <c:pt idx="75">
                  <c:v>163.95</c:v>
                </c:pt>
                <c:pt idx="76">
                  <c:v>163.95</c:v>
                </c:pt>
                <c:pt idx="77">
                  <c:v>163.95</c:v>
                </c:pt>
                <c:pt idx="78">
                  <c:v>163.95</c:v>
                </c:pt>
                <c:pt idx="79">
                  <c:v>163.95</c:v>
                </c:pt>
                <c:pt idx="80">
                  <c:v>163.95</c:v>
                </c:pt>
                <c:pt idx="81">
                  <c:v>163.95</c:v>
                </c:pt>
                <c:pt idx="82">
                  <c:v>163.95</c:v>
                </c:pt>
                <c:pt idx="83">
                  <c:v>163.95</c:v>
                </c:pt>
                <c:pt idx="84">
                  <c:v>163.95</c:v>
                </c:pt>
                <c:pt idx="85">
                  <c:v>163.95</c:v>
                </c:pt>
                <c:pt idx="86">
                  <c:v>163.95</c:v>
                </c:pt>
                <c:pt idx="87">
                  <c:v>163.95</c:v>
                </c:pt>
                <c:pt idx="88">
                  <c:v>163.95</c:v>
                </c:pt>
                <c:pt idx="89">
                  <c:v>163.95</c:v>
                </c:pt>
                <c:pt idx="90">
                  <c:v>163.95</c:v>
                </c:pt>
                <c:pt idx="91">
                  <c:v>163.95</c:v>
                </c:pt>
                <c:pt idx="92">
                  <c:v>163.95</c:v>
                </c:pt>
                <c:pt idx="93">
                  <c:v>163.95</c:v>
                </c:pt>
                <c:pt idx="94">
                  <c:v>163.95</c:v>
                </c:pt>
                <c:pt idx="95">
                  <c:v>163.95</c:v>
                </c:pt>
                <c:pt idx="96">
                  <c:v>163.95</c:v>
                </c:pt>
                <c:pt idx="97">
                  <c:v>163.95</c:v>
                </c:pt>
                <c:pt idx="98">
                  <c:v>163.95</c:v>
                </c:pt>
                <c:pt idx="99">
                  <c:v>163.95</c:v>
                </c:pt>
                <c:pt idx="100">
                  <c:v>163.95</c:v>
                </c:pt>
                <c:pt idx="101">
                  <c:v>163.95</c:v>
                </c:pt>
                <c:pt idx="102">
                  <c:v>163.95</c:v>
                </c:pt>
                <c:pt idx="103">
                  <c:v>163.95</c:v>
                </c:pt>
                <c:pt idx="104">
                  <c:v>163.95</c:v>
                </c:pt>
                <c:pt idx="105">
                  <c:v>163.95</c:v>
                </c:pt>
                <c:pt idx="106">
                  <c:v>163.95</c:v>
                </c:pt>
                <c:pt idx="107">
                  <c:v>163.95</c:v>
                </c:pt>
                <c:pt idx="108">
                  <c:v>163.95</c:v>
                </c:pt>
                <c:pt idx="109">
                  <c:v>163.95</c:v>
                </c:pt>
                <c:pt idx="110">
                  <c:v>163.95</c:v>
                </c:pt>
                <c:pt idx="111">
                  <c:v>163.95</c:v>
                </c:pt>
                <c:pt idx="112">
                  <c:v>163.95</c:v>
                </c:pt>
                <c:pt idx="113">
                  <c:v>163.95</c:v>
                </c:pt>
                <c:pt idx="114">
                  <c:v>163.95</c:v>
                </c:pt>
                <c:pt idx="115">
                  <c:v>163.95</c:v>
                </c:pt>
                <c:pt idx="116">
                  <c:v>163.95</c:v>
                </c:pt>
                <c:pt idx="117">
                  <c:v>163.95</c:v>
                </c:pt>
                <c:pt idx="118">
                  <c:v>163.95</c:v>
                </c:pt>
                <c:pt idx="119">
                  <c:v>163.95</c:v>
                </c:pt>
                <c:pt idx="120">
                  <c:v>163.95</c:v>
                </c:pt>
                <c:pt idx="121">
                  <c:v>163.95</c:v>
                </c:pt>
                <c:pt idx="122">
                  <c:v>163.95</c:v>
                </c:pt>
                <c:pt idx="123">
                  <c:v>163.95</c:v>
                </c:pt>
                <c:pt idx="124">
                  <c:v>163.95</c:v>
                </c:pt>
                <c:pt idx="125">
                  <c:v>163.95</c:v>
                </c:pt>
                <c:pt idx="126">
                  <c:v>163.95</c:v>
                </c:pt>
                <c:pt idx="127">
                  <c:v>163.95</c:v>
                </c:pt>
                <c:pt idx="128">
                  <c:v>163.95</c:v>
                </c:pt>
                <c:pt idx="129">
                  <c:v>163.95</c:v>
                </c:pt>
                <c:pt idx="130">
                  <c:v>163.95</c:v>
                </c:pt>
                <c:pt idx="131">
                  <c:v>163.95</c:v>
                </c:pt>
                <c:pt idx="132">
                  <c:v>163.95</c:v>
                </c:pt>
                <c:pt idx="133">
                  <c:v>163.95</c:v>
                </c:pt>
                <c:pt idx="134">
                  <c:v>163.95</c:v>
                </c:pt>
                <c:pt idx="135">
                  <c:v>163.95</c:v>
                </c:pt>
                <c:pt idx="136">
                  <c:v>163.95</c:v>
                </c:pt>
                <c:pt idx="137">
                  <c:v>163.95</c:v>
                </c:pt>
                <c:pt idx="138">
                  <c:v>163.95</c:v>
                </c:pt>
                <c:pt idx="139">
                  <c:v>163.95</c:v>
                </c:pt>
                <c:pt idx="140">
                  <c:v>163.95</c:v>
                </c:pt>
                <c:pt idx="141">
                  <c:v>163.95</c:v>
                </c:pt>
                <c:pt idx="142">
                  <c:v>163.95</c:v>
                </c:pt>
                <c:pt idx="143">
                  <c:v>163.95</c:v>
                </c:pt>
                <c:pt idx="144">
                  <c:v>163.95</c:v>
                </c:pt>
                <c:pt idx="145">
                  <c:v>163.95</c:v>
                </c:pt>
                <c:pt idx="146">
                  <c:v>163.95</c:v>
                </c:pt>
                <c:pt idx="147">
                  <c:v>163.95</c:v>
                </c:pt>
                <c:pt idx="148">
                  <c:v>163.95</c:v>
                </c:pt>
                <c:pt idx="149">
                  <c:v>163.95</c:v>
                </c:pt>
                <c:pt idx="150">
                  <c:v>163.95</c:v>
                </c:pt>
                <c:pt idx="151">
                  <c:v>163.95</c:v>
                </c:pt>
                <c:pt idx="152">
                  <c:v>163.95</c:v>
                </c:pt>
                <c:pt idx="153">
                  <c:v>163.95</c:v>
                </c:pt>
                <c:pt idx="154">
                  <c:v>163.95</c:v>
                </c:pt>
                <c:pt idx="155">
                  <c:v>163.95</c:v>
                </c:pt>
                <c:pt idx="156">
                  <c:v>163.95</c:v>
                </c:pt>
                <c:pt idx="157">
                  <c:v>163.95</c:v>
                </c:pt>
                <c:pt idx="158">
                  <c:v>163.95</c:v>
                </c:pt>
                <c:pt idx="159">
                  <c:v>163.95</c:v>
                </c:pt>
                <c:pt idx="160">
                  <c:v>163.95</c:v>
                </c:pt>
                <c:pt idx="161">
                  <c:v>163.95</c:v>
                </c:pt>
                <c:pt idx="162">
                  <c:v>163.95</c:v>
                </c:pt>
                <c:pt idx="163">
                  <c:v>163.95</c:v>
                </c:pt>
                <c:pt idx="164">
                  <c:v>163.95</c:v>
                </c:pt>
                <c:pt idx="165">
                  <c:v>163.95</c:v>
                </c:pt>
                <c:pt idx="166">
                  <c:v>163.95</c:v>
                </c:pt>
                <c:pt idx="167">
                  <c:v>163.95</c:v>
                </c:pt>
                <c:pt idx="168">
                  <c:v>163.95</c:v>
                </c:pt>
                <c:pt idx="169">
                  <c:v>163.95</c:v>
                </c:pt>
                <c:pt idx="170">
                  <c:v>163.95</c:v>
                </c:pt>
                <c:pt idx="171">
                  <c:v>163.95</c:v>
                </c:pt>
                <c:pt idx="172">
                  <c:v>163.95</c:v>
                </c:pt>
                <c:pt idx="173">
                  <c:v>163.95</c:v>
                </c:pt>
                <c:pt idx="174">
                  <c:v>163.95</c:v>
                </c:pt>
                <c:pt idx="175">
                  <c:v>163.95</c:v>
                </c:pt>
                <c:pt idx="176">
                  <c:v>163.95</c:v>
                </c:pt>
                <c:pt idx="177">
                  <c:v>163.95</c:v>
                </c:pt>
                <c:pt idx="178">
                  <c:v>163.95</c:v>
                </c:pt>
                <c:pt idx="179">
                  <c:v>163.95</c:v>
                </c:pt>
                <c:pt idx="180">
                  <c:v>163.95</c:v>
                </c:pt>
                <c:pt idx="181">
                  <c:v>163.95</c:v>
                </c:pt>
                <c:pt idx="182">
                  <c:v>163.95</c:v>
                </c:pt>
                <c:pt idx="183">
                  <c:v>163.95</c:v>
                </c:pt>
                <c:pt idx="184">
                  <c:v>147.94999999999999</c:v>
                </c:pt>
                <c:pt idx="185">
                  <c:v>147.94999999999999</c:v>
                </c:pt>
                <c:pt idx="186">
                  <c:v>147.94999999999999</c:v>
                </c:pt>
                <c:pt idx="187">
                  <c:v>147.94999999999999</c:v>
                </c:pt>
                <c:pt idx="188">
                  <c:v>147.94999999999999</c:v>
                </c:pt>
                <c:pt idx="189">
                  <c:v>147.94999999999999</c:v>
                </c:pt>
                <c:pt idx="190">
                  <c:v>147.94999999999999</c:v>
                </c:pt>
                <c:pt idx="191">
                  <c:v>147.94999999999999</c:v>
                </c:pt>
                <c:pt idx="192">
                  <c:v>147.94999999999999</c:v>
                </c:pt>
                <c:pt idx="193">
                  <c:v>147.94999999999999</c:v>
                </c:pt>
                <c:pt idx="194">
                  <c:v>147.94999999999999</c:v>
                </c:pt>
                <c:pt idx="195">
                  <c:v>147.94999999999999</c:v>
                </c:pt>
                <c:pt idx="196">
                  <c:v>147.94999999999999</c:v>
                </c:pt>
                <c:pt idx="197">
                  <c:v>147.94999999999999</c:v>
                </c:pt>
                <c:pt idx="198">
                  <c:v>147.94999999999999</c:v>
                </c:pt>
                <c:pt idx="199">
                  <c:v>147.94999999999999</c:v>
                </c:pt>
                <c:pt idx="200">
                  <c:v>147.94999999999999</c:v>
                </c:pt>
                <c:pt idx="201">
                  <c:v>147.94999999999999</c:v>
                </c:pt>
                <c:pt idx="202">
                  <c:v>147.94999999999999</c:v>
                </c:pt>
                <c:pt idx="203">
                  <c:v>147.94999999999999</c:v>
                </c:pt>
                <c:pt idx="204">
                  <c:v>147.94999999999999</c:v>
                </c:pt>
                <c:pt idx="205">
                  <c:v>147.94999999999999</c:v>
                </c:pt>
                <c:pt idx="206">
                  <c:v>147.94999999999999</c:v>
                </c:pt>
                <c:pt idx="207">
                  <c:v>147.94999999999999</c:v>
                </c:pt>
                <c:pt idx="208">
                  <c:v>147.94999999999999</c:v>
                </c:pt>
                <c:pt idx="209">
                  <c:v>147.94999999999999</c:v>
                </c:pt>
                <c:pt idx="210">
                  <c:v>147.94999999999999</c:v>
                </c:pt>
                <c:pt idx="211">
                  <c:v>147.94999999999999</c:v>
                </c:pt>
                <c:pt idx="212">
                  <c:v>147.94999999999999</c:v>
                </c:pt>
                <c:pt idx="213">
                  <c:v>147.94999999999999</c:v>
                </c:pt>
                <c:pt idx="214">
                  <c:v>147.94999999999999</c:v>
                </c:pt>
                <c:pt idx="215">
                  <c:v>147.95000000000002</c:v>
                </c:pt>
                <c:pt idx="216">
                  <c:v>147.95000000000002</c:v>
                </c:pt>
                <c:pt idx="217">
                  <c:v>147.95000000000002</c:v>
                </c:pt>
                <c:pt idx="218">
                  <c:v>147.95000000000002</c:v>
                </c:pt>
                <c:pt idx="219">
                  <c:v>147.95000000000002</c:v>
                </c:pt>
                <c:pt idx="220">
                  <c:v>147.95000000000002</c:v>
                </c:pt>
                <c:pt idx="221">
                  <c:v>147.95000000000002</c:v>
                </c:pt>
                <c:pt idx="222">
                  <c:v>147.95000000000002</c:v>
                </c:pt>
                <c:pt idx="223">
                  <c:v>147.95000000000002</c:v>
                </c:pt>
                <c:pt idx="224">
                  <c:v>147.95000000000002</c:v>
                </c:pt>
                <c:pt idx="225">
                  <c:v>147.95000000000002</c:v>
                </c:pt>
                <c:pt idx="226">
                  <c:v>147.95000000000002</c:v>
                </c:pt>
                <c:pt idx="227">
                  <c:v>147.95000000000002</c:v>
                </c:pt>
                <c:pt idx="228">
                  <c:v>147.95000000000002</c:v>
                </c:pt>
                <c:pt idx="229">
                  <c:v>147.95000000000002</c:v>
                </c:pt>
                <c:pt idx="230">
                  <c:v>147.95000000000002</c:v>
                </c:pt>
                <c:pt idx="231">
                  <c:v>147.95000000000002</c:v>
                </c:pt>
                <c:pt idx="232">
                  <c:v>147.95000000000002</c:v>
                </c:pt>
                <c:pt idx="233">
                  <c:v>147.95000000000002</c:v>
                </c:pt>
                <c:pt idx="234">
                  <c:v>147.95000000000002</c:v>
                </c:pt>
                <c:pt idx="235">
                  <c:v>147.95000000000002</c:v>
                </c:pt>
                <c:pt idx="236">
                  <c:v>147.95000000000002</c:v>
                </c:pt>
                <c:pt idx="237">
                  <c:v>147.95000000000002</c:v>
                </c:pt>
                <c:pt idx="238">
                  <c:v>147.95000000000002</c:v>
                </c:pt>
                <c:pt idx="239">
                  <c:v>147.95000000000002</c:v>
                </c:pt>
                <c:pt idx="240">
                  <c:v>147.95000000000002</c:v>
                </c:pt>
                <c:pt idx="241">
                  <c:v>147.95000000000002</c:v>
                </c:pt>
                <c:pt idx="242">
                  <c:v>147.95000000000002</c:v>
                </c:pt>
                <c:pt idx="243">
                  <c:v>147.94999999999999</c:v>
                </c:pt>
                <c:pt idx="244">
                  <c:v>147.94999999999999</c:v>
                </c:pt>
                <c:pt idx="245">
                  <c:v>147.94999999999999</c:v>
                </c:pt>
                <c:pt idx="246">
                  <c:v>147.94999999999999</c:v>
                </c:pt>
                <c:pt idx="247">
                  <c:v>147.94999999999999</c:v>
                </c:pt>
                <c:pt idx="248">
                  <c:v>147.94999999999999</c:v>
                </c:pt>
                <c:pt idx="249">
                  <c:v>147.94999999999999</c:v>
                </c:pt>
                <c:pt idx="250">
                  <c:v>147.94999999999999</c:v>
                </c:pt>
                <c:pt idx="251">
                  <c:v>147.94999999999999</c:v>
                </c:pt>
                <c:pt idx="252">
                  <c:v>147.94999999999999</c:v>
                </c:pt>
                <c:pt idx="253">
                  <c:v>147.94999999999999</c:v>
                </c:pt>
                <c:pt idx="254">
                  <c:v>147.94999999999999</c:v>
                </c:pt>
                <c:pt idx="255">
                  <c:v>147.94999999999999</c:v>
                </c:pt>
                <c:pt idx="256">
                  <c:v>147.94999999999999</c:v>
                </c:pt>
                <c:pt idx="257">
                  <c:v>147.94999999999999</c:v>
                </c:pt>
                <c:pt idx="258">
                  <c:v>147.94999999999999</c:v>
                </c:pt>
                <c:pt idx="259">
                  <c:v>147.94999999999999</c:v>
                </c:pt>
                <c:pt idx="260">
                  <c:v>147.94999999999999</c:v>
                </c:pt>
                <c:pt idx="261">
                  <c:v>147.94999999999999</c:v>
                </c:pt>
                <c:pt idx="262">
                  <c:v>147.94999999999999</c:v>
                </c:pt>
                <c:pt idx="263">
                  <c:v>147.94999999999999</c:v>
                </c:pt>
                <c:pt idx="264">
                  <c:v>147.94999999999999</c:v>
                </c:pt>
                <c:pt idx="265">
                  <c:v>147.94999999999999</c:v>
                </c:pt>
                <c:pt idx="266">
                  <c:v>147.94999999999999</c:v>
                </c:pt>
                <c:pt idx="267">
                  <c:v>147.94999999999999</c:v>
                </c:pt>
                <c:pt idx="268">
                  <c:v>147.94999999999999</c:v>
                </c:pt>
                <c:pt idx="269">
                  <c:v>147.94999999999999</c:v>
                </c:pt>
                <c:pt idx="270">
                  <c:v>147.94999999999999</c:v>
                </c:pt>
                <c:pt idx="271">
                  <c:v>147.94999999999999</c:v>
                </c:pt>
                <c:pt idx="272">
                  <c:v>147.94999999999999</c:v>
                </c:pt>
                <c:pt idx="273">
                  <c:v>147.94999999999999</c:v>
                </c:pt>
                <c:pt idx="274">
                  <c:v>147.94999999999999</c:v>
                </c:pt>
                <c:pt idx="275">
                  <c:v>147.94999999999999</c:v>
                </c:pt>
                <c:pt idx="276">
                  <c:v>147.94999999999999</c:v>
                </c:pt>
                <c:pt idx="277">
                  <c:v>147.94999999999999</c:v>
                </c:pt>
                <c:pt idx="278">
                  <c:v>147.94999999999999</c:v>
                </c:pt>
                <c:pt idx="279">
                  <c:v>147.94999999999999</c:v>
                </c:pt>
                <c:pt idx="280">
                  <c:v>147.94999999999999</c:v>
                </c:pt>
                <c:pt idx="281">
                  <c:v>147.94999999999999</c:v>
                </c:pt>
                <c:pt idx="282">
                  <c:v>147.94999999999999</c:v>
                </c:pt>
                <c:pt idx="283">
                  <c:v>147.94999999999999</c:v>
                </c:pt>
                <c:pt idx="284">
                  <c:v>147.94999999999999</c:v>
                </c:pt>
                <c:pt idx="285">
                  <c:v>147.94999999999999</c:v>
                </c:pt>
                <c:pt idx="286">
                  <c:v>147.94999999999999</c:v>
                </c:pt>
                <c:pt idx="287">
                  <c:v>147.94999999999999</c:v>
                </c:pt>
                <c:pt idx="288">
                  <c:v>147.94999999999999</c:v>
                </c:pt>
                <c:pt idx="289">
                  <c:v>147.94999999999999</c:v>
                </c:pt>
                <c:pt idx="290">
                  <c:v>147.94999999999999</c:v>
                </c:pt>
                <c:pt idx="291">
                  <c:v>147.94999999999999</c:v>
                </c:pt>
                <c:pt idx="292">
                  <c:v>147.94999999999999</c:v>
                </c:pt>
                <c:pt idx="293">
                  <c:v>147.94999999999999</c:v>
                </c:pt>
                <c:pt idx="294">
                  <c:v>147.94999999999999</c:v>
                </c:pt>
                <c:pt idx="295">
                  <c:v>147.94999999999999</c:v>
                </c:pt>
                <c:pt idx="296">
                  <c:v>147.94999999999999</c:v>
                </c:pt>
                <c:pt idx="297">
                  <c:v>147.94999999999999</c:v>
                </c:pt>
                <c:pt idx="298">
                  <c:v>147.94999999999999</c:v>
                </c:pt>
                <c:pt idx="299">
                  <c:v>147.94999999999999</c:v>
                </c:pt>
                <c:pt idx="300">
                  <c:v>147.94999999999999</c:v>
                </c:pt>
                <c:pt idx="301">
                  <c:v>147.94999999999999</c:v>
                </c:pt>
                <c:pt idx="302">
                  <c:v>147.94999999999999</c:v>
                </c:pt>
                <c:pt idx="303">
                  <c:v>147.94999999999999</c:v>
                </c:pt>
                <c:pt idx="304">
                  <c:v>164</c:v>
                </c:pt>
                <c:pt idx="305">
                  <c:v>164</c:v>
                </c:pt>
                <c:pt idx="306">
                  <c:v>164</c:v>
                </c:pt>
                <c:pt idx="307">
                  <c:v>164</c:v>
                </c:pt>
                <c:pt idx="308">
                  <c:v>164</c:v>
                </c:pt>
                <c:pt idx="309">
                  <c:v>164</c:v>
                </c:pt>
                <c:pt idx="310">
                  <c:v>164</c:v>
                </c:pt>
                <c:pt idx="311">
                  <c:v>164</c:v>
                </c:pt>
                <c:pt idx="312">
                  <c:v>164</c:v>
                </c:pt>
                <c:pt idx="313">
                  <c:v>164</c:v>
                </c:pt>
                <c:pt idx="314">
                  <c:v>164</c:v>
                </c:pt>
                <c:pt idx="315">
                  <c:v>164</c:v>
                </c:pt>
                <c:pt idx="316">
                  <c:v>164</c:v>
                </c:pt>
                <c:pt idx="317">
                  <c:v>164</c:v>
                </c:pt>
                <c:pt idx="318">
                  <c:v>164</c:v>
                </c:pt>
                <c:pt idx="319">
                  <c:v>164</c:v>
                </c:pt>
                <c:pt idx="320">
                  <c:v>164</c:v>
                </c:pt>
                <c:pt idx="321">
                  <c:v>164</c:v>
                </c:pt>
                <c:pt idx="322">
                  <c:v>164</c:v>
                </c:pt>
                <c:pt idx="323">
                  <c:v>164</c:v>
                </c:pt>
                <c:pt idx="324">
                  <c:v>164</c:v>
                </c:pt>
                <c:pt idx="325">
                  <c:v>164</c:v>
                </c:pt>
                <c:pt idx="326">
                  <c:v>164</c:v>
                </c:pt>
                <c:pt idx="327">
                  <c:v>164</c:v>
                </c:pt>
                <c:pt idx="328">
                  <c:v>164</c:v>
                </c:pt>
                <c:pt idx="329">
                  <c:v>164</c:v>
                </c:pt>
                <c:pt idx="330">
                  <c:v>164</c:v>
                </c:pt>
                <c:pt idx="331">
                  <c:v>164</c:v>
                </c:pt>
                <c:pt idx="332">
                  <c:v>164</c:v>
                </c:pt>
                <c:pt idx="333">
                  <c:v>164</c:v>
                </c:pt>
                <c:pt idx="334">
                  <c:v>164</c:v>
                </c:pt>
                <c:pt idx="335">
                  <c:v>164</c:v>
                </c:pt>
                <c:pt idx="336">
                  <c:v>164</c:v>
                </c:pt>
                <c:pt idx="337">
                  <c:v>164</c:v>
                </c:pt>
                <c:pt idx="338">
                  <c:v>164</c:v>
                </c:pt>
                <c:pt idx="339">
                  <c:v>164</c:v>
                </c:pt>
                <c:pt idx="340">
                  <c:v>164</c:v>
                </c:pt>
                <c:pt idx="341">
                  <c:v>164</c:v>
                </c:pt>
                <c:pt idx="342">
                  <c:v>164</c:v>
                </c:pt>
                <c:pt idx="343">
                  <c:v>164</c:v>
                </c:pt>
                <c:pt idx="344">
                  <c:v>164</c:v>
                </c:pt>
                <c:pt idx="345">
                  <c:v>164</c:v>
                </c:pt>
                <c:pt idx="346">
                  <c:v>164</c:v>
                </c:pt>
                <c:pt idx="347">
                  <c:v>164</c:v>
                </c:pt>
                <c:pt idx="348">
                  <c:v>164</c:v>
                </c:pt>
                <c:pt idx="349">
                  <c:v>164</c:v>
                </c:pt>
                <c:pt idx="350">
                  <c:v>164</c:v>
                </c:pt>
                <c:pt idx="351">
                  <c:v>164</c:v>
                </c:pt>
                <c:pt idx="352">
                  <c:v>164</c:v>
                </c:pt>
                <c:pt idx="353">
                  <c:v>164</c:v>
                </c:pt>
                <c:pt idx="354">
                  <c:v>164</c:v>
                </c:pt>
                <c:pt idx="355">
                  <c:v>164</c:v>
                </c:pt>
                <c:pt idx="356">
                  <c:v>164</c:v>
                </c:pt>
                <c:pt idx="357">
                  <c:v>164</c:v>
                </c:pt>
                <c:pt idx="358">
                  <c:v>164</c:v>
                </c:pt>
                <c:pt idx="359">
                  <c:v>164</c:v>
                </c:pt>
                <c:pt idx="360">
                  <c:v>164</c:v>
                </c:pt>
                <c:pt idx="361">
                  <c:v>164</c:v>
                </c:pt>
                <c:pt idx="362">
                  <c:v>164</c:v>
                </c:pt>
                <c:pt idx="363">
                  <c:v>164</c:v>
                </c:pt>
                <c:pt idx="364">
                  <c:v>164</c:v>
                </c:pt>
              </c:numCache>
            </c:numRef>
          </c:val>
          <c:extLst>
            <c:ext xmlns:c16="http://schemas.microsoft.com/office/drawing/2014/chart" uri="{C3380CC4-5D6E-409C-BE32-E72D297353CC}">
              <c16:uniqueId val="{00000000-A2D5-48D4-BF3C-75458A40ABC4}"/>
            </c:ext>
          </c:extLst>
        </c:ser>
        <c:ser>
          <c:idx val="1"/>
          <c:order val="2"/>
          <c:tx>
            <c:strRef>
              <c:f>'5. Historical demand'!$D$40:$D$41</c:f>
              <c:strCache>
                <c:ptCount val="2"/>
                <c:pt idx="0">
                  <c:v>Contracted firm capacity-storage</c:v>
                </c:pt>
                <c:pt idx="1">
                  <c:v>TJ/day</c:v>
                </c:pt>
              </c:strCache>
            </c:strRef>
          </c:tx>
          <c:spPr>
            <a:solidFill>
              <a:srgbClr val="FFECC9"/>
            </a:solidFill>
            <a:ln w="28575" cap="rnd">
              <a:solidFill>
                <a:srgbClr val="FFECC9"/>
              </a:solidFill>
              <a:round/>
            </a:ln>
            <a:effectLst/>
          </c:spPr>
          <c:invertIfNegative val="0"/>
          <c:cat>
            <c:strRef>
              <c:f>'5. Historical demand'!$B$43:$B$408</c:f>
              <c:strCache>
                <c:ptCount val="365"/>
                <c:pt idx="0">
                  <c:v>1/07/2024</c:v>
                </c:pt>
                <c:pt idx="1">
                  <c:v>2/07/2024</c:v>
                </c:pt>
                <c:pt idx="2">
                  <c:v>3/07/2024</c:v>
                </c:pt>
                <c:pt idx="3">
                  <c:v>4/07/2024</c:v>
                </c:pt>
                <c:pt idx="4">
                  <c:v>5/07/2024</c:v>
                </c:pt>
                <c:pt idx="5">
                  <c:v>6/07/2024</c:v>
                </c:pt>
                <c:pt idx="6">
                  <c:v>7/07/2024</c:v>
                </c:pt>
                <c:pt idx="7">
                  <c:v>8/07/2024</c:v>
                </c:pt>
                <c:pt idx="8">
                  <c:v>9/07/2024</c:v>
                </c:pt>
                <c:pt idx="9">
                  <c:v>10/07/2024</c:v>
                </c:pt>
                <c:pt idx="10">
                  <c:v>11/07/2024</c:v>
                </c:pt>
                <c:pt idx="11">
                  <c:v>12/07/2024</c:v>
                </c:pt>
                <c:pt idx="12">
                  <c:v>13/07/2024</c:v>
                </c:pt>
                <c:pt idx="13">
                  <c:v>14/07/2024</c:v>
                </c:pt>
                <c:pt idx="14">
                  <c:v>15/07/2024</c:v>
                </c:pt>
                <c:pt idx="15">
                  <c:v>16/07/2024</c:v>
                </c:pt>
                <c:pt idx="16">
                  <c:v>17/07/2024</c:v>
                </c:pt>
                <c:pt idx="17">
                  <c:v>18/07/2024</c:v>
                </c:pt>
                <c:pt idx="18">
                  <c:v>19/07/2024</c:v>
                </c:pt>
                <c:pt idx="19">
                  <c:v>20/07/2024</c:v>
                </c:pt>
                <c:pt idx="20">
                  <c:v>21/07/2024</c:v>
                </c:pt>
                <c:pt idx="21">
                  <c:v>22/07/2024</c:v>
                </c:pt>
                <c:pt idx="22">
                  <c:v>23/07/2024</c:v>
                </c:pt>
                <c:pt idx="23">
                  <c:v>24/07/2024</c:v>
                </c:pt>
                <c:pt idx="24">
                  <c:v>25/07/2024</c:v>
                </c:pt>
                <c:pt idx="25">
                  <c:v>26/07/2024</c:v>
                </c:pt>
                <c:pt idx="26">
                  <c:v>27/07/2024</c:v>
                </c:pt>
                <c:pt idx="27">
                  <c:v>28/07/2024</c:v>
                </c:pt>
                <c:pt idx="28">
                  <c:v>29/07/2024</c:v>
                </c:pt>
                <c:pt idx="29">
                  <c:v>30/07/2024</c:v>
                </c:pt>
                <c:pt idx="30">
                  <c:v>31/07/2024</c:v>
                </c:pt>
                <c:pt idx="31">
                  <c:v>1/08/2024</c:v>
                </c:pt>
                <c:pt idx="32">
                  <c:v>2/08/2024</c:v>
                </c:pt>
                <c:pt idx="33">
                  <c:v>3/08/2024</c:v>
                </c:pt>
                <c:pt idx="34">
                  <c:v>4/08/2024</c:v>
                </c:pt>
                <c:pt idx="35">
                  <c:v>5/08/2024</c:v>
                </c:pt>
                <c:pt idx="36">
                  <c:v>6/08/2024</c:v>
                </c:pt>
                <c:pt idx="37">
                  <c:v>7/08/2024</c:v>
                </c:pt>
                <c:pt idx="38">
                  <c:v>8/08/2024</c:v>
                </c:pt>
                <c:pt idx="39">
                  <c:v>9/08/2024</c:v>
                </c:pt>
                <c:pt idx="40">
                  <c:v>10/08/2024</c:v>
                </c:pt>
                <c:pt idx="41">
                  <c:v>11/08/2024</c:v>
                </c:pt>
                <c:pt idx="42">
                  <c:v>12/08/2024</c:v>
                </c:pt>
                <c:pt idx="43">
                  <c:v>13/08/2024</c:v>
                </c:pt>
                <c:pt idx="44">
                  <c:v>14/08/2024</c:v>
                </c:pt>
                <c:pt idx="45">
                  <c:v>15/08/2024</c:v>
                </c:pt>
                <c:pt idx="46">
                  <c:v>16/08/2024</c:v>
                </c:pt>
                <c:pt idx="47">
                  <c:v>17/08/2024</c:v>
                </c:pt>
                <c:pt idx="48">
                  <c:v>18/08/2024</c:v>
                </c:pt>
                <c:pt idx="49">
                  <c:v>19/08/2024</c:v>
                </c:pt>
                <c:pt idx="50">
                  <c:v>20/08/2024</c:v>
                </c:pt>
                <c:pt idx="51">
                  <c:v>21/08/2024</c:v>
                </c:pt>
                <c:pt idx="52">
                  <c:v>22/08/2024</c:v>
                </c:pt>
                <c:pt idx="53">
                  <c:v>23/08/2024</c:v>
                </c:pt>
                <c:pt idx="54">
                  <c:v>24/08/2024</c:v>
                </c:pt>
                <c:pt idx="55">
                  <c:v>25/08/2024</c:v>
                </c:pt>
                <c:pt idx="56">
                  <c:v>26/08/2024</c:v>
                </c:pt>
                <c:pt idx="57">
                  <c:v>27/08/2024</c:v>
                </c:pt>
                <c:pt idx="58">
                  <c:v>28/08/2024</c:v>
                </c:pt>
                <c:pt idx="59">
                  <c:v>29/08/2024</c:v>
                </c:pt>
                <c:pt idx="60">
                  <c:v>30/08/2024</c:v>
                </c:pt>
                <c:pt idx="61">
                  <c:v>31/08/2024</c:v>
                </c:pt>
                <c:pt idx="62">
                  <c:v>1/09/2024</c:v>
                </c:pt>
                <c:pt idx="63">
                  <c:v>2/09/2024</c:v>
                </c:pt>
                <c:pt idx="64">
                  <c:v>3/09/2024</c:v>
                </c:pt>
                <c:pt idx="65">
                  <c:v>4/09/2024</c:v>
                </c:pt>
                <c:pt idx="66">
                  <c:v>5/09/2024</c:v>
                </c:pt>
                <c:pt idx="67">
                  <c:v>6/09/2024</c:v>
                </c:pt>
                <c:pt idx="68">
                  <c:v>7/09/2024</c:v>
                </c:pt>
                <c:pt idx="69">
                  <c:v>8/09/2024</c:v>
                </c:pt>
                <c:pt idx="70">
                  <c:v>9/09/2024</c:v>
                </c:pt>
                <c:pt idx="71">
                  <c:v>10/09/2024</c:v>
                </c:pt>
                <c:pt idx="72">
                  <c:v>11/09/2024</c:v>
                </c:pt>
                <c:pt idx="73">
                  <c:v>12/09/2024</c:v>
                </c:pt>
                <c:pt idx="74">
                  <c:v>13/09/2024</c:v>
                </c:pt>
                <c:pt idx="75">
                  <c:v>14/09/2024</c:v>
                </c:pt>
                <c:pt idx="76">
                  <c:v>15/09/2024</c:v>
                </c:pt>
                <c:pt idx="77">
                  <c:v>16/09/2024</c:v>
                </c:pt>
                <c:pt idx="78">
                  <c:v>17/09/2024</c:v>
                </c:pt>
                <c:pt idx="79">
                  <c:v>18/09/2024</c:v>
                </c:pt>
                <c:pt idx="80">
                  <c:v>19/09/2024</c:v>
                </c:pt>
                <c:pt idx="81">
                  <c:v>20/09/2024</c:v>
                </c:pt>
                <c:pt idx="82">
                  <c:v>21/09/2024</c:v>
                </c:pt>
                <c:pt idx="83">
                  <c:v>22/09/2024</c:v>
                </c:pt>
                <c:pt idx="84">
                  <c:v>23/09/2024</c:v>
                </c:pt>
                <c:pt idx="85">
                  <c:v>24/09/2024</c:v>
                </c:pt>
                <c:pt idx="86">
                  <c:v>25/09/2024</c:v>
                </c:pt>
                <c:pt idx="87">
                  <c:v>26/09/2024</c:v>
                </c:pt>
                <c:pt idx="88">
                  <c:v>27/09/2024</c:v>
                </c:pt>
                <c:pt idx="89">
                  <c:v>28/09/2024</c:v>
                </c:pt>
                <c:pt idx="90">
                  <c:v>29/09/2024</c:v>
                </c:pt>
                <c:pt idx="91">
                  <c:v>30/09/2024</c:v>
                </c:pt>
                <c:pt idx="92">
                  <c:v>1/10/2024</c:v>
                </c:pt>
                <c:pt idx="93">
                  <c:v>2/10/2024</c:v>
                </c:pt>
                <c:pt idx="94">
                  <c:v>3/10/2024</c:v>
                </c:pt>
                <c:pt idx="95">
                  <c:v>4/10/2024</c:v>
                </c:pt>
                <c:pt idx="96">
                  <c:v>5/10/2024</c:v>
                </c:pt>
                <c:pt idx="97">
                  <c:v>6/10/2024</c:v>
                </c:pt>
                <c:pt idx="98">
                  <c:v>7/10/2024</c:v>
                </c:pt>
                <c:pt idx="99">
                  <c:v>8/10/2024</c:v>
                </c:pt>
                <c:pt idx="100">
                  <c:v>9/10/2024</c:v>
                </c:pt>
                <c:pt idx="101">
                  <c:v>10/10/2024</c:v>
                </c:pt>
                <c:pt idx="102">
                  <c:v>11/10/2024</c:v>
                </c:pt>
                <c:pt idx="103">
                  <c:v>12/10/2024</c:v>
                </c:pt>
                <c:pt idx="104">
                  <c:v>13/10/2024</c:v>
                </c:pt>
                <c:pt idx="105">
                  <c:v>14/10/2024</c:v>
                </c:pt>
                <c:pt idx="106">
                  <c:v>15/10/2024</c:v>
                </c:pt>
                <c:pt idx="107">
                  <c:v>16/10/2024</c:v>
                </c:pt>
                <c:pt idx="108">
                  <c:v>17/10/2024</c:v>
                </c:pt>
                <c:pt idx="109">
                  <c:v>18/10/2024</c:v>
                </c:pt>
                <c:pt idx="110">
                  <c:v>19/10/2024</c:v>
                </c:pt>
                <c:pt idx="111">
                  <c:v>20/10/2024</c:v>
                </c:pt>
                <c:pt idx="112">
                  <c:v>21/10/2024</c:v>
                </c:pt>
                <c:pt idx="113">
                  <c:v>22/10/2024</c:v>
                </c:pt>
                <c:pt idx="114">
                  <c:v>23/10/2024</c:v>
                </c:pt>
                <c:pt idx="115">
                  <c:v>24/10/2024</c:v>
                </c:pt>
                <c:pt idx="116">
                  <c:v>25/10/2024</c:v>
                </c:pt>
                <c:pt idx="117">
                  <c:v>26/10/2024</c:v>
                </c:pt>
                <c:pt idx="118">
                  <c:v>27/10/2024</c:v>
                </c:pt>
                <c:pt idx="119">
                  <c:v>28/10/2024</c:v>
                </c:pt>
                <c:pt idx="120">
                  <c:v>29/10/2024</c:v>
                </c:pt>
                <c:pt idx="121">
                  <c:v>30/10/2024</c:v>
                </c:pt>
                <c:pt idx="122">
                  <c:v>31/10/2024</c:v>
                </c:pt>
                <c:pt idx="123">
                  <c:v>1/11/2024</c:v>
                </c:pt>
                <c:pt idx="124">
                  <c:v>2/11/2024</c:v>
                </c:pt>
                <c:pt idx="125">
                  <c:v>3/11/2024</c:v>
                </c:pt>
                <c:pt idx="126">
                  <c:v>4/11/2024</c:v>
                </c:pt>
                <c:pt idx="127">
                  <c:v>5/11/2024</c:v>
                </c:pt>
                <c:pt idx="128">
                  <c:v>6/11/2024</c:v>
                </c:pt>
                <c:pt idx="129">
                  <c:v>7/11/2024</c:v>
                </c:pt>
                <c:pt idx="130">
                  <c:v>8/11/2024</c:v>
                </c:pt>
                <c:pt idx="131">
                  <c:v>9/11/2024</c:v>
                </c:pt>
                <c:pt idx="132">
                  <c:v>10/11/2024</c:v>
                </c:pt>
                <c:pt idx="133">
                  <c:v>11/11/2024</c:v>
                </c:pt>
                <c:pt idx="134">
                  <c:v>12/11/2024</c:v>
                </c:pt>
                <c:pt idx="135">
                  <c:v>13/11/2024</c:v>
                </c:pt>
                <c:pt idx="136">
                  <c:v>14/11/2024</c:v>
                </c:pt>
                <c:pt idx="137">
                  <c:v>15/11/2024</c:v>
                </c:pt>
                <c:pt idx="138">
                  <c:v>16/11/2024</c:v>
                </c:pt>
                <c:pt idx="139">
                  <c:v>17/11/2024</c:v>
                </c:pt>
                <c:pt idx="140">
                  <c:v>18/11/2024</c:v>
                </c:pt>
                <c:pt idx="141">
                  <c:v>19/11/2024</c:v>
                </c:pt>
                <c:pt idx="142">
                  <c:v>20/11/2024</c:v>
                </c:pt>
                <c:pt idx="143">
                  <c:v>21/11/2024</c:v>
                </c:pt>
                <c:pt idx="144">
                  <c:v>22/11/2024</c:v>
                </c:pt>
                <c:pt idx="145">
                  <c:v>23/11/2024</c:v>
                </c:pt>
                <c:pt idx="146">
                  <c:v>24/11/2024</c:v>
                </c:pt>
                <c:pt idx="147">
                  <c:v>25/11/2024</c:v>
                </c:pt>
                <c:pt idx="148">
                  <c:v>26/11/2024</c:v>
                </c:pt>
                <c:pt idx="149">
                  <c:v>27/11/2024</c:v>
                </c:pt>
                <c:pt idx="150">
                  <c:v>28/11/2024</c:v>
                </c:pt>
                <c:pt idx="151">
                  <c:v>29/11/2024</c:v>
                </c:pt>
                <c:pt idx="152">
                  <c:v>30/11/2024</c:v>
                </c:pt>
                <c:pt idx="153">
                  <c:v>1/12/2024</c:v>
                </c:pt>
                <c:pt idx="154">
                  <c:v>2/12/2024</c:v>
                </c:pt>
                <c:pt idx="155">
                  <c:v>3/12/2024</c:v>
                </c:pt>
                <c:pt idx="156">
                  <c:v>4/12/2024</c:v>
                </c:pt>
                <c:pt idx="157">
                  <c:v>5/12/2024</c:v>
                </c:pt>
                <c:pt idx="158">
                  <c:v>6/12/2024</c:v>
                </c:pt>
                <c:pt idx="159">
                  <c:v>7/12/2024</c:v>
                </c:pt>
                <c:pt idx="160">
                  <c:v>8/12/2024</c:v>
                </c:pt>
                <c:pt idx="161">
                  <c:v>9/12/2024</c:v>
                </c:pt>
                <c:pt idx="162">
                  <c:v>10/12/2024</c:v>
                </c:pt>
                <c:pt idx="163">
                  <c:v>11/12/2024</c:v>
                </c:pt>
                <c:pt idx="164">
                  <c:v>12/12/2024</c:v>
                </c:pt>
                <c:pt idx="165">
                  <c:v>13/12/2024</c:v>
                </c:pt>
                <c:pt idx="166">
                  <c:v>14/12/2024</c:v>
                </c:pt>
                <c:pt idx="167">
                  <c:v>15/12/2024</c:v>
                </c:pt>
                <c:pt idx="168">
                  <c:v>16/12/2024</c:v>
                </c:pt>
                <c:pt idx="169">
                  <c:v>17/12/2024</c:v>
                </c:pt>
                <c:pt idx="170">
                  <c:v>18/12/2024</c:v>
                </c:pt>
                <c:pt idx="171">
                  <c:v>19/12/2024</c:v>
                </c:pt>
                <c:pt idx="172">
                  <c:v>20/12/2024</c:v>
                </c:pt>
                <c:pt idx="173">
                  <c:v>21/12/2024</c:v>
                </c:pt>
                <c:pt idx="174">
                  <c:v>22/12/2024</c:v>
                </c:pt>
                <c:pt idx="175">
                  <c:v>23/12/2024</c:v>
                </c:pt>
                <c:pt idx="176">
                  <c:v>24/12/2024</c:v>
                </c:pt>
                <c:pt idx="177">
                  <c:v>25/12/2024</c:v>
                </c:pt>
                <c:pt idx="178">
                  <c:v>26/12/2024</c:v>
                </c:pt>
                <c:pt idx="179">
                  <c:v>27/12/2024</c:v>
                </c:pt>
                <c:pt idx="180">
                  <c:v>28/12/2024</c:v>
                </c:pt>
                <c:pt idx="181">
                  <c:v>29/12/2024</c:v>
                </c:pt>
                <c:pt idx="182">
                  <c:v>30/12/2024</c:v>
                </c:pt>
                <c:pt idx="183">
                  <c:v>31/12/2024</c:v>
                </c:pt>
                <c:pt idx="184">
                  <c:v>1/01/2025</c:v>
                </c:pt>
                <c:pt idx="185">
                  <c:v>2/01/2025</c:v>
                </c:pt>
                <c:pt idx="186">
                  <c:v>3/01/2025</c:v>
                </c:pt>
                <c:pt idx="187">
                  <c:v>4/01/2025</c:v>
                </c:pt>
                <c:pt idx="188">
                  <c:v>5/01/2025</c:v>
                </c:pt>
                <c:pt idx="189">
                  <c:v>6/01/2025</c:v>
                </c:pt>
                <c:pt idx="190">
                  <c:v>7/01/2025</c:v>
                </c:pt>
                <c:pt idx="191">
                  <c:v>8/01/2025</c:v>
                </c:pt>
                <c:pt idx="192">
                  <c:v>9/01/2025</c:v>
                </c:pt>
                <c:pt idx="193">
                  <c:v>10/01/2025</c:v>
                </c:pt>
                <c:pt idx="194">
                  <c:v>11/01/2025</c:v>
                </c:pt>
                <c:pt idx="195">
                  <c:v>12/01/2025</c:v>
                </c:pt>
                <c:pt idx="196">
                  <c:v>13/01/2025</c:v>
                </c:pt>
                <c:pt idx="197">
                  <c:v>14/01/2025</c:v>
                </c:pt>
                <c:pt idx="198">
                  <c:v>15/01/2025</c:v>
                </c:pt>
                <c:pt idx="199">
                  <c:v>16/01/2025</c:v>
                </c:pt>
                <c:pt idx="200">
                  <c:v>17/01/2025</c:v>
                </c:pt>
                <c:pt idx="201">
                  <c:v>18/01/2025</c:v>
                </c:pt>
                <c:pt idx="202">
                  <c:v>19/01/2025</c:v>
                </c:pt>
                <c:pt idx="203">
                  <c:v>20/01/2025</c:v>
                </c:pt>
                <c:pt idx="204">
                  <c:v>21/01/2025</c:v>
                </c:pt>
                <c:pt idx="205">
                  <c:v>22/01/2025</c:v>
                </c:pt>
                <c:pt idx="206">
                  <c:v>23/01/2025</c:v>
                </c:pt>
                <c:pt idx="207">
                  <c:v>24/01/2025</c:v>
                </c:pt>
                <c:pt idx="208">
                  <c:v>25/01/2025</c:v>
                </c:pt>
                <c:pt idx="209">
                  <c:v>26/01/2025</c:v>
                </c:pt>
                <c:pt idx="210">
                  <c:v>27/01/2025</c:v>
                </c:pt>
                <c:pt idx="211">
                  <c:v>28/01/2025</c:v>
                </c:pt>
                <c:pt idx="212">
                  <c:v>29/01/2025</c:v>
                </c:pt>
                <c:pt idx="213">
                  <c:v>30/01/2025</c:v>
                </c:pt>
                <c:pt idx="214">
                  <c:v>31/01/2025</c:v>
                </c:pt>
                <c:pt idx="215">
                  <c:v>1/02/2025</c:v>
                </c:pt>
                <c:pt idx="216">
                  <c:v>2/02/2025</c:v>
                </c:pt>
                <c:pt idx="217">
                  <c:v>3/02/2025</c:v>
                </c:pt>
                <c:pt idx="218">
                  <c:v>4/02/2025</c:v>
                </c:pt>
                <c:pt idx="219">
                  <c:v>5/02/2025</c:v>
                </c:pt>
                <c:pt idx="220">
                  <c:v>6/02/2025</c:v>
                </c:pt>
                <c:pt idx="221">
                  <c:v>7/02/2025</c:v>
                </c:pt>
                <c:pt idx="222">
                  <c:v>8/02/2025</c:v>
                </c:pt>
                <c:pt idx="223">
                  <c:v>9/02/2025</c:v>
                </c:pt>
                <c:pt idx="224">
                  <c:v>10/02/2025</c:v>
                </c:pt>
                <c:pt idx="225">
                  <c:v>11/02/2025</c:v>
                </c:pt>
                <c:pt idx="226">
                  <c:v>12/02/2025</c:v>
                </c:pt>
                <c:pt idx="227">
                  <c:v>13/02/2025</c:v>
                </c:pt>
                <c:pt idx="228">
                  <c:v>14/02/2025</c:v>
                </c:pt>
                <c:pt idx="229">
                  <c:v>15/02/2025</c:v>
                </c:pt>
                <c:pt idx="230">
                  <c:v>16/02/2025</c:v>
                </c:pt>
                <c:pt idx="231">
                  <c:v>17/02/2025</c:v>
                </c:pt>
                <c:pt idx="232">
                  <c:v>18/02/2025</c:v>
                </c:pt>
                <c:pt idx="233">
                  <c:v>19/02/2025</c:v>
                </c:pt>
                <c:pt idx="234">
                  <c:v>20/02/2025</c:v>
                </c:pt>
                <c:pt idx="235">
                  <c:v>21/02/2025</c:v>
                </c:pt>
                <c:pt idx="236">
                  <c:v>22/02/2025</c:v>
                </c:pt>
                <c:pt idx="237">
                  <c:v>23/02/2025</c:v>
                </c:pt>
                <c:pt idx="238">
                  <c:v>24/02/2025</c:v>
                </c:pt>
                <c:pt idx="239">
                  <c:v>25/02/2025</c:v>
                </c:pt>
                <c:pt idx="240">
                  <c:v>26/02/2025</c:v>
                </c:pt>
                <c:pt idx="241">
                  <c:v>27/02/2025</c:v>
                </c:pt>
                <c:pt idx="242">
                  <c:v>28/02/2025</c:v>
                </c:pt>
                <c:pt idx="243">
                  <c:v>1/03/2025</c:v>
                </c:pt>
                <c:pt idx="244">
                  <c:v>2/03/2025</c:v>
                </c:pt>
                <c:pt idx="245">
                  <c:v>3/03/2025</c:v>
                </c:pt>
                <c:pt idx="246">
                  <c:v>4/03/2025</c:v>
                </c:pt>
                <c:pt idx="247">
                  <c:v>5/03/2025</c:v>
                </c:pt>
                <c:pt idx="248">
                  <c:v>6/03/2025</c:v>
                </c:pt>
                <c:pt idx="249">
                  <c:v>7/03/2025</c:v>
                </c:pt>
                <c:pt idx="250">
                  <c:v>8/03/2025</c:v>
                </c:pt>
                <c:pt idx="251">
                  <c:v>9/03/2025</c:v>
                </c:pt>
                <c:pt idx="252">
                  <c:v>10/03/2025</c:v>
                </c:pt>
                <c:pt idx="253">
                  <c:v>11/03/2025</c:v>
                </c:pt>
                <c:pt idx="254">
                  <c:v>12/03/2025</c:v>
                </c:pt>
                <c:pt idx="255">
                  <c:v>13/03/2025</c:v>
                </c:pt>
                <c:pt idx="256">
                  <c:v>14/03/2025</c:v>
                </c:pt>
                <c:pt idx="257">
                  <c:v>15/03/2025</c:v>
                </c:pt>
                <c:pt idx="258">
                  <c:v>16/03/2025</c:v>
                </c:pt>
                <c:pt idx="259">
                  <c:v>17/03/2025</c:v>
                </c:pt>
                <c:pt idx="260">
                  <c:v>18/03/2025</c:v>
                </c:pt>
                <c:pt idx="261">
                  <c:v>19/03/2025</c:v>
                </c:pt>
                <c:pt idx="262">
                  <c:v>20/03/2025</c:v>
                </c:pt>
                <c:pt idx="263">
                  <c:v>21/03/2025</c:v>
                </c:pt>
                <c:pt idx="264">
                  <c:v>22/03/2025</c:v>
                </c:pt>
                <c:pt idx="265">
                  <c:v>23/03/2025</c:v>
                </c:pt>
                <c:pt idx="266">
                  <c:v>24/03/2025</c:v>
                </c:pt>
                <c:pt idx="267">
                  <c:v>25/03/2025</c:v>
                </c:pt>
                <c:pt idx="268">
                  <c:v>26/03/2025</c:v>
                </c:pt>
                <c:pt idx="269">
                  <c:v>27/03/2025</c:v>
                </c:pt>
                <c:pt idx="270">
                  <c:v>28/03/2025</c:v>
                </c:pt>
                <c:pt idx="271">
                  <c:v>29/03/2025</c:v>
                </c:pt>
                <c:pt idx="272">
                  <c:v>30/03/2025</c:v>
                </c:pt>
                <c:pt idx="273">
                  <c:v>31/03/2025</c:v>
                </c:pt>
                <c:pt idx="274">
                  <c:v>1/04/2025</c:v>
                </c:pt>
                <c:pt idx="275">
                  <c:v>2/04/2025</c:v>
                </c:pt>
                <c:pt idx="276">
                  <c:v>3/04/2025</c:v>
                </c:pt>
                <c:pt idx="277">
                  <c:v>4/04/2025</c:v>
                </c:pt>
                <c:pt idx="278">
                  <c:v>5/04/2025</c:v>
                </c:pt>
                <c:pt idx="279">
                  <c:v>6/04/2025</c:v>
                </c:pt>
                <c:pt idx="280">
                  <c:v>7/04/2025</c:v>
                </c:pt>
                <c:pt idx="281">
                  <c:v>8/04/2025</c:v>
                </c:pt>
                <c:pt idx="282">
                  <c:v>9/04/2025</c:v>
                </c:pt>
                <c:pt idx="283">
                  <c:v>10/04/2025</c:v>
                </c:pt>
                <c:pt idx="284">
                  <c:v>11/04/2025</c:v>
                </c:pt>
                <c:pt idx="285">
                  <c:v>12/04/2025</c:v>
                </c:pt>
                <c:pt idx="286">
                  <c:v>13/04/2025</c:v>
                </c:pt>
                <c:pt idx="287">
                  <c:v>14/04/2025</c:v>
                </c:pt>
                <c:pt idx="288">
                  <c:v>15/04/2025</c:v>
                </c:pt>
                <c:pt idx="289">
                  <c:v>16/04/2025</c:v>
                </c:pt>
                <c:pt idx="290">
                  <c:v>17/04/2025</c:v>
                </c:pt>
                <c:pt idx="291">
                  <c:v>18/04/2025</c:v>
                </c:pt>
                <c:pt idx="292">
                  <c:v>19/04/2025</c:v>
                </c:pt>
                <c:pt idx="293">
                  <c:v>20/04/2025</c:v>
                </c:pt>
                <c:pt idx="294">
                  <c:v>21/04/2025</c:v>
                </c:pt>
                <c:pt idx="295">
                  <c:v>22/04/2025</c:v>
                </c:pt>
                <c:pt idx="296">
                  <c:v>23/04/2025</c:v>
                </c:pt>
                <c:pt idx="297">
                  <c:v>24/04/2025</c:v>
                </c:pt>
                <c:pt idx="298">
                  <c:v>25/04/2025</c:v>
                </c:pt>
                <c:pt idx="299">
                  <c:v>26/04/2025</c:v>
                </c:pt>
                <c:pt idx="300">
                  <c:v>27/04/2025</c:v>
                </c:pt>
                <c:pt idx="301">
                  <c:v>28/04/2025</c:v>
                </c:pt>
                <c:pt idx="302">
                  <c:v>29/04/2025</c:v>
                </c:pt>
                <c:pt idx="303">
                  <c:v>30/04/2025</c:v>
                </c:pt>
                <c:pt idx="304">
                  <c:v>1/05/2025</c:v>
                </c:pt>
                <c:pt idx="305">
                  <c:v>2/05/2025</c:v>
                </c:pt>
                <c:pt idx="306">
                  <c:v>3/05/2025</c:v>
                </c:pt>
                <c:pt idx="307">
                  <c:v>4/05/2025</c:v>
                </c:pt>
                <c:pt idx="308">
                  <c:v>5/05/2025</c:v>
                </c:pt>
                <c:pt idx="309">
                  <c:v>6/05/2025</c:v>
                </c:pt>
                <c:pt idx="310">
                  <c:v>7/05/2025</c:v>
                </c:pt>
                <c:pt idx="311">
                  <c:v>8/05/2025</c:v>
                </c:pt>
                <c:pt idx="312">
                  <c:v>9/05/2025</c:v>
                </c:pt>
                <c:pt idx="313">
                  <c:v>10/05/2025</c:v>
                </c:pt>
                <c:pt idx="314">
                  <c:v>11/05/2025</c:v>
                </c:pt>
                <c:pt idx="315">
                  <c:v>12/05/2025</c:v>
                </c:pt>
                <c:pt idx="316">
                  <c:v>13/05/2025</c:v>
                </c:pt>
                <c:pt idx="317">
                  <c:v>14/05/2025</c:v>
                </c:pt>
                <c:pt idx="318">
                  <c:v>15/05/2025</c:v>
                </c:pt>
                <c:pt idx="319">
                  <c:v>16/05/2025</c:v>
                </c:pt>
                <c:pt idx="320">
                  <c:v>17/05/2025</c:v>
                </c:pt>
                <c:pt idx="321">
                  <c:v>18/05/2025</c:v>
                </c:pt>
                <c:pt idx="322">
                  <c:v>19/05/2025</c:v>
                </c:pt>
                <c:pt idx="323">
                  <c:v>20/05/2025</c:v>
                </c:pt>
                <c:pt idx="324">
                  <c:v>21/05/2025</c:v>
                </c:pt>
                <c:pt idx="325">
                  <c:v>22/05/2025</c:v>
                </c:pt>
                <c:pt idx="326">
                  <c:v>23/05/2025</c:v>
                </c:pt>
                <c:pt idx="327">
                  <c:v>24/05/2025</c:v>
                </c:pt>
                <c:pt idx="328">
                  <c:v>25/05/2025</c:v>
                </c:pt>
                <c:pt idx="329">
                  <c:v>26/05/2025</c:v>
                </c:pt>
                <c:pt idx="330">
                  <c:v>27/05/2025</c:v>
                </c:pt>
                <c:pt idx="331">
                  <c:v>28/05/2025</c:v>
                </c:pt>
                <c:pt idx="332">
                  <c:v>29/05/2025</c:v>
                </c:pt>
                <c:pt idx="333">
                  <c:v>30/05/2025</c:v>
                </c:pt>
                <c:pt idx="334">
                  <c:v>31/05/2025</c:v>
                </c:pt>
                <c:pt idx="335">
                  <c:v>1/06/2025</c:v>
                </c:pt>
                <c:pt idx="336">
                  <c:v>2/06/2025</c:v>
                </c:pt>
                <c:pt idx="337">
                  <c:v>3/06/2025</c:v>
                </c:pt>
                <c:pt idx="338">
                  <c:v>4/06/2025</c:v>
                </c:pt>
                <c:pt idx="339">
                  <c:v>5/06/2025</c:v>
                </c:pt>
                <c:pt idx="340">
                  <c:v>6/06/2025</c:v>
                </c:pt>
                <c:pt idx="341">
                  <c:v>7/06/2025</c:v>
                </c:pt>
                <c:pt idx="342">
                  <c:v>8/06/2025</c:v>
                </c:pt>
                <c:pt idx="343">
                  <c:v>9/06/2025</c:v>
                </c:pt>
                <c:pt idx="344">
                  <c:v>10/06/2025</c:v>
                </c:pt>
                <c:pt idx="345">
                  <c:v>11/06/2025</c:v>
                </c:pt>
                <c:pt idx="346">
                  <c:v>12/06/2025</c:v>
                </c:pt>
                <c:pt idx="347">
                  <c:v>13/06/2025</c:v>
                </c:pt>
                <c:pt idx="348">
                  <c:v>14/06/2025</c:v>
                </c:pt>
                <c:pt idx="349">
                  <c:v>15/06/2025</c:v>
                </c:pt>
                <c:pt idx="350">
                  <c:v>16/06/2025</c:v>
                </c:pt>
                <c:pt idx="351">
                  <c:v>17/06/2025</c:v>
                </c:pt>
                <c:pt idx="352">
                  <c:v>18/06/2025</c:v>
                </c:pt>
                <c:pt idx="353">
                  <c:v>19/06/2025</c:v>
                </c:pt>
                <c:pt idx="354">
                  <c:v>20/06/2025</c:v>
                </c:pt>
                <c:pt idx="355">
                  <c:v>21/06/2025</c:v>
                </c:pt>
                <c:pt idx="356">
                  <c:v>22/06/2025</c:v>
                </c:pt>
                <c:pt idx="357">
                  <c:v>23/06/2025</c:v>
                </c:pt>
                <c:pt idx="358">
                  <c:v>24/06/2025</c:v>
                </c:pt>
                <c:pt idx="359">
                  <c:v>25/06/2025</c:v>
                </c:pt>
                <c:pt idx="360">
                  <c:v>26/06/2025</c:v>
                </c:pt>
                <c:pt idx="361">
                  <c:v>27/06/2025</c:v>
                </c:pt>
                <c:pt idx="362">
                  <c:v>28/06/2025</c:v>
                </c:pt>
                <c:pt idx="363">
                  <c:v>29/06/2025</c:v>
                </c:pt>
                <c:pt idx="364">
                  <c:v>30/06/2025</c:v>
                </c:pt>
              </c:strCache>
            </c:strRef>
          </c:cat>
          <c:val>
            <c:numRef>
              <c:f>'5. Historical demand'!$D$43:$D$408</c:f>
              <c:numCache>
                <c:formatCode>_(* #,##0_);_(* \(#,##0\);_(* "-"_);_(@_)</c:formatCode>
                <c:ptCount val="366"/>
              </c:numCache>
            </c:numRef>
          </c:val>
          <c:extLst>
            <c:ext xmlns:c16="http://schemas.microsoft.com/office/drawing/2014/chart" uri="{C3380CC4-5D6E-409C-BE32-E72D297353CC}">
              <c16:uniqueId val="{00000001-A2D5-48D4-BF3C-75458A40ABC4}"/>
            </c:ext>
          </c:extLst>
        </c:ser>
        <c:dLbls>
          <c:showLegendKey val="0"/>
          <c:showVal val="0"/>
          <c:showCatName val="0"/>
          <c:showSerName val="0"/>
          <c:showPercent val="0"/>
          <c:showBubbleSize val="0"/>
        </c:dLbls>
        <c:gapWidth val="150"/>
        <c:overlap val="100"/>
        <c:axId val="77961568"/>
        <c:axId val="1"/>
      </c:barChart>
      <c:lineChart>
        <c:grouping val="standard"/>
        <c:varyColors val="0"/>
        <c:ser>
          <c:idx val="2"/>
          <c:order val="1"/>
          <c:tx>
            <c:strRef>
              <c:f>'5. Historical demand'!$E$40:$E$41</c:f>
              <c:strCache>
                <c:ptCount val="2"/>
                <c:pt idx="0">
                  <c:v>Utilised capacity</c:v>
                </c:pt>
                <c:pt idx="1">
                  <c:v>TJ/day</c:v>
                </c:pt>
              </c:strCache>
            </c:strRef>
          </c:tx>
          <c:spPr>
            <a:ln>
              <a:solidFill>
                <a:srgbClr val="2B7AAF"/>
              </a:solidFill>
            </a:ln>
          </c:spPr>
          <c:marker>
            <c:symbol val="none"/>
          </c:marker>
          <c:cat>
            <c:strRef>
              <c:f>'5. Historical demand'!$B$43:$B$408</c:f>
              <c:strCache>
                <c:ptCount val="365"/>
                <c:pt idx="0">
                  <c:v>1/07/2024</c:v>
                </c:pt>
                <c:pt idx="1">
                  <c:v>2/07/2024</c:v>
                </c:pt>
                <c:pt idx="2">
                  <c:v>3/07/2024</c:v>
                </c:pt>
                <c:pt idx="3">
                  <c:v>4/07/2024</c:v>
                </c:pt>
                <c:pt idx="4">
                  <c:v>5/07/2024</c:v>
                </c:pt>
                <c:pt idx="5">
                  <c:v>6/07/2024</c:v>
                </c:pt>
                <c:pt idx="6">
                  <c:v>7/07/2024</c:v>
                </c:pt>
                <c:pt idx="7">
                  <c:v>8/07/2024</c:v>
                </c:pt>
                <c:pt idx="8">
                  <c:v>9/07/2024</c:v>
                </c:pt>
                <c:pt idx="9">
                  <c:v>10/07/2024</c:v>
                </c:pt>
                <c:pt idx="10">
                  <c:v>11/07/2024</c:v>
                </c:pt>
                <c:pt idx="11">
                  <c:v>12/07/2024</c:v>
                </c:pt>
                <c:pt idx="12">
                  <c:v>13/07/2024</c:v>
                </c:pt>
                <c:pt idx="13">
                  <c:v>14/07/2024</c:v>
                </c:pt>
                <c:pt idx="14">
                  <c:v>15/07/2024</c:v>
                </c:pt>
                <c:pt idx="15">
                  <c:v>16/07/2024</c:v>
                </c:pt>
                <c:pt idx="16">
                  <c:v>17/07/2024</c:v>
                </c:pt>
                <c:pt idx="17">
                  <c:v>18/07/2024</c:v>
                </c:pt>
                <c:pt idx="18">
                  <c:v>19/07/2024</c:v>
                </c:pt>
                <c:pt idx="19">
                  <c:v>20/07/2024</c:v>
                </c:pt>
                <c:pt idx="20">
                  <c:v>21/07/2024</c:v>
                </c:pt>
                <c:pt idx="21">
                  <c:v>22/07/2024</c:v>
                </c:pt>
                <c:pt idx="22">
                  <c:v>23/07/2024</c:v>
                </c:pt>
                <c:pt idx="23">
                  <c:v>24/07/2024</c:v>
                </c:pt>
                <c:pt idx="24">
                  <c:v>25/07/2024</c:v>
                </c:pt>
                <c:pt idx="25">
                  <c:v>26/07/2024</c:v>
                </c:pt>
                <c:pt idx="26">
                  <c:v>27/07/2024</c:v>
                </c:pt>
                <c:pt idx="27">
                  <c:v>28/07/2024</c:v>
                </c:pt>
                <c:pt idx="28">
                  <c:v>29/07/2024</c:v>
                </c:pt>
                <c:pt idx="29">
                  <c:v>30/07/2024</c:v>
                </c:pt>
                <c:pt idx="30">
                  <c:v>31/07/2024</c:v>
                </c:pt>
                <c:pt idx="31">
                  <c:v>1/08/2024</c:v>
                </c:pt>
                <c:pt idx="32">
                  <c:v>2/08/2024</c:v>
                </c:pt>
                <c:pt idx="33">
                  <c:v>3/08/2024</c:v>
                </c:pt>
                <c:pt idx="34">
                  <c:v>4/08/2024</c:v>
                </c:pt>
                <c:pt idx="35">
                  <c:v>5/08/2024</c:v>
                </c:pt>
                <c:pt idx="36">
                  <c:v>6/08/2024</c:v>
                </c:pt>
                <c:pt idx="37">
                  <c:v>7/08/2024</c:v>
                </c:pt>
                <c:pt idx="38">
                  <c:v>8/08/2024</c:v>
                </c:pt>
                <c:pt idx="39">
                  <c:v>9/08/2024</c:v>
                </c:pt>
                <c:pt idx="40">
                  <c:v>10/08/2024</c:v>
                </c:pt>
                <c:pt idx="41">
                  <c:v>11/08/2024</c:v>
                </c:pt>
                <c:pt idx="42">
                  <c:v>12/08/2024</c:v>
                </c:pt>
                <c:pt idx="43">
                  <c:v>13/08/2024</c:v>
                </c:pt>
                <c:pt idx="44">
                  <c:v>14/08/2024</c:v>
                </c:pt>
                <c:pt idx="45">
                  <c:v>15/08/2024</c:v>
                </c:pt>
                <c:pt idx="46">
                  <c:v>16/08/2024</c:v>
                </c:pt>
                <c:pt idx="47">
                  <c:v>17/08/2024</c:v>
                </c:pt>
                <c:pt idx="48">
                  <c:v>18/08/2024</c:v>
                </c:pt>
                <c:pt idx="49">
                  <c:v>19/08/2024</c:v>
                </c:pt>
                <c:pt idx="50">
                  <c:v>20/08/2024</c:v>
                </c:pt>
                <c:pt idx="51">
                  <c:v>21/08/2024</c:v>
                </c:pt>
                <c:pt idx="52">
                  <c:v>22/08/2024</c:v>
                </c:pt>
                <c:pt idx="53">
                  <c:v>23/08/2024</c:v>
                </c:pt>
                <c:pt idx="54">
                  <c:v>24/08/2024</c:v>
                </c:pt>
                <c:pt idx="55">
                  <c:v>25/08/2024</c:v>
                </c:pt>
                <c:pt idx="56">
                  <c:v>26/08/2024</c:v>
                </c:pt>
                <c:pt idx="57">
                  <c:v>27/08/2024</c:v>
                </c:pt>
                <c:pt idx="58">
                  <c:v>28/08/2024</c:v>
                </c:pt>
                <c:pt idx="59">
                  <c:v>29/08/2024</c:v>
                </c:pt>
                <c:pt idx="60">
                  <c:v>30/08/2024</c:v>
                </c:pt>
                <c:pt idx="61">
                  <c:v>31/08/2024</c:v>
                </c:pt>
                <c:pt idx="62">
                  <c:v>1/09/2024</c:v>
                </c:pt>
                <c:pt idx="63">
                  <c:v>2/09/2024</c:v>
                </c:pt>
                <c:pt idx="64">
                  <c:v>3/09/2024</c:v>
                </c:pt>
                <c:pt idx="65">
                  <c:v>4/09/2024</c:v>
                </c:pt>
                <c:pt idx="66">
                  <c:v>5/09/2024</c:v>
                </c:pt>
                <c:pt idx="67">
                  <c:v>6/09/2024</c:v>
                </c:pt>
                <c:pt idx="68">
                  <c:v>7/09/2024</c:v>
                </c:pt>
                <c:pt idx="69">
                  <c:v>8/09/2024</c:v>
                </c:pt>
                <c:pt idx="70">
                  <c:v>9/09/2024</c:v>
                </c:pt>
                <c:pt idx="71">
                  <c:v>10/09/2024</c:v>
                </c:pt>
                <c:pt idx="72">
                  <c:v>11/09/2024</c:v>
                </c:pt>
                <c:pt idx="73">
                  <c:v>12/09/2024</c:v>
                </c:pt>
                <c:pt idx="74">
                  <c:v>13/09/2024</c:v>
                </c:pt>
                <c:pt idx="75">
                  <c:v>14/09/2024</c:v>
                </c:pt>
                <c:pt idx="76">
                  <c:v>15/09/2024</c:v>
                </c:pt>
                <c:pt idx="77">
                  <c:v>16/09/2024</c:v>
                </c:pt>
                <c:pt idx="78">
                  <c:v>17/09/2024</c:v>
                </c:pt>
                <c:pt idx="79">
                  <c:v>18/09/2024</c:v>
                </c:pt>
                <c:pt idx="80">
                  <c:v>19/09/2024</c:v>
                </c:pt>
                <c:pt idx="81">
                  <c:v>20/09/2024</c:v>
                </c:pt>
                <c:pt idx="82">
                  <c:v>21/09/2024</c:v>
                </c:pt>
                <c:pt idx="83">
                  <c:v>22/09/2024</c:v>
                </c:pt>
                <c:pt idx="84">
                  <c:v>23/09/2024</c:v>
                </c:pt>
                <c:pt idx="85">
                  <c:v>24/09/2024</c:v>
                </c:pt>
                <c:pt idx="86">
                  <c:v>25/09/2024</c:v>
                </c:pt>
                <c:pt idx="87">
                  <c:v>26/09/2024</c:v>
                </c:pt>
                <c:pt idx="88">
                  <c:v>27/09/2024</c:v>
                </c:pt>
                <c:pt idx="89">
                  <c:v>28/09/2024</c:v>
                </c:pt>
                <c:pt idx="90">
                  <c:v>29/09/2024</c:v>
                </c:pt>
                <c:pt idx="91">
                  <c:v>30/09/2024</c:v>
                </c:pt>
                <c:pt idx="92">
                  <c:v>1/10/2024</c:v>
                </c:pt>
                <c:pt idx="93">
                  <c:v>2/10/2024</c:v>
                </c:pt>
                <c:pt idx="94">
                  <c:v>3/10/2024</c:v>
                </c:pt>
                <c:pt idx="95">
                  <c:v>4/10/2024</c:v>
                </c:pt>
                <c:pt idx="96">
                  <c:v>5/10/2024</c:v>
                </c:pt>
                <c:pt idx="97">
                  <c:v>6/10/2024</c:v>
                </c:pt>
                <c:pt idx="98">
                  <c:v>7/10/2024</c:v>
                </c:pt>
                <c:pt idx="99">
                  <c:v>8/10/2024</c:v>
                </c:pt>
                <c:pt idx="100">
                  <c:v>9/10/2024</c:v>
                </c:pt>
                <c:pt idx="101">
                  <c:v>10/10/2024</c:v>
                </c:pt>
                <c:pt idx="102">
                  <c:v>11/10/2024</c:v>
                </c:pt>
                <c:pt idx="103">
                  <c:v>12/10/2024</c:v>
                </c:pt>
                <c:pt idx="104">
                  <c:v>13/10/2024</c:v>
                </c:pt>
                <c:pt idx="105">
                  <c:v>14/10/2024</c:v>
                </c:pt>
                <c:pt idx="106">
                  <c:v>15/10/2024</c:v>
                </c:pt>
                <c:pt idx="107">
                  <c:v>16/10/2024</c:v>
                </c:pt>
                <c:pt idx="108">
                  <c:v>17/10/2024</c:v>
                </c:pt>
                <c:pt idx="109">
                  <c:v>18/10/2024</c:v>
                </c:pt>
                <c:pt idx="110">
                  <c:v>19/10/2024</c:v>
                </c:pt>
                <c:pt idx="111">
                  <c:v>20/10/2024</c:v>
                </c:pt>
                <c:pt idx="112">
                  <c:v>21/10/2024</c:v>
                </c:pt>
                <c:pt idx="113">
                  <c:v>22/10/2024</c:v>
                </c:pt>
                <c:pt idx="114">
                  <c:v>23/10/2024</c:v>
                </c:pt>
                <c:pt idx="115">
                  <c:v>24/10/2024</c:v>
                </c:pt>
                <c:pt idx="116">
                  <c:v>25/10/2024</c:v>
                </c:pt>
                <c:pt idx="117">
                  <c:v>26/10/2024</c:v>
                </c:pt>
                <c:pt idx="118">
                  <c:v>27/10/2024</c:v>
                </c:pt>
                <c:pt idx="119">
                  <c:v>28/10/2024</c:v>
                </c:pt>
                <c:pt idx="120">
                  <c:v>29/10/2024</c:v>
                </c:pt>
                <c:pt idx="121">
                  <c:v>30/10/2024</c:v>
                </c:pt>
                <c:pt idx="122">
                  <c:v>31/10/2024</c:v>
                </c:pt>
                <c:pt idx="123">
                  <c:v>1/11/2024</c:v>
                </c:pt>
                <c:pt idx="124">
                  <c:v>2/11/2024</c:v>
                </c:pt>
                <c:pt idx="125">
                  <c:v>3/11/2024</c:v>
                </c:pt>
                <c:pt idx="126">
                  <c:v>4/11/2024</c:v>
                </c:pt>
                <c:pt idx="127">
                  <c:v>5/11/2024</c:v>
                </c:pt>
                <c:pt idx="128">
                  <c:v>6/11/2024</c:v>
                </c:pt>
                <c:pt idx="129">
                  <c:v>7/11/2024</c:v>
                </c:pt>
                <c:pt idx="130">
                  <c:v>8/11/2024</c:v>
                </c:pt>
                <c:pt idx="131">
                  <c:v>9/11/2024</c:v>
                </c:pt>
                <c:pt idx="132">
                  <c:v>10/11/2024</c:v>
                </c:pt>
                <c:pt idx="133">
                  <c:v>11/11/2024</c:v>
                </c:pt>
                <c:pt idx="134">
                  <c:v>12/11/2024</c:v>
                </c:pt>
                <c:pt idx="135">
                  <c:v>13/11/2024</c:v>
                </c:pt>
                <c:pt idx="136">
                  <c:v>14/11/2024</c:v>
                </c:pt>
                <c:pt idx="137">
                  <c:v>15/11/2024</c:v>
                </c:pt>
                <c:pt idx="138">
                  <c:v>16/11/2024</c:v>
                </c:pt>
                <c:pt idx="139">
                  <c:v>17/11/2024</c:v>
                </c:pt>
                <c:pt idx="140">
                  <c:v>18/11/2024</c:v>
                </c:pt>
                <c:pt idx="141">
                  <c:v>19/11/2024</c:v>
                </c:pt>
                <c:pt idx="142">
                  <c:v>20/11/2024</c:v>
                </c:pt>
                <c:pt idx="143">
                  <c:v>21/11/2024</c:v>
                </c:pt>
                <c:pt idx="144">
                  <c:v>22/11/2024</c:v>
                </c:pt>
                <c:pt idx="145">
                  <c:v>23/11/2024</c:v>
                </c:pt>
                <c:pt idx="146">
                  <c:v>24/11/2024</c:v>
                </c:pt>
                <c:pt idx="147">
                  <c:v>25/11/2024</c:v>
                </c:pt>
                <c:pt idx="148">
                  <c:v>26/11/2024</c:v>
                </c:pt>
                <c:pt idx="149">
                  <c:v>27/11/2024</c:v>
                </c:pt>
                <c:pt idx="150">
                  <c:v>28/11/2024</c:v>
                </c:pt>
                <c:pt idx="151">
                  <c:v>29/11/2024</c:v>
                </c:pt>
                <c:pt idx="152">
                  <c:v>30/11/2024</c:v>
                </c:pt>
                <c:pt idx="153">
                  <c:v>1/12/2024</c:v>
                </c:pt>
                <c:pt idx="154">
                  <c:v>2/12/2024</c:v>
                </c:pt>
                <c:pt idx="155">
                  <c:v>3/12/2024</c:v>
                </c:pt>
                <c:pt idx="156">
                  <c:v>4/12/2024</c:v>
                </c:pt>
                <c:pt idx="157">
                  <c:v>5/12/2024</c:v>
                </c:pt>
                <c:pt idx="158">
                  <c:v>6/12/2024</c:v>
                </c:pt>
                <c:pt idx="159">
                  <c:v>7/12/2024</c:v>
                </c:pt>
                <c:pt idx="160">
                  <c:v>8/12/2024</c:v>
                </c:pt>
                <c:pt idx="161">
                  <c:v>9/12/2024</c:v>
                </c:pt>
                <c:pt idx="162">
                  <c:v>10/12/2024</c:v>
                </c:pt>
                <c:pt idx="163">
                  <c:v>11/12/2024</c:v>
                </c:pt>
                <c:pt idx="164">
                  <c:v>12/12/2024</c:v>
                </c:pt>
                <c:pt idx="165">
                  <c:v>13/12/2024</c:v>
                </c:pt>
                <c:pt idx="166">
                  <c:v>14/12/2024</c:v>
                </c:pt>
                <c:pt idx="167">
                  <c:v>15/12/2024</c:v>
                </c:pt>
                <c:pt idx="168">
                  <c:v>16/12/2024</c:v>
                </c:pt>
                <c:pt idx="169">
                  <c:v>17/12/2024</c:v>
                </c:pt>
                <c:pt idx="170">
                  <c:v>18/12/2024</c:v>
                </c:pt>
                <c:pt idx="171">
                  <c:v>19/12/2024</c:v>
                </c:pt>
                <c:pt idx="172">
                  <c:v>20/12/2024</c:v>
                </c:pt>
                <c:pt idx="173">
                  <c:v>21/12/2024</c:v>
                </c:pt>
                <c:pt idx="174">
                  <c:v>22/12/2024</c:v>
                </c:pt>
                <c:pt idx="175">
                  <c:v>23/12/2024</c:v>
                </c:pt>
                <c:pt idx="176">
                  <c:v>24/12/2024</c:v>
                </c:pt>
                <c:pt idx="177">
                  <c:v>25/12/2024</c:v>
                </c:pt>
                <c:pt idx="178">
                  <c:v>26/12/2024</c:v>
                </c:pt>
                <c:pt idx="179">
                  <c:v>27/12/2024</c:v>
                </c:pt>
                <c:pt idx="180">
                  <c:v>28/12/2024</c:v>
                </c:pt>
                <c:pt idx="181">
                  <c:v>29/12/2024</c:v>
                </c:pt>
                <c:pt idx="182">
                  <c:v>30/12/2024</c:v>
                </c:pt>
                <c:pt idx="183">
                  <c:v>31/12/2024</c:v>
                </c:pt>
                <c:pt idx="184">
                  <c:v>1/01/2025</c:v>
                </c:pt>
                <c:pt idx="185">
                  <c:v>2/01/2025</c:v>
                </c:pt>
                <c:pt idx="186">
                  <c:v>3/01/2025</c:v>
                </c:pt>
                <c:pt idx="187">
                  <c:v>4/01/2025</c:v>
                </c:pt>
                <c:pt idx="188">
                  <c:v>5/01/2025</c:v>
                </c:pt>
                <c:pt idx="189">
                  <c:v>6/01/2025</c:v>
                </c:pt>
                <c:pt idx="190">
                  <c:v>7/01/2025</c:v>
                </c:pt>
                <c:pt idx="191">
                  <c:v>8/01/2025</c:v>
                </c:pt>
                <c:pt idx="192">
                  <c:v>9/01/2025</c:v>
                </c:pt>
                <c:pt idx="193">
                  <c:v>10/01/2025</c:v>
                </c:pt>
                <c:pt idx="194">
                  <c:v>11/01/2025</c:v>
                </c:pt>
                <c:pt idx="195">
                  <c:v>12/01/2025</c:v>
                </c:pt>
                <c:pt idx="196">
                  <c:v>13/01/2025</c:v>
                </c:pt>
                <c:pt idx="197">
                  <c:v>14/01/2025</c:v>
                </c:pt>
                <c:pt idx="198">
                  <c:v>15/01/2025</c:v>
                </c:pt>
                <c:pt idx="199">
                  <c:v>16/01/2025</c:v>
                </c:pt>
                <c:pt idx="200">
                  <c:v>17/01/2025</c:v>
                </c:pt>
                <c:pt idx="201">
                  <c:v>18/01/2025</c:v>
                </c:pt>
                <c:pt idx="202">
                  <c:v>19/01/2025</c:v>
                </c:pt>
                <c:pt idx="203">
                  <c:v>20/01/2025</c:v>
                </c:pt>
                <c:pt idx="204">
                  <c:v>21/01/2025</c:v>
                </c:pt>
                <c:pt idx="205">
                  <c:v>22/01/2025</c:v>
                </c:pt>
                <c:pt idx="206">
                  <c:v>23/01/2025</c:v>
                </c:pt>
                <c:pt idx="207">
                  <c:v>24/01/2025</c:v>
                </c:pt>
                <c:pt idx="208">
                  <c:v>25/01/2025</c:v>
                </c:pt>
                <c:pt idx="209">
                  <c:v>26/01/2025</c:v>
                </c:pt>
                <c:pt idx="210">
                  <c:v>27/01/2025</c:v>
                </c:pt>
                <c:pt idx="211">
                  <c:v>28/01/2025</c:v>
                </c:pt>
                <c:pt idx="212">
                  <c:v>29/01/2025</c:v>
                </c:pt>
                <c:pt idx="213">
                  <c:v>30/01/2025</c:v>
                </c:pt>
                <c:pt idx="214">
                  <c:v>31/01/2025</c:v>
                </c:pt>
                <c:pt idx="215">
                  <c:v>1/02/2025</c:v>
                </c:pt>
                <c:pt idx="216">
                  <c:v>2/02/2025</c:v>
                </c:pt>
                <c:pt idx="217">
                  <c:v>3/02/2025</c:v>
                </c:pt>
                <c:pt idx="218">
                  <c:v>4/02/2025</c:v>
                </c:pt>
                <c:pt idx="219">
                  <c:v>5/02/2025</c:v>
                </c:pt>
                <c:pt idx="220">
                  <c:v>6/02/2025</c:v>
                </c:pt>
                <c:pt idx="221">
                  <c:v>7/02/2025</c:v>
                </c:pt>
                <c:pt idx="222">
                  <c:v>8/02/2025</c:v>
                </c:pt>
                <c:pt idx="223">
                  <c:v>9/02/2025</c:v>
                </c:pt>
                <c:pt idx="224">
                  <c:v>10/02/2025</c:v>
                </c:pt>
                <c:pt idx="225">
                  <c:v>11/02/2025</c:v>
                </c:pt>
                <c:pt idx="226">
                  <c:v>12/02/2025</c:v>
                </c:pt>
                <c:pt idx="227">
                  <c:v>13/02/2025</c:v>
                </c:pt>
                <c:pt idx="228">
                  <c:v>14/02/2025</c:v>
                </c:pt>
                <c:pt idx="229">
                  <c:v>15/02/2025</c:v>
                </c:pt>
                <c:pt idx="230">
                  <c:v>16/02/2025</c:v>
                </c:pt>
                <c:pt idx="231">
                  <c:v>17/02/2025</c:v>
                </c:pt>
                <c:pt idx="232">
                  <c:v>18/02/2025</c:v>
                </c:pt>
                <c:pt idx="233">
                  <c:v>19/02/2025</c:v>
                </c:pt>
                <c:pt idx="234">
                  <c:v>20/02/2025</c:v>
                </c:pt>
                <c:pt idx="235">
                  <c:v>21/02/2025</c:v>
                </c:pt>
                <c:pt idx="236">
                  <c:v>22/02/2025</c:v>
                </c:pt>
                <c:pt idx="237">
                  <c:v>23/02/2025</c:v>
                </c:pt>
                <c:pt idx="238">
                  <c:v>24/02/2025</c:v>
                </c:pt>
                <c:pt idx="239">
                  <c:v>25/02/2025</c:v>
                </c:pt>
                <c:pt idx="240">
                  <c:v>26/02/2025</c:v>
                </c:pt>
                <c:pt idx="241">
                  <c:v>27/02/2025</c:v>
                </c:pt>
                <c:pt idx="242">
                  <c:v>28/02/2025</c:v>
                </c:pt>
                <c:pt idx="243">
                  <c:v>1/03/2025</c:v>
                </c:pt>
                <c:pt idx="244">
                  <c:v>2/03/2025</c:v>
                </c:pt>
                <c:pt idx="245">
                  <c:v>3/03/2025</c:v>
                </c:pt>
                <c:pt idx="246">
                  <c:v>4/03/2025</c:v>
                </c:pt>
                <c:pt idx="247">
                  <c:v>5/03/2025</c:v>
                </c:pt>
                <c:pt idx="248">
                  <c:v>6/03/2025</c:v>
                </c:pt>
                <c:pt idx="249">
                  <c:v>7/03/2025</c:v>
                </c:pt>
                <c:pt idx="250">
                  <c:v>8/03/2025</c:v>
                </c:pt>
                <c:pt idx="251">
                  <c:v>9/03/2025</c:v>
                </c:pt>
                <c:pt idx="252">
                  <c:v>10/03/2025</c:v>
                </c:pt>
                <c:pt idx="253">
                  <c:v>11/03/2025</c:v>
                </c:pt>
                <c:pt idx="254">
                  <c:v>12/03/2025</c:v>
                </c:pt>
                <c:pt idx="255">
                  <c:v>13/03/2025</c:v>
                </c:pt>
                <c:pt idx="256">
                  <c:v>14/03/2025</c:v>
                </c:pt>
                <c:pt idx="257">
                  <c:v>15/03/2025</c:v>
                </c:pt>
                <c:pt idx="258">
                  <c:v>16/03/2025</c:v>
                </c:pt>
                <c:pt idx="259">
                  <c:v>17/03/2025</c:v>
                </c:pt>
                <c:pt idx="260">
                  <c:v>18/03/2025</c:v>
                </c:pt>
                <c:pt idx="261">
                  <c:v>19/03/2025</c:v>
                </c:pt>
                <c:pt idx="262">
                  <c:v>20/03/2025</c:v>
                </c:pt>
                <c:pt idx="263">
                  <c:v>21/03/2025</c:v>
                </c:pt>
                <c:pt idx="264">
                  <c:v>22/03/2025</c:v>
                </c:pt>
                <c:pt idx="265">
                  <c:v>23/03/2025</c:v>
                </c:pt>
                <c:pt idx="266">
                  <c:v>24/03/2025</c:v>
                </c:pt>
                <c:pt idx="267">
                  <c:v>25/03/2025</c:v>
                </c:pt>
                <c:pt idx="268">
                  <c:v>26/03/2025</c:v>
                </c:pt>
                <c:pt idx="269">
                  <c:v>27/03/2025</c:v>
                </c:pt>
                <c:pt idx="270">
                  <c:v>28/03/2025</c:v>
                </c:pt>
                <c:pt idx="271">
                  <c:v>29/03/2025</c:v>
                </c:pt>
                <c:pt idx="272">
                  <c:v>30/03/2025</c:v>
                </c:pt>
                <c:pt idx="273">
                  <c:v>31/03/2025</c:v>
                </c:pt>
                <c:pt idx="274">
                  <c:v>1/04/2025</c:v>
                </c:pt>
                <c:pt idx="275">
                  <c:v>2/04/2025</c:v>
                </c:pt>
                <c:pt idx="276">
                  <c:v>3/04/2025</c:v>
                </c:pt>
                <c:pt idx="277">
                  <c:v>4/04/2025</c:v>
                </c:pt>
                <c:pt idx="278">
                  <c:v>5/04/2025</c:v>
                </c:pt>
                <c:pt idx="279">
                  <c:v>6/04/2025</c:v>
                </c:pt>
                <c:pt idx="280">
                  <c:v>7/04/2025</c:v>
                </c:pt>
                <c:pt idx="281">
                  <c:v>8/04/2025</c:v>
                </c:pt>
                <c:pt idx="282">
                  <c:v>9/04/2025</c:v>
                </c:pt>
                <c:pt idx="283">
                  <c:v>10/04/2025</c:v>
                </c:pt>
                <c:pt idx="284">
                  <c:v>11/04/2025</c:v>
                </c:pt>
                <c:pt idx="285">
                  <c:v>12/04/2025</c:v>
                </c:pt>
                <c:pt idx="286">
                  <c:v>13/04/2025</c:v>
                </c:pt>
                <c:pt idx="287">
                  <c:v>14/04/2025</c:v>
                </c:pt>
                <c:pt idx="288">
                  <c:v>15/04/2025</c:v>
                </c:pt>
                <c:pt idx="289">
                  <c:v>16/04/2025</c:v>
                </c:pt>
                <c:pt idx="290">
                  <c:v>17/04/2025</c:v>
                </c:pt>
                <c:pt idx="291">
                  <c:v>18/04/2025</c:v>
                </c:pt>
                <c:pt idx="292">
                  <c:v>19/04/2025</c:v>
                </c:pt>
                <c:pt idx="293">
                  <c:v>20/04/2025</c:v>
                </c:pt>
                <c:pt idx="294">
                  <c:v>21/04/2025</c:v>
                </c:pt>
                <c:pt idx="295">
                  <c:v>22/04/2025</c:v>
                </c:pt>
                <c:pt idx="296">
                  <c:v>23/04/2025</c:v>
                </c:pt>
                <c:pt idx="297">
                  <c:v>24/04/2025</c:v>
                </c:pt>
                <c:pt idx="298">
                  <c:v>25/04/2025</c:v>
                </c:pt>
                <c:pt idx="299">
                  <c:v>26/04/2025</c:v>
                </c:pt>
                <c:pt idx="300">
                  <c:v>27/04/2025</c:v>
                </c:pt>
                <c:pt idx="301">
                  <c:v>28/04/2025</c:v>
                </c:pt>
                <c:pt idx="302">
                  <c:v>29/04/2025</c:v>
                </c:pt>
                <c:pt idx="303">
                  <c:v>30/04/2025</c:v>
                </c:pt>
                <c:pt idx="304">
                  <c:v>1/05/2025</c:v>
                </c:pt>
                <c:pt idx="305">
                  <c:v>2/05/2025</c:v>
                </c:pt>
                <c:pt idx="306">
                  <c:v>3/05/2025</c:v>
                </c:pt>
                <c:pt idx="307">
                  <c:v>4/05/2025</c:v>
                </c:pt>
                <c:pt idx="308">
                  <c:v>5/05/2025</c:v>
                </c:pt>
                <c:pt idx="309">
                  <c:v>6/05/2025</c:v>
                </c:pt>
                <c:pt idx="310">
                  <c:v>7/05/2025</c:v>
                </c:pt>
                <c:pt idx="311">
                  <c:v>8/05/2025</c:v>
                </c:pt>
                <c:pt idx="312">
                  <c:v>9/05/2025</c:v>
                </c:pt>
                <c:pt idx="313">
                  <c:v>10/05/2025</c:v>
                </c:pt>
                <c:pt idx="314">
                  <c:v>11/05/2025</c:v>
                </c:pt>
                <c:pt idx="315">
                  <c:v>12/05/2025</c:v>
                </c:pt>
                <c:pt idx="316">
                  <c:v>13/05/2025</c:v>
                </c:pt>
                <c:pt idx="317">
                  <c:v>14/05/2025</c:v>
                </c:pt>
                <c:pt idx="318">
                  <c:v>15/05/2025</c:v>
                </c:pt>
                <c:pt idx="319">
                  <c:v>16/05/2025</c:v>
                </c:pt>
                <c:pt idx="320">
                  <c:v>17/05/2025</c:v>
                </c:pt>
                <c:pt idx="321">
                  <c:v>18/05/2025</c:v>
                </c:pt>
                <c:pt idx="322">
                  <c:v>19/05/2025</c:v>
                </c:pt>
                <c:pt idx="323">
                  <c:v>20/05/2025</c:v>
                </c:pt>
                <c:pt idx="324">
                  <c:v>21/05/2025</c:v>
                </c:pt>
                <c:pt idx="325">
                  <c:v>22/05/2025</c:v>
                </c:pt>
                <c:pt idx="326">
                  <c:v>23/05/2025</c:v>
                </c:pt>
                <c:pt idx="327">
                  <c:v>24/05/2025</c:v>
                </c:pt>
                <c:pt idx="328">
                  <c:v>25/05/2025</c:v>
                </c:pt>
                <c:pt idx="329">
                  <c:v>26/05/2025</c:v>
                </c:pt>
                <c:pt idx="330">
                  <c:v>27/05/2025</c:v>
                </c:pt>
                <c:pt idx="331">
                  <c:v>28/05/2025</c:v>
                </c:pt>
                <c:pt idx="332">
                  <c:v>29/05/2025</c:v>
                </c:pt>
                <c:pt idx="333">
                  <c:v>30/05/2025</c:v>
                </c:pt>
                <c:pt idx="334">
                  <c:v>31/05/2025</c:v>
                </c:pt>
                <c:pt idx="335">
                  <c:v>1/06/2025</c:v>
                </c:pt>
                <c:pt idx="336">
                  <c:v>2/06/2025</c:v>
                </c:pt>
                <c:pt idx="337">
                  <c:v>3/06/2025</c:v>
                </c:pt>
                <c:pt idx="338">
                  <c:v>4/06/2025</c:v>
                </c:pt>
                <c:pt idx="339">
                  <c:v>5/06/2025</c:v>
                </c:pt>
                <c:pt idx="340">
                  <c:v>6/06/2025</c:v>
                </c:pt>
                <c:pt idx="341">
                  <c:v>7/06/2025</c:v>
                </c:pt>
                <c:pt idx="342">
                  <c:v>8/06/2025</c:v>
                </c:pt>
                <c:pt idx="343">
                  <c:v>9/06/2025</c:v>
                </c:pt>
                <c:pt idx="344">
                  <c:v>10/06/2025</c:v>
                </c:pt>
                <c:pt idx="345">
                  <c:v>11/06/2025</c:v>
                </c:pt>
                <c:pt idx="346">
                  <c:v>12/06/2025</c:v>
                </c:pt>
                <c:pt idx="347">
                  <c:v>13/06/2025</c:v>
                </c:pt>
                <c:pt idx="348">
                  <c:v>14/06/2025</c:v>
                </c:pt>
                <c:pt idx="349">
                  <c:v>15/06/2025</c:v>
                </c:pt>
                <c:pt idx="350">
                  <c:v>16/06/2025</c:v>
                </c:pt>
                <c:pt idx="351">
                  <c:v>17/06/2025</c:v>
                </c:pt>
                <c:pt idx="352">
                  <c:v>18/06/2025</c:v>
                </c:pt>
                <c:pt idx="353">
                  <c:v>19/06/2025</c:v>
                </c:pt>
                <c:pt idx="354">
                  <c:v>20/06/2025</c:v>
                </c:pt>
                <c:pt idx="355">
                  <c:v>21/06/2025</c:v>
                </c:pt>
                <c:pt idx="356">
                  <c:v>22/06/2025</c:v>
                </c:pt>
                <c:pt idx="357">
                  <c:v>23/06/2025</c:v>
                </c:pt>
                <c:pt idx="358">
                  <c:v>24/06/2025</c:v>
                </c:pt>
                <c:pt idx="359">
                  <c:v>25/06/2025</c:v>
                </c:pt>
                <c:pt idx="360">
                  <c:v>26/06/2025</c:v>
                </c:pt>
                <c:pt idx="361">
                  <c:v>27/06/2025</c:v>
                </c:pt>
                <c:pt idx="362">
                  <c:v>28/06/2025</c:v>
                </c:pt>
                <c:pt idx="363">
                  <c:v>29/06/2025</c:v>
                </c:pt>
                <c:pt idx="364">
                  <c:v>30/06/2025</c:v>
                </c:pt>
              </c:strCache>
            </c:strRef>
          </c:cat>
          <c:val>
            <c:numRef>
              <c:f>'5. Historical demand'!$E$43:$E$408</c:f>
              <c:numCache>
                <c:formatCode>_(* #,##0_);_(* \(#,##0\);_(* "-"_);_(@_)</c:formatCode>
                <c:ptCount val="366"/>
                <c:pt idx="0">
                  <c:v>150.53399999999999</c:v>
                </c:pt>
                <c:pt idx="1">
                  <c:v>155.05099999999999</c:v>
                </c:pt>
                <c:pt idx="2">
                  <c:v>158.85900000000001</c:v>
                </c:pt>
                <c:pt idx="3">
                  <c:v>163.96199999999999</c:v>
                </c:pt>
                <c:pt idx="4">
                  <c:v>156.05199999999999</c:v>
                </c:pt>
                <c:pt idx="5">
                  <c:v>108</c:v>
                </c:pt>
                <c:pt idx="6">
                  <c:v>125.041</c:v>
                </c:pt>
                <c:pt idx="7">
                  <c:v>134.066</c:v>
                </c:pt>
                <c:pt idx="8">
                  <c:v>135.999</c:v>
                </c:pt>
                <c:pt idx="9">
                  <c:v>128.042</c:v>
                </c:pt>
                <c:pt idx="10">
                  <c:v>122.038</c:v>
                </c:pt>
                <c:pt idx="11">
                  <c:v>137.03700000000001</c:v>
                </c:pt>
                <c:pt idx="12">
                  <c:v>131.04</c:v>
                </c:pt>
                <c:pt idx="13">
                  <c:v>126.051</c:v>
                </c:pt>
                <c:pt idx="14">
                  <c:v>87.906000000000006</c:v>
                </c:pt>
                <c:pt idx="15">
                  <c:v>71.849999999999994</c:v>
                </c:pt>
                <c:pt idx="16">
                  <c:v>107.03400000000001</c:v>
                </c:pt>
                <c:pt idx="17">
                  <c:v>94.037999999999997</c:v>
                </c:pt>
                <c:pt idx="18">
                  <c:v>87.037000000000006</c:v>
                </c:pt>
                <c:pt idx="19">
                  <c:v>96.54</c:v>
                </c:pt>
                <c:pt idx="20">
                  <c:v>81.539000000000001</c:v>
                </c:pt>
                <c:pt idx="21">
                  <c:v>55.04</c:v>
                </c:pt>
                <c:pt idx="22">
                  <c:v>89.04</c:v>
                </c:pt>
                <c:pt idx="23">
                  <c:v>64.046000000000006</c:v>
                </c:pt>
                <c:pt idx="24">
                  <c:v>87.445999999999998</c:v>
                </c:pt>
                <c:pt idx="25">
                  <c:v>104.04300000000001</c:v>
                </c:pt>
                <c:pt idx="26">
                  <c:v>99.046000000000006</c:v>
                </c:pt>
                <c:pt idx="27">
                  <c:v>93.046000000000006</c:v>
                </c:pt>
                <c:pt idx="28">
                  <c:v>115.047</c:v>
                </c:pt>
                <c:pt idx="29">
                  <c:v>121.04600000000001</c:v>
                </c:pt>
                <c:pt idx="30">
                  <c:v>109.048</c:v>
                </c:pt>
                <c:pt idx="31">
                  <c:v>109.048</c:v>
                </c:pt>
                <c:pt idx="32">
                  <c:v>91.364999999999995</c:v>
                </c:pt>
                <c:pt idx="33">
                  <c:v>73.042000000000002</c:v>
                </c:pt>
                <c:pt idx="34">
                  <c:v>66.036000000000001</c:v>
                </c:pt>
                <c:pt idx="35">
                  <c:v>111.03700000000001</c:v>
                </c:pt>
                <c:pt idx="36">
                  <c:v>107.051</c:v>
                </c:pt>
                <c:pt idx="37">
                  <c:v>75.051000000000002</c:v>
                </c:pt>
                <c:pt idx="38">
                  <c:v>103.833</c:v>
                </c:pt>
                <c:pt idx="39">
                  <c:v>164.05</c:v>
                </c:pt>
                <c:pt idx="40">
                  <c:v>140.05099999999999</c:v>
                </c:pt>
                <c:pt idx="41">
                  <c:v>149.84299999999999</c:v>
                </c:pt>
                <c:pt idx="42">
                  <c:v>164</c:v>
                </c:pt>
                <c:pt idx="43">
                  <c:v>162.05199999999999</c:v>
                </c:pt>
                <c:pt idx="44">
                  <c:v>30.05</c:v>
                </c:pt>
                <c:pt idx="45">
                  <c:v>51.04</c:v>
                </c:pt>
                <c:pt idx="46">
                  <c:v>25.541</c:v>
                </c:pt>
                <c:pt idx="47">
                  <c:v>93.549000000000007</c:v>
                </c:pt>
                <c:pt idx="48">
                  <c:v>65.049000000000007</c:v>
                </c:pt>
                <c:pt idx="49">
                  <c:v>157.46</c:v>
                </c:pt>
                <c:pt idx="50">
                  <c:v>137.047</c:v>
                </c:pt>
                <c:pt idx="51">
                  <c:v>68.046000000000006</c:v>
                </c:pt>
                <c:pt idx="52">
                  <c:v>99.05</c:v>
                </c:pt>
                <c:pt idx="53">
                  <c:v>5.1829999999999998</c:v>
                </c:pt>
                <c:pt idx="54">
                  <c:v>7.5999999999999943</c:v>
                </c:pt>
                <c:pt idx="55">
                  <c:v>-0.39300000000000068</c:v>
                </c:pt>
                <c:pt idx="56">
                  <c:v>1.9309999999999974</c:v>
                </c:pt>
                <c:pt idx="57">
                  <c:v>11.000999999999999</c:v>
                </c:pt>
                <c:pt idx="58">
                  <c:v>5.3710000000000004</c:v>
                </c:pt>
                <c:pt idx="59">
                  <c:v>12.286999999999999</c:v>
                </c:pt>
                <c:pt idx="60">
                  <c:v>-3.4560000000000004</c:v>
                </c:pt>
                <c:pt idx="61">
                  <c:v>1.3269999999999982</c:v>
                </c:pt>
                <c:pt idx="62">
                  <c:v>1.2560000000000002</c:v>
                </c:pt>
                <c:pt idx="63">
                  <c:v>120.048</c:v>
                </c:pt>
                <c:pt idx="64">
                  <c:v>163.03899999999999</c:v>
                </c:pt>
                <c:pt idx="65">
                  <c:v>163.04</c:v>
                </c:pt>
                <c:pt idx="66">
                  <c:v>118.04900000000001</c:v>
                </c:pt>
                <c:pt idx="67">
                  <c:v>105.05</c:v>
                </c:pt>
                <c:pt idx="68">
                  <c:v>40.049999999999997</c:v>
                </c:pt>
                <c:pt idx="69">
                  <c:v>45.994999999999997</c:v>
                </c:pt>
                <c:pt idx="70">
                  <c:v>62.05</c:v>
                </c:pt>
                <c:pt idx="71">
                  <c:v>62.999000000000002</c:v>
                </c:pt>
                <c:pt idx="72">
                  <c:v>32.049999999999997</c:v>
                </c:pt>
                <c:pt idx="73">
                  <c:v>0.248</c:v>
                </c:pt>
                <c:pt idx="74">
                  <c:v>9.5129999999999999</c:v>
                </c:pt>
                <c:pt idx="75">
                  <c:v>4.4619999999999997</c:v>
                </c:pt>
                <c:pt idx="76">
                  <c:v>-3.1129999999999995</c:v>
                </c:pt>
                <c:pt idx="77">
                  <c:v>5.4950000000000001</c:v>
                </c:pt>
                <c:pt idx="78">
                  <c:v>7.0810000000000004</c:v>
                </c:pt>
                <c:pt idx="79">
                  <c:v>9.0120000000000005</c:v>
                </c:pt>
                <c:pt idx="80">
                  <c:v>42.287999999999997</c:v>
                </c:pt>
                <c:pt idx="81">
                  <c:v>84.287999999999997</c:v>
                </c:pt>
                <c:pt idx="82">
                  <c:v>56.290999999999997</c:v>
                </c:pt>
                <c:pt idx="83">
                  <c:v>54.286999999999999</c:v>
                </c:pt>
                <c:pt idx="84">
                  <c:v>102.04900000000001</c:v>
                </c:pt>
                <c:pt idx="85">
                  <c:v>80.05</c:v>
                </c:pt>
                <c:pt idx="86">
                  <c:v>119.04900000000001</c:v>
                </c:pt>
                <c:pt idx="87">
                  <c:v>78.716999999999999</c:v>
                </c:pt>
                <c:pt idx="88">
                  <c:v>97.283000000000001</c:v>
                </c:pt>
                <c:pt idx="89">
                  <c:v>55.786999999999999</c:v>
                </c:pt>
                <c:pt idx="90">
                  <c:v>76.287999999999997</c:v>
                </c:pt>
                <c:pt idx="91">
                  <c:v>82.287000000000006</c:v>
                </c:pt>
                <c:pt idx="92">
                  <c:v>67.042000000000002</c:v>
                </c:pt>
                <c:pt idx="93">
                  <c:v>16.318000000000001</c:v>
                </c:pt>
                <c:pt idx="94">
                  <c:v>0.309</c:v>
                </c:pt>
                <c:pt idx="95">
                  <c:v>0</c:v>
                </c:pt>
                <c:pt idx="96">
                  <c:v>25.808</c:v>
                </c:pt>
                <c:pt idx="97">
                  <c:v>5.0490000000000004</c:v>
                </c:pt>
                <c:pt idx="98">
                  <c:v>47.31</c:v>
                </c:pt>
                <c:pt idx="99">
                  <c:v>88.31</c:v>
                </c:pt>
                <c:pt idx="100">
                  <c:v>97.29</c:v>
                </c:pt>
                <c:pt idx="101">
                  <c:v>0</c:v>
                </c:pt>
                <c:pt idx="102">
                  <c:v>0</c:v>
                </c:pt>
                <c:pt idx="103">
                  <c:v>88.308999999999997</c:v>
                </c:pt>
                <c:pt idx="104">
                  <c:v>68.811000000000007</c:v>
                </c:pt>
                <c:pt idx="105">
                  <c:v>87.05</c:v>
                </c:pt>
                <c:pt idx="106">
                  <c:v>91.073999999999998</c:v>
                </c:pt>
                <c:pt idx="107">
                  <c:v>75.304000000000002</c:v>
                </c:pt>
                <c:pt idx="108">
                  <c:v>92.305999999999997</c:v>
                </c:pt>
                <c:pt idx="109">
                  <c:v>88.305000000000007</c:v>
                </c:pt>
                <c:pt idx="110">
                  <c:v>82.305000000000007</c:v>
                </c:pt>
                <c:pt idx="111">
                  <c:v>80.305999999999997</c:v>
                </c:pt>
                <c:pt idx="112">
                  <c:v>26.074999999999999</c:v>
                </c:pt>
                <c:pt idx="113">
                  <c:v>71.075000000000003</c:v>
                </c:pt>
                <c:pt idx="114">
                  <c:v>92</c:v>
                </c:pt>
                <c:pt idx="115">
                  <c:v>163.99100000000001</c:v>
                </c:pt>
                <c:pt idx="116">
                  <c:v>163.995</c:v>
                </c:pt>
                <c:pt idx="117">
                  <c:v>87.311999999999998</c:v>
                </c:pt>
                <c:pt idx="118">
                  <c:v>82.075000000000003</c:v>
                </c:pt>
                <c:pt idx="119">
                  <c:v>31.31</c:v>
                </c:pt>
                <c:pt idx="120">
                  <c:v>76.31</c:v>
                </c:pt>
                <c:pt idx="121">
                  <c:v>92.804000000000002</c:v>
                </c:pt>
                <c:pt idx="122">
                  <c:v>95.56</c:v>
                </c:pt>
                <c:pt idx="123">
                  <c:v>82.539000000000001</c:v>
                </c:pt>
                <c:pt idx="124">
                  <c:v>39.539000000000001</c:v>
                </c:pt>
                <c:pt idx="125">
                  <c:v>54.987000000000002</c:v>
                </c:pt>
                <c:pt idx="126">
                  <c:v>68.8</c:v>
                </c:pt>
                <c:pt idx="127">
                  <c:v>78.539000000000001</c:v>
                </c:pt>
                <c:pt idx="128">
                  <c:v>75.037999999999997</c:v>
                </c:pt>
                <c:pt idx="129">
                  <c:v>80.287000000000006</c:v>
                </c:pt>
                <c:pt idx="130">
                  <c:v>104.051</c:v>
                </c:pt>
                <c:pt idx="131">
                  <c:v>116.05</c:v>
                </c:pt>
                <c:pt idx="132">
                  <c:v>106.28400000000001</c:v>
                </c:pt>
                <c:pt idx="133">
                  <c:v>121.044</c:v>
                </c:pt>
                <c:pt idx="134">
                  <c:v>125.048</c:v>
                </c:pt>
                <c:pt idx="135">
                  <c:v>125.05</c:v>
                </c:pt>
                <c:pt idx="136">
                  <c:v>106.78700000000001</c:v>
                </c:pt>
                <c:pt idx="137">
                  <c:v>108.289</c:v>
                </c:pt>
                <c:pt idx="138">
                  <c:v>122.042</c:v>
                </c:pt>
                <c:pt idx="139">
                  <c:v>125.72</c:v>
                </c:pt>
                <c:pt idx="140">
                  <c:v>114.292</c:v>
                </c:pt>
                <c:pt idx="141">
                  <c:v>115.292</c:v>
                </c:pt>
                <c:pt idx="142">
                  <c:v>114.80200000000001</c:v>
                </c:pt>
                <c:pt idx="143">
                  <c:v>118.788</c:v>
                </c:pt>
                <c:pt idx="144">
                  <c:v>112.783</c:v>
                </c:pt>
                <c:pt idx="145">
                  <c:v>101.282</c:v>
                </c:pt>
                <c:pt idx="146">
                  <c:v>118.04900000000001</c:v>
                </c:pt>
                <c:pt idx="147">
                  <c:v>123.048</c:v>
                </c:pt>
                <c:pt idx="148">
                  <c:v>129.71899999999999</c:v>
                </c:pt>
                <c:pt idx="149">
                  <c:v>139.048</c:v>
                </c:pt>
                <c:pt idx="150">
                  <c:v>163.72</c:v>
                </c:pt>
                <c:pt idx="151">
                  <c:v>163.999</c:v>
                </c:pt>
                <c:pt idx="152">
                  <c:v>158.05099999999999</c:v>
                </c:pt>
                <c:pt idx="153">
                  <c:v>124.22</c:v>
                </c:pt>
                <c:pt idx="154">
                  <c:v>111.68600000000001</c:v>
                </c:pt>
                <c:pt idx="155">
                  <c:v>103.551</c:v>
                </c:pt>
                <c:pt idx="156">
                  <c:v>108.05</c:v>
                </c:pt>
                <c:pt idx="157">
                  <c:v>112.381</c:v>
                </c:pt>
                <c:pt idx="158">
                  <c:v>112.05</c:v>
                </c:pt>
                <c:pt idx="159">
                  <c:v>104.931</c:v>
                </c:pt>
                <c:pt idx="160">
                  <c:v>114.932</c:v>
                </c:pt>
                <c:pt idx="161">
                  <c:v>127.54300000000001</c:v>
                </c:pt>
                <c:pt idx="162">
                  <c:v>144.05099999999999</c:v>
                </c:pt>
                <c:pt idx="163">
                  <c:v>128.05000000000001</c:v>
                </c:pt>
                <c:pt idx="164">
                  <c:v>132.041</c:v>
                </c:pt>
                <c:pt idx="165">
                  <c:v>131.05000000000001</c:v>
                </c:pt>
                <c:pt idx="166">
                  <c:v>121.881</c:v>
                </c:pt>
                <c:pt idx="167">
                  <c:v>132</c:v>
                </c:pt>
                <c:pt idx="168">
                  <c:v>161.34800000000001</c:v>
                </c:pt>
                <c:pt idx="169">
                  <c:v>138.73699999999999</c:v>
                </c:pt>
                <c:pt idx="170">
                  <c:v>124.557</c:v>
                </c:pt>
                <c:pt idx="171">
                  <c:v>78.866</c:v>
                </c:pt>
                <c:pt idx="172">
                  <c:v>66.867999999999995</c:v>
                </c:pt>
                <c:pt idx="173">
                  <c:v>74.570999999999998</c:v>
                </c:pt>
                <c:pt idx="174">
                  <c:v>57.468000000000004</c:v>
                </c:pt>
                <c:pt idx="175">
                  <c:v>76.05</c:v>
                </c:pt>
                <c:pt idx="176">
                  <c:v>88.028000000000006</c:v>
                </c:pt>
                <c:pt idx="177">
                  <c:v>51.470999999999997</c:v>
                </c:pt>
                <c:pt idx="178">
                  <c:v>46.12</c:v>
                </c:pt>
                <c:pt idx="179">
                  <c:v>37.968000000000004</c:v>
                </c:pt>
                <c:pt idx="180">
                  <c:v>36.47</c:v>
                </c:pt>
                <c:pt idx="181">
                  <c:v>50.470999999999997</c:v>
                </c:pt>
                <c:pt idx="182">
                  <c:v>41.470999999999997</c:v>
                </c:pt>
                <c:pt idx="183">
                  <c:v>48.189</c:v>
                </c:pt>
                <c:pt idx="184">
                  <c:v>88.05</c:v>
                </c:pt>
                <c:pt idx="185">
                  <c:v>75.051000000000002</c:v>
                </c:pt>
                <c:pt idx="186">
                  <c:v>31.899000000000001</c:v>
                </c:pt>
                <c:pt idx="187">
                  <c:v>39.896999999999998</c:v>
                </c:pt>
                <c:pt idx="188">
                  <c:v>95.897000000000006</c:v>
                </c:pt>
                <c:pt idx="189">
                  <c:v>63.898000000000003</c:v>
                </c:pt>
                <c:pt idx="190">
                  <c:v>53.866999999999997</c:v>
                </c:pt>
                <c:pt idx="191">
                  <c:v>70.822000000000003</c:v>
                </c:pt>
                <c:pt idx="192">
                  <c:v>65.78</c:v>
                </c:pt>
                <c:pt idx="193">
                  <c:v>72.813000000000002</c:v>
                </c:pt>
                <c:pt idx="194">
                  <c:v>97.164000000000001</c:v>
                </c:pt>
                <c:pt idx="195">
                  <c:v>63.817999999999998</c:v>
                </c:pt>
                <c:pt idx="196">
                  <c:v>119.21899999999999</c:v>
                </c:pt>
                <c:pt idx="197">
                  <c:v>133.05000000000001</c:v>
                </c:pt>
                <c:pt idx="198">
                  <c:v>132.833</c:v>
                </c:pt>
                <c:pt idx="199">
                  <c:v>101.55</c:v>
                </c:pt>
                <c:pt idx="200">
                  <c:v>102.063</c:v>
                </c:pt>
                <c:pt idx="201">
                  <c:v>66.816999999999993</c:v>
                </c:pt>
                <c:pt idx="202">
                  <c:v>65.518000000000001</c:v>
                </c:pt>
                <c:pt idx="203">
                  <c:v>96.816999999999993</c:v>
                </c:pt>
                <c:pt idx="204">
                  <c:v>79.816999999999993</c:v>
                </c:pt>
                <c:pt idx="205">
                  <c:v>112.318</c:v>
                </c:pt>
                <c:pt idx="206">
                  <c:v>132.001</c:v>
                </c:pt>
                <c:pt idx="207">
                  <c:v>164.04400000000001</c:v>
                </c:pt>
                <c:pt idx="208">
                  <c:v>94.706000000000003</c:v>
                </c:pt>
                <c:pt idx="209">
                  <c:v>89.998999999999995</c:v>
                </c:pt>
                <c:pt idx="210">
                  <c:v>74.995999999999995</c:v>
                </c:pt>
                <c:pt idx="211">
                  <c:v>102.51600000000001</c:v>
                </c:pt>
                <c:pt idx="212">
                  <c:v>102.67</c:v>
                </c:pt>
                <c:pt idx="213">
                  <c:v>105.812</c:v>
                </c:pt>
                <c:pt idx="214">
                  <c:v>110.809</c:v>
                </c:pt>
                <c:pt idx="215">
                  <c:v>89.789000000000001</c:v>
                </c:pt>
                <c:pt idx="216">
                  <c:v>44.780999999999999</c:v>
                </c:pt>
                <c:pt idx="217">
                  <c:v>124.776</c:v>
                </c:pt>
                <c:pt idx="218">
                  <c:v>144.77000000000001</c:v>
                </c:pt>
                <c:pt idx="219">
                  <c:v>43.881</c:v>
                </c:pt>
                <c:pt idx="220">
                  <c:v>132.98400000000001</c:v>
                </c:pt>
                <c:pt idx="221">
                  <c:v>113.21</c:v>
                </c:pt>
                <c:pt idx="222">
                  <c:v>64.381</c:v>
                </c:pt>
                <c:pt idx="223">
                  <c:v>48.381999999999998</c:v>
                </c:pt>
                <c:pt idx="224">
                  <c:v>78.882000000000005</c:v>
                </c:pt>
                <c:pt idx="225">
                  <c:v>66.882000000000005</c:v>
                </c:pt>
                <c:pt idx="226">
                  <c:v>100.881</c:v>
                </c:pt>
                <c:pt idx="227">
                  <c:v>67.882000000000005</c:v>
                </c:pt>
                <c:pt idx="228">
                  <c:v>59.877000000000002</c:v>
                </c:pt>
                <c:pt idx="229">
                  <c:v>59.881999999999998</c:v>
                </c:pt>
                <c:pt idx="230">
                  <c:v>100.88</c:v>
                </c:pt>
                <c:pt idx="231">
                  <c:v>36.609000000000002</c:v>
                </c:pt>
                <c:pt idx="232">
                  <c:v>74.881</c:v>
                </c:pt>
                <c:pt idx="233">
                  <c:v>65.882999999999996</c:v>
                </c:pt>
                <c:pt idx="234">
                  <c:v>72.881</c:v>
                </c:pt>
                <c:pt idx="235">
                  <c:v>146.042</c:v>
                </c:pt>
                <c:pt idx="236">
                  <c:v>138.88200000000001</c:v>
                </c:pt>
                <c:pt idx="237">
                  <c:v>125.372</c:v>
                </c:pt>
                <c:pt idx="238">
                  <c:v>161.85</c:v>
                </c:pt>
                <c:pt idx="239">
                  <c:v>145.048</c:v>
                </c:pt>
                <c:pt idx="240">
                  <c:v>162.04599999999999</c:v>
                </c:pt>
                <c:pt idx="241">
                  <c:v>160.04900000000001</c:v>
                </c:pt>
                <c:pt idx="242">
                  <c:v>164.04400000000001</c:v>
                </c:pt>
                <c:pt idx="243">
                  <c:v>163.92500000000001</c:v>
                </c:pt>
                <c:pt idx="244">
                  <c:v>17.488</c:v>
                </c:pt>
                <c:pt idx="245">
                  <c:v>-4.4350000000000023</c:v>
                </c:pt>
                <c:pt idx="246">
                  <c:v>18.282</c:v>
                </c:pt>
                <c:pt idx="247">
                  <c:v>121.081</c:v>
                </c:pt>
                <c:pt idx="248">
                  <c:v>163.57599999999999</c:v>
                </c:pt>
                <c:pt idx="249">
                  <c:v>163.99100000000001</c:v>
                </c:pt>
                <c:pt idx="250">
                  <c:v>158.05099999999999</c:v>
                </c:pt>
                <c:pt idx="251">
                  <c:v>134.08099999999999</c:v>
                </c:pt>
                <c:pt idx="252">
                  <c:v>102.751</c:v>
                </c:pt>
                <c:pt idx="253">
                  <c:v>97.051000000000002</c:v>
                </c:pt>
                <c:pt idx="254">
                  <c:v>96.742999999999995</c:v>
                </c:pt>
                <c:pt idx="255">
                  <c:v>46.676000000000002</c:v>
                </c:pt>
                <c:pt idx="256">
                  <c:v>51.176000000000002</c:v>
                </c:pt>
                <c:pt idx="257">
                  <c:v>26.175999999999998</c:v>
                </c:pt>
                <c:pt idx="258">
                  <c:v>35.177</c:v>
                </c:pt>
                <c:pt idx="259">
                  <c:v>21.271999999999998</c:v>
                </c:pt>
                <c:pt idx="260">
                  <c:v>24.67</c:v>
                </c:pt>
                <c:pt idx="261">
                  <c:v>18.172000000000001</c:v>
                </c:pt>
                <c:pt idx="262">
                  <c:v>17.177</c:v>
                </c:pt>
                <c:pt idx="263">
                  <c:v>12.186999999999999</c:v>
                </c:pt>
                <c:pt idx="264">
                  <c:v>53.067999999999998</c:v>
                </c:pt>
                <c:pt idx="265">
                  <c:v>22.082999999999998</c:v>
                </c:pt>
                <c:pt idx="266">
                  <c:v>54.073999999999998</c:v>
                </c:pt>
                <c:pt idx="267">
                  <c:v>11.994</c:v>
                </c:pt>
                <c:pt idx="268">
                  <c:v>58.781999999999996</c:v>
                </c:pt>
                <c:pt idx="269">
                  <c:v>96.849000000000004</c:v>
                </c:pt>
                <c:pt idx="270">
                  <c:v>98.05</c:v>
                </c:pt>
                <c:pt idx="271">
                  <c:v>23.582000000000001</c:v>
                </c:pt>
                <c:pt idx="272">
                  <c:v>62.381999999999998</c:v>
                </c:pt>
                <c:pt idx="273">
                  <c:v>33.381999999999998</c:v>
                </c:pt>
                <c:pt idx="274">
                  <c:v>61.613999999999997</c:v>
                </c:pt>
                <c:pt idx="275">
                  <c:v>75.042000000000002</c:v>
                </c:pt>
                <c:pt idx="276">
                  <c:v>77.05</c:v>
                </c:pt>
                <c:pt idx="277">
                  <c:v>72.614999999999995</c:v>
                </c:pt>
                <c:pt idx="278">
                  <c:v>125.05</c:v>
                </c:pt>
                <c:pt idx="279">
                  <c:v>102.126</c:v>
                </c:pt>
                <c:pt idx="280">
                  <c:v>75.819000000000003</c:v>
                </c:pt>
                <c:pt idx="281">
                  <c:v>53.619</c:v>
                </c:pt>
                <c:pt idx="282">
                  <c:v>54.073999999999998</c:v>
                </c:pt>
                <c:pt idx="283">
                  <c:v>91.893000000000001</c:v>
                </c:pt>
                <c:pt idx="284">
                  <c:v>49.624000000000002</c:v>
                </c:pt>
                <c:pt idx="285">
                  <c:v>69.623999999999995</c:v>
                </c:pt>
                <c:pt idx="286">
                  <c:v>64.39</c:v>
                </c:pt>
                <c:pt idx="287">
                  <c:v>51.393000000000001</c:v>
                </c:pt>
                <c:pt idx="288">
                  <c:v>43.393000000000001</c:v>
                </c:pt>
                <c:pt idx="289">
                  <c:v>147.001</c:v>
                </c:pt>
                <c:pt idx="290">
                  <c:v>111.625</c:v>
                </c:pt>
                <c:pt idx="291">
                  <c:v>23.393999999999998</c:v>
                </c:pt>
                <c:pt idx="292">
                  <c:v>16.393999999999998</c:v>
                </c:pt>
                <c:pt idx="293">
                  <c:v>31.393999999999998</c:v>
                </c:pt>
                <c:pt idx="294">
                  <c:v>35.622</c:v>
                </c:pt>
                <c:pt idx="295">
                  <c:v>7.4989999999999997</c:v>
                </c:pt>
                <c:pt idx="296">
                  <c:v>25.481999999999999</c:v>
                </c:pt>
                <c:pt idx="297">
                  <c:v>27.882000000000001</c:v>
                </c:pt>
                <c:pt idx="298">
                  <c:v>39.979999999999997</c:v>
                </c:pt>
                <c:pt idx="299">
                  <c:v>59.881999999999998</c:v>
                </c:pt>
                <c:pt idx="300">
                  <c:v>95.674000000000007</c:v>
                </c:pt>
                <c:pt idx="301">
                  <c:v>81.682000000000002</c:v>
                </c:pt>
                <c:pt idx="302">
                  <c:v>66.677000000000007</c:v>
                </c:pt>
                <c:pt idx="303">
                  <c:v>78.680999999999997</c:v>
                </c:pt>
                <c:pt idx="304">
                  <c:v>78.882000000000005</c:v>
                </c:pt>
                <c:pt idx="305">
                  <c:v>72.283000000000001</c:v>
                </c:pt>
                <c:pt idx="306">
                  <c:v>65.05</c:v>
                </c:pt>
                <c:pt idx="307">
                  <c:v>44.68</c:v>
                </c:pt>
                <c:pt idx="308">
                  <c:v>44.68</c:v>
                </c:pt>
                <c:pt idx="309">
                  <c:v>46.076999999999998</c:v>
                </c:pt>
                <c:pt idx="310">
                  <c:v>0.28299999999999997</c:v>
                </c:pt>
                <c:pt idx="311">
                  <c:v>30.783999999999999</c:v>
                </c:pt>
                <c:pt idx="312">
                  <c:v>47.680999999999997</c:v>
                </c:pt>
                <c:pt idx="313">
                  <c:v>105.05</c:v>
                </c:pt>
                <c:pt idx="314">
                  <c:v>114.051</c:v>
                </c:pt>
                <c:pt idx="315">
                  <c:v>105.574</c:v>
                </c:pt>
                <c:pt idx="316">
                  <c:v>91.581000000000003</c:v>
                </c:pt>
                <c:pt idx="317">
                  <c:v>71.539000000000001</c:v>
                </c:pt>
                <c:pt idx="318">
                  <c:v>3.45</c:v>
                </c:pt>
                <c:pt idx="319">
                  <c:v>159.05199999999999</c:v>
                </c:pt>
                <c:pt idx="320">
                  <c:v>163.05099999999999</c:v>
                </c:pt>
                <c:pt idx="321">
                  <c:v>156.828</c:v>
                </c:pt>
                <c:pt idx="322">
                  <c:v>161.827</c:v>
                </c:pt>
                <c:pt idx="323">
                  <c:v>160.03800000000001</c:v>
                </c:pt>
                <c:pt idx="324">
                  <c:v>161.54499999999999</c:v>
                </c:pt>
                <c:pt idx="325">
                  <c:v>164.048</c:v>
                </c:pt>
                <c:pt idx="326">
                  <c:v>117.14400000000001</c:v>
                </c:pt>
                <c:pt idx="327">
                  <c:v>164.04900000000001</c:v>
                </c:pt>
                <c:pt idx="328">
                  <c:v>164.05</c:v>
                </c:pt>
                <c:pt idx="329">
                  <c:v>134.51</c:v>
                </c:pt>
                <c:pt idx="330">
                  <c:v>156.517</c:v>
                </c:pt>
                <c:pt idx="331">
                  <c:v>164.02</c:v>
                </c:pt>
                <c:pt idx="332">
                  <c:v>163.95699999999999</c:v>
                </c:pt>
                <c:pt idx="333">
                  <c:v>164.048</c:v>
                </c:pt>
                <c:pt idx="334">
                  <c:v>164.00899999999999</c:v>
                </c:pt>
                <c:pt idx="335">
                  <c:v>140.05199999999999</c:v>
                </c:pt>
                <c:pt idx="336">
                  <c:v>164.053</c:v>
                </c:pt>
                <c:pt idx="337">
                  <c:v>164.05099999999999</c:v>
                </c:pt>
                <c:pt idx="338">
                  <c:v>164.04900000000001</c:v>
                </c:pt>
                <c:pt idx="339">
                  <c:v>164.05099999999999</c:v>
                </c:pt>
                <c:pt idx="340">
                  <c:v>164.04599999999999</c:v>
                </c:pt>
                <c:pt idx="341">
                  <c:v>164.04599999999999</c:v>
                </c:pt>
                <c:pt idx="342">
                  <c:v>160.05099999999999</c:v>
                </c:pt>
                <c:pt idx="343">
                  <c:v>164.03700000000001</c:v>
                </c:pt>
                <c:pt idx="344">
                  <c:v>164.05199999999999</c:v>
                </c:pt>
                <c:pt idx="345">
                  <c:v>164.03200000000001</c:v>
                </c:pt>
                <c:pt idx="346">
                  <c:v>109.881</c:v>
                </c:pt>
                <c:pt idx="347">
                  <c:v>133.88499999999999</c:v>
                </c:pt>
                <c:pt idx="348">
                  <c:v>109.881</c:v>
                </c:pt>
                <c:pt idx="349">
                  <c:v>85.710999999999999</c:v>
                </c:pt>
                <c:pt idx="350">
                  <c:v>61.89</c:v>
                </c:pt>
                <c:pt idx="351">
                  <c:v>77.894999999999996</c:v>
                </c:pt>
                <c:pt idx="352">
                  <c:v>119.895</c:v>
                </c:pt>
                <c:pt idx="353">
                  <c:v>68.897000000000006</c:v>
                </c:pt>
                <c:pt idx="354">
                  <c:v>78.891999999999996</c:v>
                </c:pt>
                <c:pt idx="355">
                  <c:v>48.893999999999998</c:v>
                </c:pt>
                <c:pt idx="356">
                  <c:v>58.395000000000003</c:v>
                </c:pt>
                <c:pt idx="357">
                  <c:v>19.082999999999998</c:v>
                </c:pt>
                <c:pt idx="358">
                  <c:v>0.03</c:v>
                </c:pt>
                <c:pt idx="359">
                  <c:v>89.882000000000005</c:v>
                </c:pt>
                <c:pt idx="360">
                  <c:v>148.88300000000001</c:v>
                </c:pt>
                <c:pt idx="361">
                  <c:v>135.81299999999999</c:v>
                </c:pt>
                <c:pt idx="362">
                  <c:v>100.88200000000001</c:v>
                </c:pt>
                <c:pt idx="363">
                  <c:v>164.04900000000001</c:v>
                </c:pt>
                <c:pt idx="364">
                  <c:v>161.05000000000001</c:v>
                </c:pt>
              </c:numCache>
            </c:numRef>
          </c:val>
          <c:smooth val="0"/>
          <c:extLst>
            <c:ext xmlns:c16="http://schemas.microsoft.com/office/drawing/2014/chart" uri="{C3380CC4-5D6E-409C-BE32-E72D297353CC}">
              <c16:uniqueId val="{00000002-A2D5-48D4-BF3C-75458A40ABC4}"/>
            </c:ext>
          </c:extLst>
        </c:ser>
        <c:ser>
          <c:idx val="3"/>
          <c:order val="3"/>
          <c:tx>
            <c:v>Nameplate capacity (TJ/day)</c:v>
          </c:tx>
          <c:spPr>
            <a:ln w="76200">
              <a:solidFill>
                <a:schemeClr val="accent6">
                  <a:lumMod val="50000"/>
                </a:schemeClr>
              </a:solidFill>
            </a:ln>
          </c:spPr>
          <c:marker>
            <c:symbol val="none"/>
          </c:marker>
          <c:dPt>
            <c:idx val="365"/>
            <c:bubble3D val="0"/>
            <c:spPr>
              <a:ln w="76200">
                <a:noFill/>
              </a:ln>
            </c:spPr>
            <c:extLst>
              <c:ext xmlns:c16="http://schemas.microsoft.com/office/drawing/2014/chart" uri="{C3380CC4-5D6E-409C-BE32-E72D297353CC}">
                <c16:uniqueId val="{00000004-A2D5-48D4-BF3C-75458A40ABC4}"/>
              </c:ext>
            </c:extLst>
          </c:dPt>
          <c:cat>
            <c:strRef>
              <c:f>'5. Historical demand'!$B$43:$B$408</c:f>
              <c:strCache>
                <c:ptCount val="365"/>
                <c:pt idx="0">
                  <c:v>1/07/2024</c:v>
                </c:pt>
                <c:pt idx="1">
                  <c:v>2/07/2024</c:v>
                </c:pt>
                <c:pt idx="2">
                  <c:v>3/07/2024</c:v>
                </c:pt>
                <c:pt idx="3">
                  <c:v>4/07/2024</c:v>
                </c:pt>
                <c:pt idx="4">
                  <c:v>5/07/2024</c:v>
                </c:pt>
                <c:pt idx="5">
                  <c:v>6/07/2024</c:v>
                </c:pt>
                <c:pt idx="6">
                  <c:v>7/07/2024</c:v>
                </c:pt>
                <c:pt idx="7">
                  <c:v>8/07/2024</c:v>
                </c:pt>
                <c:pt idx="8">
                  <c:v>9/07/2024</c:v>
                </c:pt>
                <c:pt idx="9">
                  <c:v>10/07/2024</c:v>
                </c:pt>
                <c:pt idx="10">
                  <c:v>11/07/2024</c:v>
                </c:pt>
                <c:pt idx="11">
                  <c:v>12/07/2024</c:v>
                </c:pt>
                <c:pt idx="12">
                  <c:v>13/07/2024</c:v>
                </c:pt>
                <c:pt idx="13">
                  <c:v>14/07/2024</c:v>
                </c:pt>
                <c:pt idx="14">
                  <c:v>15/07/2024</c:v>
                </c:pt>
                <c:pt idx="15">
                  <c:v>16/07/2024</c:v>
                </c:pt>
                <c:pt idx="16">
                  <c:v>17/07/2024</c:v>
                </c:pt>
                <c:pt idx="17">
                  <c:v>18/07/2024</c:v>
                </c:pt>
                <c:pt idx="18">
                  <c:v>19/07/2024</c:v>
                </c:pt>
                <c:pt idx="19">
                  <c:v>20/07/2024</c:v>
                </c:pt>
                <c:pt idx="20">
                  <c:v>21/07/2024</c:v>
                </c:pt>
                <c:pt idx="21">
                  <c:v>22/07/2024</c:v>
                </c:pt>
                <c:pt idx="22">
                  <c:v>23/07/2024</c:v>
                </c:pt>
                <c:pt idx="23">
                  <c:v>24/07/2024</c:v>
                </c:pt>
                <c:pt idx="24">
                  <c:v>25/07/2024</c:v>
                </c:pt>
                <c:pt idx="25">
                  <c:v>26/07/2024</c:v>
                </c:pt>
                <c:pt idx="26">
                  <c:v>27/07/2024</c:v>
                </c:pt>
                <c:pt idx="27">
                  <c:v>28/07/2024</c:v>
                </c:pt>
                <c:pt idx="28">
                  <c:v>29/07/2024</c:v>
                </c:pt>
                <c:pt idx="29">
                  <c:v>30/07/2024</c:v>
                </c:pt>
                <c:pt idx="30">
                  <c:v>31/07/2024</c:v>
                </c:pt>
                <c:pt idx="31">
                  <c:v>1/08/2024</c:v>
                </c:pt>
                <c:pt idx="32">
                  <c:v>2/08/2024</c:v>
                </c:pt>
                <c:pt idx="33">
                  <c:v>3/08/2024</c:v>
                </c:pt>
                <c:pt idx="34">
                  <c:v>4/08/2024</c:v>
                </c:pt>
                <c:pt idx="35">
                  <c:v>5/08/2024</c:v>
                </c:pt>
                <c:pt idx="36">
                  <c:v>6/08/2024</c:v>
                </c:pt>
                <c:pt idx="37">
                  <c:v>7/08/2024</c:v>
                </c:pt>
                <c:pt idx="38">
                  <c:v>8/08/2024</c:v>
                </c:pt>
                <c:pt idx="39">
                  <c:v>9/08/2024</c:v>
                </c:pt>
                <c:pt idx="40">
                  <c:v>10/08/2024</c:v>
                </c:pt>
                <c:pt idx="41">
                  <c:v>11/08/2024</c:v>
                </c:pt>
                <c:pt idx="42">
                  <c:v>12/08/2024</c:v>
                </c:pt>
                <c:pt idx="43">
                  <c:v>13/08/2024</c:v>
                </c:pt>
                <c:pt idx="44">
                  <c:v>14/08/2024</c:v>
                </c:pt>
                <c:pt idx="45">
                  <c:v>15/08/2024</c:v>
                </c:pt>
                <c:pt idx="46">
                  <c:v>16/08/2024</c:v>
                </c:pt>
                <c:pt idx="47">
                  <c:v>17/08/2024</c:v>
                </c:pt>
                <c:pt idx="48">
                  <c:v>18/08/2024</c:v>
                </c:pt>
                <c:pt idx="49">
                  <c:v>19/08/2024</c:v>
                </c:pt>
                <c:pt idx="50">
                  <c:v>20/08/2024</c:v>
                </c:pt>
                <c:pt idx="51">
                  <c:v>21/08/2024</c:v>
                </c:pt>
                <c:pt idx="52">
                  <c:v>22/08/2024</c:v>
                </c:pt>
                <c:pt idx="53">
                  <c:v>23/08/2024</c:v>
                </c:pt>
                <c:pt idx="54">
                  <c:v>24/08/2024</c:v>
                </c:pt>
                <c:pt idx="55">
                  <c:v>25/08/2024</c:v>
                </c:pt>
                <c:pt idx="56">
                  <c:v>26/08/2024</c:v>
                </c:pt>
                <c:pt idx="57">
                  <c:v>27/08/2024</c:v>
                </c:pt>
                <c:pt idx="58">
                  <c:v>28/08/2024</c:v>
                </c:pt>
                <c:pt idx="59">
                  <c:v>29/08/2024</c:v>
                </c:pt>
                <c:pt idx="60">
                  <c:v>30/08/2024</c:v>
                </c:pt>
                <c:pt idx="61">
                  <c:v>31/08/2024</c:v>
                </c:pt>
                <c:pt idx="62">
                  <c:v>1/09/2024</c:v>
                </c:pt>
                <c:pt idx="63">
                  <c:v>2/09/2024</c:v>
                </c:pt>
                <c:pt idx="64">
                  <c:v>3/09/2024</c:v>
                </c:pt>
                <c:pt idx="65">
                  <c:v>4/09/2024</c:v>
                </c:pt>
                <c:pt idx="66">
                  <c:v>5/09/2024</c:v>
                </c:pt>
                <c:pt idx="67">
                  <c:v>6/09/2024</c:v>
                </c:pt>
                <c:pt idx="68">
                  <c:v>7/09/2024</c:v>
                </c:pt>
                <c:pt idx="69">
                  <c:v>8/09/2024</c:v>
                </c:pt>
                <c:pt idx="70">
                  <c:v>9/09/2024</c:v>
                </c:pt>
                <c:pt idx="71">
                  <c:v>10/09/2024</c:v>
                </c:pt>
                <c:pt idx="72">
                  <c:v>11/09/2024</c:v>
                </c:pt>
                <c:pt idx="73">
                  <c:v>12/09/2024</c:v>
                </c:pt>
                <c:pt idx="74">
                  <c:v>13/09/2024</c:v>
                </c:pt>
                <c:pt idx="75">
                  <c:v>14/09/2024</c:v>
                </c:pt>
                <c:pt idx="76">
                  <c:v>15/09/2024</c:v>
                </c:pt>
                <c:pt idx="77">
                  <c:v>16/09/2024</c:v>
                </c:pt>
                <c:pt idx="78">
                  <c:v>17/09/2024</c:v>
                </c:pt>
                <c:pt idx="79">
                  <c:v>18/09/2024</c:v>
                </c:pt>
                <c:pt idx="80">
                  <c:v>19/09/2024</c:v>
                </c:pt>
                <c:pt idx="81">
                  <c:v>20/09/2024</c:v>
                </c:pt>
                <c:pt idx="82">
                  <c:v>21/09/2024</c:v>
                </c:pt>
                <c:pt idx="83">
                  <c:v>22/09/2024</c:v>
                </c:pt>
                <c:pt idx="84">
                  <c:v>23/09/2024</c:v>
                </c:pt>
                <c:pt idx="85">
                  <c:v>24/09/2024</c:v>
                </c:pt>
                <c:pt idx="86">
                  <c:v>25/09/2024</c:v>
                </c:pt>
                <c:pt idx="87">
                  <c:v>26/09/2024</c:v>
                </c:pt>
                <c:pt idx="88">
                  <c:v>27/09/2024</c:v>
                </c:pt>
                <c:pt idx="89">
                  <c:v>28/09/2024</c:v>
                </c:pt>
                <c:pt idx="90">
                  <c:v>29/09/2024</c:v>
                </c:pt>
                <c:pt idx="91">
                  <c:v>30/09/2024</c:v>
                </c:pt>
                <c:pt idx="92">
                  <c:v>1/10/2024</c:v>
                </c:pt>
                <c:pt idx="93">
                  <c:v>2/10/2024</c:v>
                </c:pt>
                <c:pt idx="94">
                  <c:v>3/10/2024</c:v>
                </c:pt>
                <c:pt idx="95">
                  <c:v>4/10/2024</c:v>
                </c:pt>
                <c:pt idx="96">
                  <c:v>5/10/2024</c:v>
                </c:pt>
                <c:pt idx="97">
                  <c:v>6/10/2024</c:v>
                </c:pt>
                <c:pt idx="98">
                  <c:v>7/10/2024</c:v>
                </c:pt>
                <c:pt idx="99">
                  <c:v>8/10/2024</c:v>
                </c:pt>
                <c:pt idx="100">
                  <c:v>9/10/2024</c:v>
                </c:pt>
                <c:pt idx="101">
                  <c:v>10/10/2024</c:v>
                </c:pt>
                <c:pt idx="102">
                  <c:v>11/10/2024</c:v>
                </c:pt>
                <c:pt idx="103">
                  <c:v>12/10/2024</c:v>
                </c:pt>
                <c:pt idx="104">
                  <c:v>13/10/2024</c:v>
                </c:pt>
                <c:pt idx="105">
                  <c:v>14/10/2024</c:v>
                </c:pt>
                <c:pt idx="106">
                  <c:v>15/10/2024</c:v>
                </c:pt>
                <c:pt idx="107">
                  <c:v>16/10/2024</c:v>
                </c:pt>
                <c:pt idx="108">
                  <c:v>17/10/2024</c:v>
                </c:pt>
                <c:pt idx="109">
                  <c:v>18/10/2024</c:v>
                </c:pt>
                <c:pt idx="110">
                  <c:v>19/10/2024</c:v>
                </c:pt>
                <c:pt idx="111">
                  <c:v>20/10/2024</c:v>
                </c:pt>
                <c:pt idx="112">
                  <c:v>21/10/2024</c:v>
                </c:pt>
                <c:pt idx="113">
                  <c:v>22/10/2024</c:v>
                </c:pt>
                <c:pt idx="114">
                  <c:v>23/10/2024</c:v>
                </c:pt>
                <c:pt idx="115">
                  <c:v>24/10/2024</c:v>
                </c:pt>
                <c:pt idx="116">
                  <c:v>25/10/2024</c:v>
                </c:pt>
                <c:pt idx="117">
                  <c:v>26/10/2024</c:v>
                </c:pt>
                <c:pt idx="118">
                  <c:v>27/10/2024</c:v>
                </c:pt>
                <c:pt idx="119">
                  <c:v>28/10/2024</c:v>
                </c:pt>
                <c:pt idx="120">
                  <c:v>29/10/2024</c:v>
                </c:pt>
                <c:pt idx="121">
                  <c:v>30/10/2024</c:v>
                </c:pt>
                <c:pt idx="122">
                  <c:v>31/10/2024</c:v>
                </c:pt>
                <c:pt idx="123">
                  <c:v>1/11/2024</c:v>
                </c:pt>
                <c:pt idx="124">
                  <c:v>2/11/2024</c:v>
                </c:pt>
                <c:pt idx="125">
                  <c:v>3/11/2024</c:v>
                </c:pt>
                <c:pt idx="126">
                  <c:v>4/11/2024</c:v>
                </c:pt>
                <c:pt idx="127">
                  <c:v>5/11/2024</c:v>
                </c:pt>
                <c:pt idx="128">
                  <c:v>6/11/2024</c:v>
                </c:pt>
                <c:pt idx="129">
                  <c:v>7/11/2024</c:v>
                </c:pt>
                <c:pt idx="130">
                  <c:v>8/11/2024</c:v>
                </c:pt>
                <c:pt idx="131">
                  <c:v>9/11/2024</c:v>
                </c:pt>
                <c:pt idx="132">
                  <c:v>10/11/2024</c:v>
                </c:pt>
                <c:pt idx="133">
                  <c:v>11/11/2024</c:v>
                </c:pt>
                <c:pt idx="134">
                  <c:v>12/11/2024</c:v>
                </c:pt>
                <c:pt idx="135">
                  <c:v>13/11/2024</c:v>
                </c:pt>
                <c:pt idx="136">
                  <c:v>14/11/2024</c:v>
                </c:pt>
                <c:pt idx="137">
                  <c:v>15/11/2024</c:v>
                </c:pt>
                <c:pt idx="138">
                  <c:v>16/11/2024</c:v>
                </c:pt>
                <c:pt idx="139">
                  <c:v>17/11/2024</c:v>
                </c:pt>
                <c:pt idx="140">
                  <c:v>18/11/2024</c:v>
                </c:pt>
                <c:pt idx="141">
                  <c:v>19/11/2024</c:v>
                </c:pt>
                <c:pt idx="142">
                  <c:v>20/11/2024</c:v>
                </c:pt>
                <c:pt idx="143">
                  <c:v>21/11/2024</c:v>
                </c:pt>
                <c:pt idx="144">
                  <c:v>22/11/2024</c:v>
                </c:pt>
                <c:pt idx="145">
                  <c:v>23/11/2024</c:v>
                </c:pt>
                <c:pt idx="146">
                  <c:v>24/11/2024</c:v>
                </c:pt>
                <c:pt idx="147">
                  <c:v>25/11/2024</c:v>
                </c:pt>
                <c:pt idx="148">
                  <c:v>26/11/2024</c:v>
                </c:pt>
                <c:pt idx="149">
                  <c:v>27/11/2024</c:v>
                </c:pt>
                <c:pt idx="150">
                  <c:v>28/11/2024</c:v>
                </c:pt>
                <c:pt idx="151">
                  <c:v>29/11/2024</c:v>
                </c:pt>
                <c:pt idx="152">
                  <c:v>30/11/2024</c:v>
                </c:pt>
                <c:pt idx="153">
                  <c:v>1/12/2024</c:v>
                </c:pt>
                <c:pt idx="154">
                  <c:v>2/12/2024</c:v>
                </c:pt>
                <c:pt idx="155">
                  <c:v>3/12/2024</c:v>
                </c:pt>
                <c:pt idx="156">
                  <c:v>4/12/2024</c:v>
                </c:pt>
                <c:pt idx="157">
                  <c:v>5/12/2024</c:v>
                </c:pt>
                <c:pt idx="158">
                  <c:v>6/12/2024</c:v>
                </c:pt>
                <c:pt idx="159">
                  <c:v>7/12/2024</c:v>
                </c:pt>
                <c:pt idx="160">
                  <c:v>8/12/2024</c:v>
                </c:pt>
                <c:pt idx="161">
                  <c:v>9/12/2024</c:v>
                </c:pt>
                <c:pt idx="162">
                  <c:v>10/12/2024</c:v>
                </c:pt>
                <c:pt idx="163">
                  <c:v>11/12/2024</c:v>
                </c:pt>
                <c:pt idx="164">
                  <c:v>12/12/2024</c:v>
                </c:pt>
                <c:pt idx="165">
                  <c:v>13/12/2024</c:v>
                </c:pt>
                <c:pt idx="166">
                  <c:v>14/12/2024</c:v>
                </c:pt>
                <c:pt idx="167">
                  <c:v>15/12/2024</c:v>
                </c:pt>
                <c:pt idx="168">
                  <c:v>16/12/2024</c:v>
                </c:pt>
                <c:pt idx="169">
                  <c:v>17/12/2024</c:v>
                </c:pt>
                <c:pt idx="170">
                  <c:v>18/12/2024</c:v>
                </c:pt>
                <c:pt idx="171">
                  <c:v>19/12/2024</c:v>
                </c:pt>
                <c:pt idx="172">
                  <c:v>20/12/2024</c:v>
                </c:pt>
                <c:pt idx="173">
                  <c:v>21/12/2024</c:v>
                </c:pt>
                <c:pt idx="174">
                  <c:v>22/12/2024</c:v>
                </c:pt>
                <c:pt idx="175">
                  <c:v>23/12/2024</c:v>
                </c:pt>
                <c:pt idx="176">
                  <c:v>24/12/2024</c:v>
                </c:pt>
                <c:pt idx="177">
                  <c:v>25/12/2024</c:v>
                </c:pt>
                <c:pt idx="178">
                  <c:v>26/12/2024</c:v>
                </c:pt>
                <c:pt idx="179">
                  <c:v>27/12/2024</c:v>
                </c:pt>
                <c:pt idx="180">
                  <c:v>28/12/2024</c:v>
                </c:pt>
                <c:pt idx="181">
                  <c:v>29/12/2024</c:v>
                </c:pt>
                <c:pt idx="182">
                  <c:v>30/12/2024</c:v>
                </c:pt>
                <c:pt idx="183">
                  <c:v>31/12/2024</c:v>
                </c:pt>
                <c:pt idx="184">
                  <c:v>1/01/2025</c:v>
                </c:pt>
                <c:pt idx="185">
                  <c:v>2/01/2025</c:v>
                </c:pt>
                <c:pt idx="186">
                  <c:v>3/01/2025</c:v>
                </c:pt>
                <c:pt idx="187">
                  <c:v>4/01/2025</c:v>
                </c:pt>
                <c:pt idx="188">
                  <c:v>5/01/2025</c:v>
                </c:pt>
                <c:pt idx="189">
                  <c:v>6/01/2025</c:v>
                </c:pt>
                <c:pt idx="190">
                  <c:v>7/01/2025</c:v>
                </c:pt>
                <c:pt idx="191">
                  <c:v>8/01/2025</c:v>
                </c:pt>
                <c:pt idx="192">
                  <c:v>9/01/2025</c:v>
                </c:pt>
                <c:pt idx="193">
                  <c:v>10/01/2025</c:v>
                </c:pt>
                <c:pt idx="194">
                  <c:v>11/01/2025</c:v>
                </c:pt>
                <c:pt idx="195">
                  <c:v>12/01/2025</c:v>
                </c:pt>
                <c:pt idx="196">
                  <c:v>13/01/2025</c:v>
                </c:pt>
                <c:pt idx="197">
                  <c:v>14/01/2025</c:v>
                </c:pt>
                <c:pt idx="198">
                  <c:v>15/01/2025</c:v>
                </c:pt>
                <c:pt idx="199">
                  <c:v>16/01/2025</c:v>
                </c:pt>
                <c:pt idx="200">
                  <c:v>17/01/2025</c:v>
                </c:pt>
                <c:pt idx="201">
                  <c:v>18/01/2025</c:v>
                </c:pt>
                <c:pt idx="202">
                  <c:v>19/01/2025</c:v>
                </c:pt>
                <c:pt idx="203">
                  <c:v>20/01/2025</c:v>
                </c:pt>
                <c:pt idx="204">
                  <c:v>21/01/2025</c:v>
                </c:pt>
                <c:pt idx="205">
                  <c:v>22/01/2025</c:v>
                </c:pt>
                <c:pt idx="206">
                  <c:v>23/01/2025</c:v>
                </c:pt>
                <c:pt idx="207">
                  <c:v>24/01/2025</c:v>
                </c:pt>
                <c:pt idx="208">
                  <c:v>25/01/2025</c:v>
                </c:pt>
                <c:pt idx="209">
                  <c:v>26/01/2025</c:v>
                </c:pt>
                <c:pt idx="210">
                  <c:v>27/01/2025</c:v>
                </c:pt>
                <c:pt idx="211">
                  <c:v>28/01/2025</c:v>
                </c:pt>
                <c:pt idx="212">
                  <c:v>29/01/2025</c:v>
                </c:pt>
                <c:pt idx="213">
                  <c:v>30/01/2025</c:v>
                </c:pt>
                <c:pt idx="214">
                  <c:v>31/01/2025</c:v>
                </c:pt>
                <c:pt idx="215">
                  <c:v>1/02/2025</c:v>
                </c:pt>
                <c:pt idx="216">
                  <c:v>2/02/2025</c:v>
                </c:pt>
                <c:pt idx="217">
                  <c:v>3/02/2025</c:v>
                </c:pt>
                <c:pt idx="218">
                  <c:v>4/02/2025</c:v>
                </c:pt>
                <c:pt idx="219">
                  <c:v>5/02/2025</c:v>
                </c:pt>
                <c:pt idx="220">
                  <c:v>6/02/2025</c:v>
                </c:pt>
                <c:pt idx="221">
                  <c:v>7/02/2025</c:v>
                </c:pt>
                <c:pt idx="222">
                  <c:v>8/02/2025</c:v>
                </c:pt>
                <c:pt idx="223">
                  <c:v>9/02/2025</c:v>
                </c:pt>
                <c:pt idx="224">
                  <c:v>10/02/2025</c:v>
                </c:pt>
                <c:pt idx="225">
                  <c:v>11/02/2025</c:v>
                </c:pt>
                <c:pt idx="226">
                  <c:v>12/02/2025</c:v>
                </c:pt>
                <c:pt idx="227">
                  <c:v>13/02/2025</c:v>
                </c:pt>
                <c:pt idx="228">
                  <c:v>14/02/2025</c:v>
                </c:pt>
                <c:pt idx="229">
                  <c:v>15/02/2025</c:v>
                </c:pt>
                <c:pt idx="230">
                  <c:v>16/02/2025</c:v>
                </c:pt>
                <c:pt idx="231">
                  <c:v>17/02/2025</c:v>
                </c:pt>
                <c:pt idx="232">
                  <c:v>18/02/2025</c:v>
                </c:pt>
                <c:pt idx="233">
                  <c:v>19/02/2025</c:v>
                </c:pt>
                <c:pt idx="234">
                  <c:v>20/02/2025</c:v>
                </c:pt>
                <c:pt idx="235">
                  <c:v>21/02/2025</c:v>
                </c:pt>
                <c:pt idx="236">
                  <c:v>22/02/2025</c:v>
                </c:pt>
                <c:pt idx="237">
                  <c:v>23/02/2025</c:v>
                </c:pt>
                <c:pt idx="238">
                  <c:v>24/02/2025</c:v>
                </c:pt>
                <c:pt idx="239">
                  <c:v>25/02/2025</c:v>
                </c:pt>
                <c:pt idx="240">
                  <c:v>26/02/2025</c:v>
                </c:pt>
                <c:pt idx="241">
                  <c:v>27/02/2025</c:v>
                </c:pt>
                <c:pt idx="242">
                  <c:v>28/02/2025</c:v>
                </c:pt>
                <c:pt idx="243">
                  <c:v>1/03/2025</c:v>
                </c:pt>
                <c:pt idx="244">
                  <c:v>2/03/2025</c:v>
                </c:pt>
                <c:pt idx="245">
                  <c:v>3/03/2025</c:v>
                </c:pt>
                <c:pt idx="246">
                  <c:v>4/03/2025</c:v>
                </c:pt>
                <c:pt idx="247">
                  <c:v>5/03/2025</c:v>
                </c:pt>
                <c:pt idx="248">
                  <c:v>6/03/2025</c:v>
                </c:pt>
                <c:pt idx="249">
                  <c:v>7/03/2025</c:v>
                </c:pt>
                <c:pt idx="250">
                  <c:v>8/03/2025</c:v>
                </c:pt>
                <c:pt idx="251">
                  <c:v>9/03/2025</c:v>
                </c:pt>
                <c:pt idx="252">
                  <c:v>10/03/2025</c:v>
                </c:pt>
                <c:pt idx="253">
                  <c:v>11/03/2025</c:v>
                </c:pt>
                <c:pt idx="254">
                  <c:v>12/03/2025</c:v>
                </c:pt>
                <c:pt idx="255">
                  <c:v>13/03/2025</c:v>
                </c:pt>
                <c:pt idx="256">
                  <c:v>14/03/2025</c:v>
                </c:pt>
                <c:pt idx="257">
                  <c:v>15/03/2025</c:v>
                </c:pt>
                <c:pt idx="258">
                  <c:v>16/03/2025</c:v>
                </c:pt>
                <c:pt idx="259">
                  <c:v>17/03/2025</c:v>
                </c:pt>
                <c:pt idx="260">
                  <c:v>18/03/2025</c:v>
                </c:pt>
                <c:pt idx="261">
                  <c:v>19/03/2025</c:v>
                </c:pt>
                <c:pt idx="262">
                  <c:v>20/03/2025</c:v>
                </c:pt>
                <c:pt idx="263">
                  <c:v>21/03/2025</c:v>
                </c:pt>
                <c:pt idx="264">
                  <c:v>22/03/2025</c:v>
                </c:pt>
                <c:pt idx="265">
                  <c:v>23/03/2025</c:v>
                </c:pt>
                <c:pt idx="266">
                  <c:v>24/03/2025</c:v>
                </c:pt>
                <c:pt idx="267">
                  <c:v>25/03/2025</c:v>
                </c:pt>
                <c:pt idx="268">
                  <c:v>26/03/2025</c:v>
                </c:pt>
                <c:pt idx="269">
                  <c:v>27/03/2025</c:v>
                </c:pt>
                <c:pt idx="270">
                  <c:v>28/03/2025</c:v>
                </c:pt>
                <c:pt idx="271">
                  <c:v>29/03/2025</c:v>
                </c:pt>
                <c:pt idx="272">
                  <c:v>30/03/2025</c:v>
                </c:pt>
                <c:pt idx="273">
                  <c:v>31/03/2025</c:v>
                </c:pt>
                <c:pt idx="274">
                  <c:v>1/04/2025</c:v>
                </c:pt>
                <c:pt idx="275">
                  <c:v>2/04/2025</c:v>
                </c:pt>
                <c:pt idx="276">
                  <c:v>3/04/2025</c:v>
                </c:pt>
                <c:pt idx="277">
                  <c:v>4/04/2025</c:v>
                </c:pt>
                <c:pt idx="278">
                  <c:v>5/04/2025</c:v>
                </c:pt>
                <c:pt idx="279">
                  <c:v>6/04/2025</c:v>
                </c:pt>
                <c:pt idx="280">
                  <c:v>7/04/2025</c:v>
                </c:pt>
                <c:pt idx="281">
                  <c:v>8/04/2025</c:v>
                </c:pt>
                <c:pt idx="282">
                  <c:v>9/04/2025</c:v>
                </c:pt>
                <c:pt idx="283">
                  <c:v>10/04/2025</c:v>
                </c:pt>
                <c:pt idx="284">
                  <c:v>11/04/2025</c:v>
                </c:pt>
                <c:pt idx="285">
                  <c:v>12/04/2025</c:v>
                </c:pt>
                <c:pt idx="286">
                  <c:v>13/04/2025</c:v>
                </c:pt>
                <c:pt idx="287">
                  <c:v>14/04/2025</c:v>
                </c:pt>
                <c:pt idx="288">
                  <c:v>15/04/2025</c:v>
                </c:pt>
                <c:pt idx="289">
                  <c:v>16/04/2025</c:v>
                </c:pt>
                <c:pt idx="290">
                  <c:v>17/04/2025</c:v>
                </c:pt>
                <c:pt idx="291">
                  <c:v>18/04/2025</c:v>
                </c:pt>
                <c:pt idx="292">
                  <c:v>19/04/2025</c:v>
                </c:pt>
                <c:pt idx="293">
                  <c:v>20/04/2025</c:v>
                </c:pt>
                <c:pt idx="294">
                  <c:v>21/04/2025</c:v>
                </c:pt>
                <c:pt idx="295">
                  <c:v>22/04/2025</c:v>
                </c:pt>
                <c:pt idx="296">
                  <c:v>23/04/2025</c:v>
                </c:pt>
                <c:pt idx="297">
                  <c:v>24/04/2025</c:v>
                </c:pt>
                <c:pt idx="298">
                  <c:v>25/04/2025</c:v>
                </c:pt>
                <c:pt idx="299">
                  <c:v>26/04/2025</c:v>
                </c:pt>
                <c:pt idx="300">
                  <c:v>27/04/2025</c:v>
                </c:pt>
                <c:pt idx="301">
                  <c:v>28/04/2025</c:v>
                </c:pt>
                <c:pt idx="302">
                  <c:v>29/04/2025</c:v>
                </c:pt>
                <c:pt idx="303">
                  <c:v>30/04/2025</c:v>
                </c:pt>
                <c:pt idx="304">
                  <c:v>1/05/2025</c:v>
                </c:pt>
                <c:pt idx="305">
                  <c:v>2/05/2025</c:v>
                </c:pt>
                <c:pt idx="306">
                  <c:v>3/05/2025</c:v>
                </c:pt>
                <c:pt idx="307">
                  <c:v>4/05/2025</c:v>
                </c:pt>
                <c:pt idx="308">
                  <c:v>5/05/2025</c:v>
                </c:pt>
                <c:pt idx="309">
                  <c:v>6/05/2025</c:v>
                </c:pt>
                <c:pt idx="310">
                  <c:v>7/05/2025</c:v>
                </c:pt>
                <c:pt idx="311">
                  <c:v>8/05/2025</c:v>
                </c:pt>
                <c:pt idx="312">
                  <c:v>9/05/2025</c:v>
                </c:pt>
                <c:pt idx="313">
                  <c:v>10/05/2025</c:v>
                </c:pt>
                <c:pt idx="314">
                  <c:v>11/05/2025</c:v>
                </c:pt>
                <c:pt idx="315">
                  <c:v>12/05/2025</c:v>
                </c:pt>
                <c:pt idx="316">
                  <c:v>13/05/2025</c:v>
                </c:pt>
                <c:pt idx="317">
                  <c:v>14/05/2025</c:v>
                </c:pt>
                <c:pt idx="318">
                  <c:v>15/05/2025</c:v>
                </c:pt>
                <c:pt idx="319">
                  <c:v>16/05/2025</c:v>
                </c:pt>
                <c:pt idx="320">
                  <c:v>17/05/2025</c:v>
                </c:pt>
                <c:pt idx="321">
                  <c:v>18/05/2025</c:v>
                </c:pt>
                <c:pt idx="322">
                  <c:v>19/05/2025</c:v>
                </c:pt>
                <c:pt idx="323">
                  <c:v>20/05/2025</c:v>
                </c:pt>
                <c:pt idx="324">
                  <c:v>21/05/2025</c:v>
                </c:pt>
                <c:pt idx="325">
                  <c:v>22/05/2025</c:v>
                </c:pt>
                <c:pt idx="326">
                  <c:v>23/05/2025</c:v>
                </c:pt>
                <c:pt idx="327">
                  <c:v>24/05/2025</c:v>
                </c:pt>
                <c:pt idx="328">
                  <c:v>25/05/2025</c:v>
                </c:pt>
                <c:pt idx="329">
                  <c:v>26/05/2025</c:v>
                </c:pt>
                <c:pt idx="330">
                  <c:v>27/05/2025</c:v>
                </c:pt>
                <c:pt idx="331">
                  <c:v>28/05/2025</c:v>
                </c:pt>
                <c:pt idx="332">
                  <c:v>29/05/2025</c:v>
                </c:pt>
                <c:pt idx="333">
                  <c:v>30/05/2025</c:v>
                </c:pt>
                <c:pt idx="334">
                  <c:v>31/05/2025</c:v>
                </c:pt>
                <c:pt idx="335">
                  <c:v>1/06/2025</c:v>
                </c:pt>
                <c:pt idx="336">
                  <c:v>2/06/2025</c:v>
                </c:pt>
                <c:pt idx="337">
                  <c:v>3/06/2025</c:v>
                </c:pt>
                <c:pt idx="338">
                  <c:v>4/06/2025</c:v>
                </c:pt>
                <c:pt idx="339">
                  <c:v>5/06/2025</c:v>
                </c:pt>
                <c:pt idx="340">
                  <c:v>6/06/2025</c:v>
                </c:pt>
                <c:pt idx="341">
                  <c:v>7/06/2025</c:v>
                </c:pt>
                <c:pt idx="342">
                  <c:v>8/06/2025</c:v>
                </c:pt>
                <c:pt idx="343">
                  <c:v>9/06/2025</c:v>
                </c:pt>
                <c:pt idx="344">
                  <c:v>10/06/2025</c:v>
                </c:pt>
                <c:pt idx="345">
                  <c:v>11/06/2025</c:v>
                </c:pt>
                <c:pt idx="346">
                  <c:v>12/06/2025</c:v>
                </c:pt>
                <c:pt idx="347">
                  <c:v>13/06/2025</c:v>
                </c:pt>
                <c:pt idx="348">
                  <c:v>14/06/2025</c:v>
                </c:pt>
                <c:pt idx="349">
                  <c:v>15/06/2025</c:v>
                </c:pt>
                <c:pt idx="350">
                  <c:v>16/06/2025</c:v>
                </c:pt>
                <c:pt idx="351">
                  <c:v>17/06/2025</c:v>
                </c:pt>
                <c:pt idx="352">
                  <c:v>18/06/2025</c:v>
                </c:pt>
                <c:pt idx="353">
                  <c:v>19/06/2025</c:v>
                </c:pt>
                <c:pt idx="354">
                  <c:v>20/06/2025</c:v>
                </c:pt>
                <c:pt idx="355">
                  <c:v>21/06/2025</c:v>
                </c:pt>
                <c:pt idx="356">
                  <c:v>22/06/2025</c:v>
                </c:pt>
                <c:pt idx="357">
                  <c:v>23/06/2025</c:v>
                </c:pt>
                <c:pt idx="358">
                  <c:v>24/06/2025</c:v>
                </c:pt>
                <c:pt idx="359">
                  <c:v>25/06/2025</c:v>
                </c:pt>
                <c:pt idx="360">
                  <c:v>26/06/2025</c:v>
                </c:pt>
                <c:pt idx="361">
                  <c:v>27/06/2025</c:v>
                </c:pt>
                <c:pt idx="362">
                  <c:v>28/06/2025</c:v>
                </c:pt>
                <c:pt idx="363">
                  <c:v>29/06/2025</c:v>
                </c:pt>
                <c:pt idx="364">
                  <c:v>30/06/2025</c:v>
                </c:pt>
              </c:strCache>
            </c:strRef>
          </c:cat>
          <c:val>
            <c:numRef>
              <c:f>'5. Historical demand'!$F$43:$F$408</c:f>
              <c:numCache>
                <c:formatCode>_(* #,##0_);_(* \(#,##0\);_(* "-"_);_(@_)</c:formatCode>
                <c:ptCount val="366"/>
                <c:pt idx="0">
                  <c:v>440</c:v>
                </c:pt>
                <c:pt idx="1">
                  <c:v>440</c:v>
                </c:pt>
                <c:pt idx="2">
                  <c:v>440</c:v>
                </c:pt>
                <c:pt idx="3">
                  <c:v>440</c:v>
                </c:pt>
                <c:pt idx="4">
                  <c:v>440</c:v>
                </c:pt>
                <c:pt idx="5">
                  <c:v>440</c:v>
                </c:pt>
                <c:pt idx="6">
                  <c:v>440</c:v>
                </c:pt>
                <c:pt idx="7">
                  <c:v>440</c:v>
                </c:pt>
                <c:pt idx="8">
                  <c:v>440</c:v>
                </c:pt>
                <c:pt idx="9">
                  <c:v>440</c:v>
                </c:pt>
                <c:pt idx="10">
                  <c:v>440</c:v>
                </c:pt>
                <c:pt idx="11">
                  <c:v>440</c:v>
                </c:pt>
                <c:pt idx="12">
                  <c:v>440</c:v>
                </c:pt>
                <c:pt idx="13">
                  <c:v>440</c:v>
                </c:pt>
                <c:pt idx="14">
                  <c:v>440</c:v>
                </c:pt>
                <c:pt idx="15">
                  <c:v>440</c:v>
                </c:pt>
                <c:pt idx="16">
                  <c:v>440</c:v>
                </c:pt>
                <c:pt idx="17">
                  <c:v>440</c:v>
                </c:pt>
                <c:pt idx="18">
                  <c:v>440</c:v>
                </c:pt>
                <c:pt idx="19">
                  <c:v>440</c:v>
                </c:pt>
                <c:pt idx="20">
                  <c:v>440</c:v>
                </c:pt>
                <c:pt idx="21">
                  <c:v>440</c:v>
                </c:pt>
                <c:pt idx="22">
                  <c:v>440</c:v>
                </c:pt>
                <c:pt idx="23">
                  <c:v>440</c:v>
                </c:pt>
                <c:pt idx="24">
                  <c:v>440</c:v>
                </c:pt>
                <c:pt idx="25">
                  <c:v>440</c:v>
                </c:pt>
                <c:pt idx="26">
                  <c:v>440</c:v>
                </c:pt>
                <c:pt idx="27">
                  <c:v>440</c:v>
                </c:pt>
                <c:pt idx="28">
                  <c:v>440</c:v>
                </c:pt>
                <c:pt idx="29">
                  <c:v>440</c:v>
                </c:pt>
                <c:pt idx="30">
                  <c:v>440</c:v>
                </c:pt>
                <c:pt idx="31">
                  <c:v>440</c:v>
                </c:pt>
                <c:pt idx="32">
                  <c:v>440</c:v>
                </c:pt>
                <c:pt idx="33">
                  <c:v>440</c:v>
                </c:pt>
                <c:pt idx="34">
                  <c:v>440</c:v>
                </c:pt>
                <c:pt idx="35">
                  <c:v>440</c:v>
                </c:pt>
                <c:pt idx="36">
                  <c:v>440</c:v>
                </c:pt>
                <c:pt idx="37">
                  <c:v>440</c:v>
                </c:pt>
                <c:pt idx="38">
                  <c:v>440</c:v>
                </c:pt>
                <c:pt idx="39">
                  <c:v>440</c:v>
                </c:pt>
                <c:pt idx="40">
                  <c:v>440</c:v>
                </c:pt>
                <c:pt idx="41">
                  <c:v>440</c:v>
                </c:pt>
                <c:pt idx="42">
                  <c:v>440</c:v>
                </c:pt>
                <c:pt idx="43">
                  <c:v>440</c:v>
                </c:pt>
                <c:pt idx="44">
                  <c:v>440</c:v>
                </c:pt>
                <c:pt idx="45">
                  <c:v>440</c:v>
                </c:pt>
                <c:pt idx="46">
                  <c:v>440</c:v>
                </c:pt>
                <c:pt idx="47">
                  <c:v>440</c:v>
                </c:pt>
                <c:pt idx="48">
                  <c:v>440</c:v>
                </c:pt>
                <c:pt idx="49">
                  <c:v>440</c:v>
                </c:pt>
                <c:pt idx="50">
                  <c:v>440</c:v>
                </c:pt>
                <c:pt idx="51">
                  <c:v>440</c:v>
                </c:pt>
                <c:pt idx="52">
                  <c:v>440</c:v>
                </c:pt>
                <c:pt idx="53">
                  <c:v>440</c:v>
                </c:pt>
                <c:pt idx="54">
                  <c:v>440</c:v>
                </c:pt>
                <c:pt idx="55">
                  <c:v>440</c:v>
                </c:pt>
                <c:pt idx="56">
                  <c:v>440</c:v>
                </c:pt>
                <c:pt idx="57">
                  <c:v>440</c:v>
                </c:pt>
                <c:pt idx="58">
                  <c:v>440</c:v>
                </c:pt>
                <c:pt idx="59">
                  <c:v>440</c:v>
                </c:pt>
                <c:pt idx="60">
                  <c:v>440</c:v>
                </c:pt>
                <c:pt idx="61">
                  <c:v>440</c:v>
                </c:pt>
                <c:pt idx="62">
                  <c:v>440</c:v>
                </c:pt>
                <c:pt idx="63">
                  <c:v>440</c:v>
                </c:pt>
                <c:pt idx="64">
                  <c:v>440</c:v>
                </c:pt>
                <c:pt idx="65">
                  <c:v>440</c:v>
                </c:pt>
                <c:pt idx="66">
                  <c:v>440</c:v>
                </c:pt>
                <c:pt idx="67">
                  <c:v>440</c:v>
                </c:pt>
                <c:pt idx="68">
                  <c:v>440</c:v>
                </c:pt>
                <c:pt idx="69">
                  <c:v>440</c:v>
                </c:pt>
                <c:pt idx="70">
                  <c:v>440</c:v>
                </c:pt>
                <c:pt idx="71">
                  <c:v>440</c:v>
                </c:pt>
                <c:pt idx="72">
                  <c:v>440</c:v>
                </c:pt>
                <c:pt idx="73">
                  <c:v>440</c:v>
                </c:pt>
                <c:pt idx="74">
                  <c:v>440</c:v>
                </c:pt>
                <c:pt idx="75">
                  <c:v>440</c:v>
                </c:pt>
                <c:pt idx="76">
                  <c:v>440</c:v>
                </c:pt>
                <c:pt idx="77">
                  <c:v>440</c:v>
                </c:pt>
                <c:pt idx="78">
                  <c:v>440</c:v>
                </c:pt>
                <c:pt idx="79">
                  <c:v>440</c:v>
                </c:pt>
                <c:pt idx="80">
                  <c:v>440</c:v>
                </c:pt>
                <c:pt idx="81">
                  <c:v>440</c:v>
                </c:pt>
                <c:pt idx="82">
                  <c:v>440</c:v>
                </c:pt>
                <c:pt idx="83">
                  <c:v>440</c:v>
                </c:pt>
                <c:pt idx="84">
                  <c:v>440</c:v>
                </c:pt>
                <c:pt idx="85">
                  <c:v>440</c:v>
                </c:pt>
                <c:pt idx="86">
                  <c:v>440</c:v>
                </c:pt>
                <c:pt idx="87">
                  <c:v>440</c:v>
                </c:pt>
                <c:pt idx="88">
                  <c:v>440</c:v>
                </c:pt>
                <c:pt idx="89">
                  <c:v>440</c:v>
                </c:pt>
                <c:pt idx="90">
                  <c:v>440</c:v>
                </c:pt>
                <c:pt idx="91">
                  <c:v>440</c:v>
                </c:pt>
                <c:pt idx="92">
                  <c:v>440</c:v>
                </c:pt>
                <c:pt idx="93">
                  <c:v>440</c:v>
                </c:pt>
                <c:pt idx="94">
                  <c:v>440</c:v>
                </c:pt>
                <c:pt idx="95">
                  <c:v>440</c:v>
                </c:pt>
                <c:pt idx="96">
                  <c:v>440</c:v>
                </c:pt>
                <c:pt idx="97">
                  <c:v>440</c:v>
                </c:pt>
                <c:pt idx="98">
                  <c:v>440</c:v>
                </c:pt>
                <c:pt idx="99">
                  <c:v>440</c:v>
                </c:pt>
                <c:pt idx="100">
                  <c:v>440</c:v>
                </c:pt>
                <c:pt idx="101">
                  <c:v>440</c:v>
                </c:pt>
                <c:pt idx="102">
                  <c:v>440</c:v>
                </c:pt>
                <c:pt idx="103">
                  <c:v>440</c:v>
                </c:pt>
                <c:pt idx="104">
                  <c:v>440</c:v>
                </c:pt>
                <c:pt idx="105">
                  <c:v>440</c:v>
                </c:pt>
                <c:pt idx="106">
                  <c:v>440</c:v>
                </c:pt>
                <c:pt idx="107">
                  <c:v>440</c:v>
                </c:pt>
                <c:pt idx="108">
                  <c:v>440</c:v>
                </c:pt>
                <c:pt idx="109">
                  <c:v>440</c:v>
                </c:pt>
                <c:pt idx="110">
                  <c:v>440</c:v>
                </c:pt>
                <c:pt idx="111">
                  <c:v>440</c:v>
                </c:pt>
                <c:pt idx="112">
                  <c:v>440</c:v>
                </c:pt>
                <c:pt idx="113">
                  <c:v>440</c:v>
                </c:pt>
                <c:pt idx="114">
                  <c:v>440</c:v>
                </c:pt>
                <c:pt idx="115">
                  <c:v>440</c:v>
                </c:pt>
                <c:pt idx="116">
                  <c:v>440</c:v>
                </c:pt>
                <c:pt idx="117">
                  <c:v>440</c:v>
                </c:pt>
                <c:pt idx="118">
                  <c:v>440</c:v>
                </c:pt>
                <c:pt idx="119">
                  <c:v>440</c:v>
                </c:pt>
                <c:pt idx="120">
                  <c:v>440</c:v>
                </c:pt>
                <c:pt idx="121">
                  <c:v>440</c:v>
                </c:pt>
                <c:pt idx="122">
                  <c:v>440</c:v>
                </c:pt>
                <c:pt idx="123">
                  <c:v>440</c:v>
                </c:pt>
                <c:pt idx="124">
                  <c:v>440</c:v>
                </c:pt>
                <c:pt idx="125">
                  <c:v>440</c:v>
                </c:pt>
                <c:pt idx="126">
                  <c:v>440</c:v>
                </c:pt>
                <c:pt idx="127">
                  <c:v>440</c:v>
                </c:pt>
                <c:pt idx="128">
                  <c:v>440</c:v>
                </c:pt>
                <c:pt idx="129">
                  <c:v>440</c:v>
                </c:pt>
                <c:pt idx="130">
                  <c:v>440</c:v>
                </c:pt>
                <c:pt idx="131">
                  <c:v>440</c:v>
                </c:pt>
                <c:pt idx="132">
                  <c:v>440</c:v>
                </c:pt>
                <c:pt idx="133">
                  <c:v>440</c:v>
                </c:pt>
                <c:pt idx="134">
                  <c:v>440</c:v>
                </c:pt>
                <c:pt idx="135">
                  <c:v>440</c:v>
                </c:pt>
                <c:pt idx="136">
                  <c:v>440</c:v>
                </c:pt>
                <c:pt idx="137">
                  <c:v>440</c:v>
                </c:pt>
                <c:pt idx="138">
                  <c:v>440</c:v>
                </c:pt>
                <c:pt idx="139">
                  <c:v>440</c:v>
                </c:pt>
                <c:pt idx="140">
                  <c:v>440</c:v>
                </c:pt>
                <c:pt idx="141">
                  <c:v>440</c:v>
                </c:pt>
                <c:pt idx="142">
                  <c:v>440</c:v>
                </c:pt>
                <c:pt idx="143">
                  <c:v>440</c:v>
                </c:pt>
                <c:pt idx="144">
                  <c:v>440</c:v>
                </c:pt>
                <c:pt idx="145">
                  <c:v>440</c:v>
                </c:pt>
                <c:pt idx="146">
                  <c:v>440</c:v>
                </c:pt>
                <c:pt idx="147">
                  <c:v>440</c:v>
                </c:pt>
                <c:pt idx="148">
                  <c:v>440</c:v>
                </c:pt>
                <c:pt idx="149">
                  <c:v>440</c:v>
                </c:pt>
                <c:pt idx="150">
                  <c:v>440</c:v>
                </c:pt>
                <c:pt idx="151">
                  <c:v>440</c:v>
                </c:pt>
                <c:pt idx="152">
                  <c:v>440</c:v>
                </c:pt>
                <c:pt idx="153">
                  <c:v>440</c:v>
                </c:pt>
                <c:pt idx="154">
                  <c:v>440</c:v>
                </c:pt>
                <c:pt idx="155">
                  <c:v>440</c:v>
                </c:pt>
                <c:pt idx="156">
                  <c:v>440</c:v>
                </c:pt>
                <c:pt idx="157">
                  <c:v>440</c:v>
                </c:pt>
                <c:pt idx="158">
                  <c:v>440</c:v>
                </c:pt>
                <c:pt idx="159">
                  <c:v>440</c:v>
                </c:pt>
                <c:pt idx="160">
                  <c:v>440</c:v>
                </c:pt>
                <c:pt idx="161">
                  <c:v>440</c:v>
                </c:pt>
                <c:pt idx="162">
                  <c:v>440</c:v>
                </c:pt>
                <c:pt idx="163">
                  <c:v>440</c:v>
                </c:pt>
                <c:pt idx="164">
                  <c:v>440</c:v>
                </c:pt>
                <c:pt idx="165">
                  <c:v>440</c:v>
                </c:pt>
                <c:pt idx="166">
                  <c:v>440</c:v>
                </c:pt>
                <c:pt idx="167">
                  <c:v>440</c:v>
                </c:pt>
                <c:pt idx="168">
                  <c:v>440</c:v>
                </c:pt>
                <c:pt idx="169">
                  <c:v>440</c:v>
                </c:pt>
                <c:pt idx="170">
                  <c:v>440</c:v>
                </c:pt>
                <c:pt idx="171">
                  <c:v>440</c:v>
                </c:pt>
                <c:pt idx="172">
                  <c:v>440</c:v>
                </c:pt>
                <c:pt idx="173">
                  <c:v>440</c:v>
                </c:pt>
                <c:pt idx="174">
                  <c:v>440</c:v>
                </c:pt>
                <c:pt idx="175">
                  <c:v>440</c:v>
                </c:pt>
                <c:pt idx="176">
                  <c:v>440</c:v>
                </c:pt>
                <c:pt idx="177">
                  <c:v>440</c:v>
                </c:pt>
                <c:pt idx="178">
                  <c:v>440</c:v>
                </c:pt>
                <c:pt idx="179">
                  <c:v>440</c:v>
                </c:pt>
                <c:pt idx="180">
                  <c:v>440</c:v>
                </c:pt>
                <c:pt idx="181">
                  <c:v>440</c:v>
                </c:pt>
                <c:pt idx="182">
                  <c:v>440</c:v>
                </c:pt>
                <c:pt idx="183">
                  <c:v>440</c:v>
                </c:pt>
                <c:pt idx="184">
                  <c:v>440</c:v>
                </c:pt>
                <c:pt idx="185">
                  <c:v>440</c:v>
                </c:pt>
                <c:pt idx="186">
                  <c:v>440</c:v>
                </c:pt>
                <c:pt idx="187">
                  <c:v>440</c:v>
                </c:pt>
                <c:pt idx="188">
                  <c:v>440</c:v>
                </c:pt>
                <c:pt idx="189">
                  <c:v>440</c:v>
                </c:pt>
                <c:pt idx="190">
                  <c:v>440</c:v>
                </c:pt>
                <c:pt idx="191">
                  <c:v>440</c:v>
                </c:pt>
                <c:pt idx="192">
                  <c:v>440</c:v>
                </c:pt>
                <c:pt idx="193">
                  <c:v>440</c:v>
                </c:pt>
                <c:pt idx="194">
                  <c:v>440</c:v>
                </c:pt>
                <c:pt idx="195">
                  <c:v>440</c:v>
                </c:pt>
                <c:pt idx="196">
                  <c:v>440</c:v>
                </c:pt>
                <c:pt idx="197">
                  <c:v>440</c:v>
                </c:pt>
                <c:pt idx="198">
                  <c:v>440</c:v>
                </c:pt>
                <c:pt idx="199">
                  <c:v>440</c:v>
                </c:pt>
                <c:pt idx="200">
                  <c:v>440</c:v>
                </c:pt>
                <c:pt idx="201">
                  <c:v>440</c:v>
                </c:pt>
                <c:pt idx="202">
                  <c:v>440</c:v>
                </c:pt>
                <c:pt idx="203">
                  <c:v>440</c:v>
                </c:pt>
                <c:pt idx="204">
                  <c:v>440</c:v>
                </c:pt>
                <c:pt idx="205">
                  <c:v>440</c:v>
                </c:pt>
                <c:pt idx="206">
                  <c:v>440</c:v>
                </c:pt>
                <c:pt idx="207">
                  <c:v>440</c:v>
                </c:pt>
                <c:pt idx="208">
                  <c:v>440</c:v>
                </c:pt>
                <c:pt idx="209">
                  <c:v>440</c:v>
                </c:pt>
                <c:pt idx="210">
                  <c:v>440</c:v>
                </c:pt>
                <c:pt idx="211">
                  <c:v>440</c:v>
                </c:pt>
                <c:pt idx="212">
                  <c:v>440</c:v>
                </c:pt>
                <c:pt idx="213">
                  <c:v>440</c:v>
                </c:pt>
                <c:pt idx="214">
                  <c:v>440</c:v>
                </c:pt>
                <c:pt idx="215">
                  <c:v>440</c:v>
                </c:pt>
                <c:pt idx="216">
                  <c:v>440</c:v>
                </c:pt>
                <c:pt idx="217">
                  <c:v>440</c:v>
                </c:pt>
                <c:pt idx="218">
                  <c:v>440</c:v>
                </c:pt>
                <c:pt idx="219">
                  <c:v>440</c:v>
                </c:pt>
                <c:pt idx="220">
                  <c:v>440</c:v>
                </c:pt>
                <c:pt idx="221">
                  <c:v>440</c:v>
                </c:pt>
                <c:pt idx="222">
                  <c:v>440</c:v>
                </c:pt>
                <c:pt idx="223">
                  <c:v>440</c:v>
                </c:pt>
                <c:pt idx="224">
                  <c:v>440</c:v>
                </c:pt>
                <c:pt idx="225">
                  <c:v>440</c:v>
                </c:pt>
                <c:pt idx="226">
                  <c:v>440</c:v>
                </c:pt>
                <c:pt idx="227">
                  <c:v>440</c:v>
                </c:pt>
                <c:pt idx="228">
                  <c:v>440</c:v>
                </c:pt>
                <c:pt idx="229">
                  <c:v>440</c:v>
                </c:pt>
                <c:pt idx="230">
                  <c:v>440</c:v>
                </c:pt>
                <c:pt idx="231">
                  <c:v>440</c:v>
                </c:pt>
                <c:pt idx="232">
                  <c:v>440</c:v>
                </c:pt>
                <c:pt idx="233">
                  <c:v>440</c:v>
                </c:pt>
                <c:pt idx="234">
                  <c:v>440</c:v>
                </c:pt>
                <c:pt idx="235">
                  <c:v>440</c:v>
                </c:pt>
                <c:pt idx="236">
                  <c:v>440</c:v>
                </c:pt>
                <c:pt idx="237">
                  <c:v>440</c:v>
                </c:pt>
                <c:pt idx="238">
                  <c:v>440</c:v>
                </c:pt>
                <c:pt idx="239">
                  <c:v>440</c:v>
                </c:pt>
                <c:pt idx="240">
                  <c:v>440</c:v>
                </c:pt>
                <c:pt idx="241">
                  <c:v>440</c:v>
                </c:pt>
                <c:pt idx="242">
                  <c:v>440</c:v>
                </c:pt>
                <c:pt idx="243">
                  <c:v>440</c:v>
                </c:pt>
                <c:pt idx="244">
                  <c:v>440</c:v>
                </c:pt>
                <c:pt idx="245">
                  <c:v>440</c:v>
                </c:pt>
                <c:pt idx="246">
                  <c:v>440</c:v>
                </c:pt>
                <c:pt idx="247">
                  <c:v>440</c:v>
                </c:pt>
                <c:pt idx="248">
                  <c:v>440</c:v>
                </c:pt>
                <c:pt idx="249">
                  <c:v>440</c:v>
                </c:pt>
                <c:pt idx="250">
                  <c:v>440</c:v>
                </c:pt>
                <c:pt idx="251">
                  <c:v>440</c:v>
                </c:pt>
                <c:pt idx="252">
                  <c:v>440</c:v>
                </c:pt>
                <c:pt idx="253">
                  <c:v>440</c:v>
                </c:pt>
                <c:pt idx="254">
                  <c:v>440</c:v>
                </c:pt>
                <c:pt idx="255">
                  <c:v>440</c:v>
                </c:pt>
                <c:pt idx="256">
                  <c:v>440</c:v>
                </c:pt>
                <c:pt idx="257">
                  <c:v>440</c:v>
                </c:pt>
                <c:pt idx="258">
                  <c:v>440</c:v>
                </c:pt>
                <c:pt idx="259">
                  <c:v>440</c:v>
                </c:pt>
                <c:pt idx="260">
                  <c:v>440</c:v>
                </c:pt>
                <c:pt idx="261">
                  <c:v>440</c:v>
                </c:pt>
                <c:pt idx="262">
                  <c:v>440</c:v>
                </c:pt>
                <c:pt idx="263">
                  <c:v>440</c:v>
                </c:pt>
                <c:pt idx="264">
                  <c:v>440</c:v>
                </c:pt>
                <c:pt idx="265">
                  <c:v>440</c:v>
                </c:pt>
                <c:pt idx="266">
                  <c:v>440</c:v>
                </c:pt>
                <c:pt idx="267">
                  <c:v>440</c:v>
                </c:pt>
                <c:pt idx="268">
                  <c:v>440</c:v>
                </c:pt>
                <c:pt idx="269">
                  <c:v>440</c:v>
                </c:pt>
                <c:pt idx="270">
                  <c:v>440</c:v>
                </c:pt>
                <c:pt idx="271">
                  <c:v>440</c:v>
                </c:pt>
                <c:pt idx="272">
                  <c:v>440</c:v>
                </c:pt>
                <c:pt idx="273">
                  <c:v>440</c:v>
                </c:pt>
                <c:pt idx="274">
                  <c:v>440</c:v>
                </c:pt>
                <c:pt idx="275">
                  <c:v>440</c:v>
                </c:pt>
                <c:pt idx="276">
                  <c:v>440</c:v>
                </c:pt>
                <c:pt idx="277">
                  <c:v>440</c:v>
                </c:pt>
                <c:pt idx="278">
                  <c:v>440</c:v>
                </c:pt>
                <c:pt idx="279">
                  <c:v>440</c:v>
                </c:pt>
                <c:pt idx="280">
                  <c:v>440</c:v>
                </c:pt>
                <c:pt idx="281">
                  <c:v>440</c:v>
                </c:pt>
                <c:pt idx="282">
                  <c:v>440</c:v>
                </c:pt>
                <c:pt idx="283">
                  <c:v>440</c:v>
                </c:pt>
                <c:pt idx="284">
                  <c:v>440</c:v>
                </c:pt>
                <c:pt idx="285">
                  <c:v>440</c:v>
                </c:pt>
                <c:pt idx="286">
                  <c:v>440</c:v>
                </c:pt>
                <c:pt idx="287">
                  <c:v>440</c:v>
                </c:pt>
                <c:pt idx="288">
                  <c:v>440</c:v>
                </c:pt>
                <c:pt idx="289">
                  <c:v>440</c:v>
                </c:pt>
                <c:pt idx="290">
                  <c:v>440</c:v>
                </c:pt>
                <c:pt idx="291">
                  <c:v>440</c:v>
                </c:pt>
                <c:pt idx="292">
                  <c:v>440</c:v>
                </c:pt>
                <c:pt idx="293">
                  <c:v>440</c:v>
                </c:pt>
                <c:pt idx="294">
                  <c:v>440</c:v>
                </c:pt>
                <c:pt idx="295">
                  <c:v>440</c:v>
                </c:pt>
                <c:pt idx="296">
                  <c:v>440</c:v>
                </c:pt>
                <c:pt idx="297">
                  <c:v>440</c:v>
                </c:pt>
                <c:pt idx="298">
                  <c:v>440</c:v>
                </c:pt>
                <c:pt idx="299">
                  <c:v>440</c:v>
                </c:pt>
                <c:pt idx="300">
                  <c:v>440</c:v>
                </c:pt>
                <c:pt idx="301">
                  <c:v>440</c:v>
                </c:pt>
                <c:pt idx="302">
                  <c:v>440</c:v>
                </c:pt>
                <c:pt idx="303">
                  <c:v>440</c:v>
                </c:pt>
                <c:pt idx="304">
                  <c:v>440</c:v>
                </c:pt>
                <c:pt idx="305">
                  <c:v>440</c:v>
                </c:pt>
                <c:pt idx="306">
                  <c:v>440</c:v>
                </c:pt>
                <c:pt idx="307">
                  <c:v>440</c:v>
                </c:pt>
                <c:pt idx="308">
                  <c:v>440</c:v>
                </c:pt>
                <c:pt idx="309">
                  <c:v>440</c:v>
                </c:pt>
                <c:pt idx="310">
                  <c:v>440</c:v>
                </c:pt>
                <c:pt idx="311">
                  <c:v>440</c:v>
                </c:pt>
                <c:pt idx="312">
                  <c:v>440</c:v>
                </c:pt>
                <c:pt idx="313">
                  <c:v>440</c:v>
                </c:pt>
                <c:pt idx="314">
                  <c:v>440</c:v>
                </c:pt>
                <c:pt idx="315">
                  <c:v>440</c:v>
                </c:pt>
                <c:pt idx="316">
                  <c:v>440</c:v>
                </c:pt>
                <c:pt idx="317">
                  <c:v>440</c:v>
                </c:pt>
                <c:pt idx="318">
                  <c:v>440</c:v>
                </c:pt>
                <c:pt idx="319">
                  <c:v>440</c:v>
                </c:pt>
                <c:pt idx="320">
                  <c:v>440</c:v>
                </c:pt>
                <c:pt idx="321">
                  <c:v>440</c:v>
                </c:pt>
                <c:pt idx="322">
                  <c:v>440</c:v>
                </c:pt>
                <c:pt idx="323">
                  <c:v>440</c:v>
                </c:pt>
                <c:pt idx="324">
                  <c:v>440</c:v>
                </c:pt>
                <c:pt idx="325">
                  <c:v>440</c:v>
                </c:pt>
                <c:pt idx="326">
                  <c:v>440</c:v>
                </c:pt>
                <c:pt idx="327">
                  <c:v>440</c:v>
                </c:pt>
                <c:pt idx="328">
                  <c:v>440</c:v>
                </c:pt>
                <c:pt idx="329">
                  <c:v>440</c:v>
                </c:pt>
                <c:pt idx="330">
                  <c:v>440</c:v>
                </c:pt>
                <c:pt idx="331">
                  <c:v>440</c:v>
                </c:pt>
                <c:pt idx="332">
                  <c:v>440</c:v>
                </c:pt>
                <c:pt idx="333">
                  <c:v>440</c:v>
                </c:pt>
                <c:pt idx="334">
                  <c:v>440</c:v>
                </c:pt>
                <c:pt idx="335">
                  <c:v>440</c:v>
                </c:pt>
                <c:pt idx="336">
                  <c:v>440</c:v>
                </c:pt>
                <c:pt idx="337">
                  <c:v>440</c:v>
                </c:pt>
                <c:pt idx="338">
                  <c:v>440</c:v>
                </c:pt>
                <c:pt idx="339">
                  <c:v>440</c:v>
                </c:pt>
                <c:pt idx="340">
                  <c:v>440</c:v>
                </c:pt>
                <c:pt idx="341">
                  <c:v>440</c:v>
                </c:pt>
                <c:pt idx="342">
                  <c:v>440</c:v>
                </c:pt>
                <c:pt idx="343">
                  <c:v>440</c:v>
                </c:pt>
                <c:pt idx="344">
                  <c:v>440</c:v>
                </c:pt>
                <c:pt idx="345">
                  <c:v>440</c:v>
                </c:pt>
                <c:pt idx="346">
                  <c:v>440</c:v>
                </c:pt>
                <c:pt idx="347">
                  <c:v>440</c:v>
                </c:pt>
                <c:pt idx="348">
                  <c:v>440</c:v>
                </c:pt>
                <c:pt idx="349">
                  <c:v>440</c:v>
                </c:pt>
                <c:pt idx="350">
                  <c:v>440</c:v>
                </c:pt>
                <c:pt idx="351">
                  <c:v>440</c:v>
                </c:pt>
                <c:pt idx="352">
                  <c:v>440</c:v>
                </c:pt>
                <c:pt idx="353">
                  <c:v>440</c:v>
                </c:pt>
                <c:pt idx="354">
                  <c:v>440</c:v>
                </c:pt>
                <c:pt idx="355">
                  <c:v>440</c:v>
                </c:pt>
                <c:pt idx="356">
                  <c:v>440</c:v>
                </c:pt>
                <c:pt idx="357">
                  <c:v>440</c:v>
                </c:pt>
                <c:pt idx="358">
                  <c:v>440</c:v>
                </c:pt>
                <c:pt idx="359">
                  <c:v>440</c:v>
                </c:pt>
                <c:pt idx="360">
                  <c:v>440</c:v>
                </c:pt>
                <c:pt idx="361">
                  <c:v>440</c:v>
                </c:pt>
                <c:pt idx="362">
                  <c:v>440</c:v>
                </c:pt>
                <c:pt idx="363">
                  <c:v>440</c:v>
                </c:pt>
                <c:pt idx="364">
                  <c:v>440</c:v>
                </c:pt>
              </c:numCache>
            </c:numRef>
          </c:val>
          <c:smooth val="0"/>
          <c:extLst>
            <c:ext xmlns:c16="http://schemas.microsoft.com/office/drawing/2014/chart" uri="{C3380CC4-5D6E-409C-BE32-E72D297353CC}">
              <c16:uniqueId val="{00000005-A2D5-48D4-BF3C-75458A40ABC4}"/>
            </c:ext>
          </c:extLst>
        </c:ser>
        <c:dLbls>
          <c:showLegendKey val="0"/>
          <c:showVal val="0"/>
          <c:showCatName val="0"/>
          <c:showSerName val="0"/>
          <c:showPercent val="0"/>
          <c:showBubbleSize val="0"/>
        </c:dLbls>
        <c:marker val="1"/>
        <c:smooth val="0"/>
        <c:axId val="77961568"/>
        <c:axId val="1"/>
      </c:lineChart>
      <c:dateAx>
        <c:axId val="77961568"/>
        <c:scaling>
          <c:orientation val="minMax"/>
        </c:scaling>
        <c:delete val="0"/>
        <c:axPos val="b"/>
        <c:numFmt formatCode="d/mm/yyyy" sourceLinked="0"/>
        <c:majorTickMark val="out"/>
        <c:minorTickMark val="none"/>
        <c:tickLblPos val="nextTo"/>
        <c:spPr>
          <a:noFill/>
          <a:ln w="9525" cap="flat" cmpd="sng" algn="ctr">
            <a:solidFill>
              <a:schemeClr val="tx1">
                <a:lumMod val="15000"/>
                <a:lumOff val="85000"/>
              </a:schemeClr>
            </a:solidFill>
            <a:round/>
          </a:ln>
          <a:effectLst/>
        </c:spPr>
        <c:txPr>
          <a:bodyPr rot="-5400000" vert="horz"/>
          <a:lstStyle/>
          <a:p>
            <a:pPr>
              <a:defRPr sz="900" b="0" i="0" u="none" strike="noStrike" baseline="0">
                <a:solidFill>
                  <a:srgbClr val="333333"/>
                </a:solidFill>
                <a:latin typeface="Arial"/>
                <a:ea typeface="Arial"/>
                <a:cs typeface="Arial"/>
              </a:defRPr>
            </a:pPr>
            <a:endParaRPr lang="en-US"/>
          </a:p>
        </c:txPr>
        <c:crossAx val="1"/>
        <c:crosses val="autoZero"/>
        <c:auto val="1"/>
        <c:lblOffset val="100"/>
        <c:baseTimeUnit val="days"/>
        <c:majorUnit val="3"/>
        <c:minorUnit val="1"/>
      </c:dateAx>
      <c:valAx>
        <c:axId val="1"/>
        <c:scaling>
          <c:orientation val="minMax"/>
        </c:scaling>
        <c:delete val="0"/>
        <c:axPos val="l"/>
        <c:majorGridlines>
          <c:spPr>
            <a:ln w="9525" cap="flat" cmpd="sng" algn="ctr">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round/>
            </a:ln>
            <a:effectLst/>
          </c:spPr>
        </c:majorGridlines>
        <c:numFmt formatCode="_(* #,##0_);_(* \(#,##0\);_(* &quot;-&quot;_);_(@_)" sourceLinked="1"/>
        <c:majorTickMark val="none"/>
        <c:minorTickMark val="none"/>
        <c:tickLblPos val="nextTo"/>
        <c:spPr>
          <a:ln w="9525">
            <a:noFill/>
          </a:ln>
        </c:spPr>
        <c:txPr>
          <a:bodyPr rot="0" vert="horz"/>
          <a:lstStyle/>
          <a:p>
            <a:pPr>
              <a:defRPr sz="1200" b="0" i="0" u="none" strike="noStrike" baseline="0">
                <a:solidFill>
                  <a:srgbClr val="333333"/>
                </a:solidFill>
                <a:latin typeface="Calibri"/>
                <a:ea typeface="Calibri"/>
                <a:cs typeface="Calibri"/>
              </a:defRPr>
            </a:pPr>
            <a:endParaRPr lang="en-US"/>
          </a:p>
        </c:txPr>
        <c:crossAx val="77961568"/>
        <c:crosses val="autoZero"/>
        <c:crossBetween val="between"/>
      </c:valAx>
      <c:spPr>
        <a:noFill/>
        <a:ln w="25400">
          <a:noFill/>
        </a:ln>
      </c:spPr>
    </c:plotArea>
    <c:legend>
      <c:legendPos val="b"/>
      <c:layout>
        <c:manualLayout>
          <c:xMode val="edge"/>
          <c:yMode val="edge"/>
          <c:x val="1.7813112269417027E-3"/>
          <c:y val="0.90563243424359186"/>
          <c:w val="0.47846156334331452"/>
          <c:h val="2.3599585512803833E-2"/>
        </c:manualLayout>
      </c:layout>
      <c:overlay val="0"/>
      <c:spPr>
        <a:noFill/>
        <a:ln w="25400">
          <a:noFill/>
        </a:ln>
      </c:spPr>
      <c:txPr>
        <a:bodyPr/>
        <a:lstStyle/>
        <a:p>
          <a:pPr>
            <a:defRPr sz="850" b="0" i="0" u="none" strike="noStrike" baseline="0">
              <a:solidFill>
                <a:srgbClr val="333333"/>
              </a:solidFill>
              <a:latin typeface="Arial"/>
              <a:ea typeface="Arial"/>
              <a:cs typeface="Arial"/>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b="0" i="0" u="none" strike="noStrike" baseline="0">
                <a:solidFill>
                  <a:srgbClr val="333333"/>
                </a:solidFill>
                <a:latin typeface="Arial"/>
                <a:ea typeface="Arial"/>
                <a:cs typeface="Arial"/>
              </a:defRPr>
            </a:pPr>
            <a:r>
              <a:rPr lang="en-AU"/>
              <a:t>Pricing benchmarks</a:t>
            </a:r>
          </a:p>
        </c:rich>
      </c:tx>
      <c:overlay val="0"/>
      <c:spPr>
        <a:noFill/>
        <a:ln w="25400">
          <a:noFill/>
        </a:ln>
      </c:spPr>
    </c:title>
    <c:autoTitleDeleted val="0"/>
    <c:plotArea>
      <c:layout/>
      <c:barChart>
        <c:barDir val="col"/>
        <c:grouping val="stacked"/>
        <c:varyColors val="0"/>
        <c:ser>
          <c:idx val="0"/>
          <c:order val="0"/>
          <c:tx>
            <c:strRef>
              <c:f>'6. Pricing template'!$D$36</c:f>
              <c:strCache>
                <c:ptCount val="1"/>
                <c:pt idx="0">
                  <c:v>Fixed operating costs per unit</c:v>
                </c:pt>
              </c:strCache>
            </c:strRef>
          </c:tx>
          <c:spPr>
            <a:solidFill>
              <a:srgbClr val="2B7AAF"/>
            </a:solidFill>
            <a:ln w="25400">
              <a:noFill/>
            </a:ln>
          </c:spPr>
          <c:invertIfNegative val="0"/>
          <c:dLbls>
            <c:numFmt formatCode="_-\$* #,##0.0000_-;\-\$* #,##0.0000_-;_-\$* &quot;-&quot;????_-;_-@_-" sourceLinked="0"/>
            <c:spPr>
              <a:noFill/>
              <a:ln w="25400">
                <a:noFill/>
              </a:ln>
            </c:spPr>
            <c:txPr>
              <a:bodyPr wrap="square" lIns="38100" tIns="19050" rIns="38100" bIns="19050" anchor="ctr">
                <a:spAutoFit/>
              </a:bodyPr>
              <a:lstStyle/>
              <a:p>
                <a:pPr>
                  <a:defRPr sz="1200" b="0" i="0" u="none" strike="noStrike" baseline="0">
                    <a:solidFill>
                      <a:srgbClr val="FFFFFF"/>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'6. Pricing template'!$B$37:$C$56</c:f>
              <c:multiLvlStrCache>
                <c:ptCount val="20"/>
                <c:lvl>
                  <c:pt idx="0">
                    <c:v>Low</c:v>
                  </c:pt>
                  <c:pt idx="1">
                    <c:v>High</c:v>
                  </c:pt>
                  <c:pt idx="2">
                    <c:v>Low</c:v>
                  </c:pt>
                  <c:pt idx="3">
                    <c:v>High</c:v>
                  </c:pt>
                  <c:pt idx="4">
                    <c:v>Low</c:v>
                  </c:pt>
                  <c:pt idx="5">
                    <c:v>High</c:v>
                  </c:pt>
                  <c:pt idx="6">
                    <c:v>Low</c:v>
                  </c:pt>
                  <c:pt idx="7">
                    <c:v>High</c:v>
                  </c:pt>
                  <c:pt idx="8">
                    <c:v>Low</c:v>
                  </c:pt>
                  <c:pt idx="9">
                    <c:v>High</c:v>
                  </c:pt>
                  <c:pt idx="10">
                    <c:v>Low</c:v>
                  </c:pt>
                  <c:pt idx="11">
                    <c:v>High</c:v>
                  </c:pt>
                  <c:pt idx="12">
                    <c:v>Low</c:v>
                  </c:pt>
                  <c:pt idx="13">
                    <c:v>High</c:v>
                  </c:pt>
                  <c:pt idx="14">
                    <c:v>Low</c:v>
                  </c:pt>
                  <c:pt idx="15">
                    <c:v>High</c:v>
                  </c:pt>
                  <c:pt idx="16">
                    <c:v>Low</c:v>
                  </c:pt>
                  <c:pt idx="17">
                    <c:v>High</c:v>
                  </c:pt>
                  <c:pt idx="18">
                    <c:v>Low</c:v>
                  </c:pt>
                  <c:pt idx="19">
                    <c:v>High</c:v>
                  </c:pt>
                </c:lvl>
                <c:lvl>
                  <c:pt idx="0">
                    <c:v>Firm forward haul transportation service</c:v>
                  </c:pt>
                  <c:pt idx="2">
                    <c:v>Backhaul service</c:v>
                  </c:pt>
                  <c:pt idx="4">
                    <c:v>Interruptible or as available transportation service</c:v>
                  </c:pt>
                  <c:pt idx="6">
                    <c:v>Firm stand-alone compression service</c:v>
                  </c:pt>
                  <c:pt idx="8">
                    <c:v>Interruptible or as available stand-alone compression service</c:v>
                  </c:pt>
                  <c:pt idx="10">
                    <c:v>Park service</c:v>
                  </c:pt>
                  <c:pt idx="12">
                    <c:v>Park and loan services</c:v>
                  </c:pt>
                  <c:pt idx="14">
                    <c:v>Capacity trading service</c:v>
                  </c:pt>
                  <c:pt idx="16">
                    <c:v>In pipe trading service</c:v>
                  </c:pt>
                  <c:pt idx="18">
                    <c:v>Other</c:v>
                  </c:pt>
                </c:lvl>
              </c:multiLvlStrCache>
            </c:multiLvlStrRef>
          </c:cat>
          <c:val>
            <c:numRef>
              <c:f>'6. Pricing template'!$D$37:$D$56</c:f>
              <c:numCache>
                <c:formatCode>_(* #,##0.0000_);_(* \(#,##0.0000\);_(* "-"_);_(@_)</c:formatCode>
                <c:ptCount val="20"/>
                <c:pt idx="0">
                  <c:v>2.3898848951214448E-2</c:v>
                </c:pt>
                <c:pt idx="1">
                  <c:v>5.5154816547376369E-2</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val>
          <c:extLst>
            <c:ext xmlns:c16="http://schemas.microsoft.com/office/drawing/2014/chart" uri="{C3380CC4-5D6E-409C-BE32-E72D297353CC}">
              <c16:uniqueId val="{00000000-AD76-42BD-8AB5-5438C4701417}"/>
            </c:ext>
          </c:extLst>
        </c:ser>
        <c:ser>
          <c:idx val="1"/>
          <c:order val="1"/>
          <c:tx>
            <c:strRef>
              <c:f>'6. Pricing template'!$E$36</c:f>
              <c:strCache>
                <c:ptCount val="1"/>
                <c:pt idx="0">
                  <c:v>Return of capital per unit</c:v>
                </c:pt>
              </c:strCache>
            </c:strRef>
          </c:tx>
          <c:spPr>
            <a:solidFill>
              <a:schemeClr val="accent6">
                <a:lumMod val="60000"/>
                <a:lumOff val="40000"/>
              </a:schemeClr>
            </a:solidFill>
            <a:ln>
              <a:noFill/>
            </a:ln>
            <a:effectLst/>
          </c:spPr>
          <c:invertIfNegative val="0"/>
          <c:dLbls>
            <c:numFmt formatCode="_-\$* #,##0.0000_-;\-\$* #,##0.0000_-;_-\$* &quot;-&quot;????_-;_-@_-" sourceLinked="0"/>
            <c:spPr>
              <a:noFill/>
              <a:ln w="25400">
                <a:noFill/>
              </a:ln>
            </c:spPr>
            <c:txPr>
              <a:bodyPr wrap="square" lIns="38100" tIns="19050" rIns="38100" bIns="19050" anchor="ctr">
                <a:spAutoFit/>
              </a:bodyPr>
              <a:lstStyle/>
              <a:p>
                <a:pPr>
                  <a:defRPr sz="1200" b="0" i="0" u="none" strike="noStrike" baseline="0">
                    <a:solidFill>
                      <a:srgbClr val="333333"/>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'6. Pricing template'!$B$37:$C$56</c:f>
              <c:multiLvlStrCache>
                <c:ptCount val="20"/>
                <c:lvl>
                  <c:pt idx="0">
                    <c:v>Low</c:v>
                  </c:pt>
                  <c:pt idx="1">
                    <c:v>High</c:v>
                  </c:pt>
                  <c:pt idx="2">
                    <c:v>Low</c:v>
                  </c:pt>
                  <c:pt idx="3">
                    <c:v>High</c:v>
                  </c:pt>
                  <c:pt idx="4">
                    <c:v>Low</c:v>
                  </c:pt>
                  <c:pt idx="5">
                    <c:v>High</c:v>
                  </c:pt>
                  <c:pt idx="6">
                    <c:v>Low</c:v>
                  </c:pt>
                  <c:pt idx="7">
                    <c:v>High</c:v>
                  </c:pt>
                  <c:pt idx="8">
                    <c:v>Low</c:v>
                  </c:pt>
                  <c:pt idx="9">
                    <c:v>High</c:v>
                  </c:pt>
                  <c:pt idx="10">
                    <c:v>Low</c:v>
                  </c:pt>
                  <c:pt idx="11">
                    <c:v>High</c:v>
                  </c:pt>
                  <c:pt idx="12">
                    <c:v>Low</c:v>
                  </c:pt>
                  <c:pt idx="13">
                    <c:v>High</c:v>
                  </c:pt>
                  <c:pt idx="14">
                    <c:v>Low</c:v>
                  </c:pt>
                  <c:pt idx="15">
                    <c:v>High</c:v>
                  </c:pt>
                  <c:pt idx="16">
                    <c:v>Low</c:v>
                  </c:pt>
                  <c:pt idx="17">
                    <c:v>High</c:v>
                  </c:pt>
                  <c:pt idx="18">
                    <c:v>Low</c:v>
                  </c:pt>
                  <c:pt idx="19">
                    <c:v>High</c:v>
                  </c:pt>
                </c:lvl>
                <c:lvl>
                  <c:pt idx="0">
                    <c:v>Firm forward haul transportation service</c:v>
                  </c:pt>
                  <c:pt idx="2">
                    <c:v>Backhaul service</c:v>
                  </c:pt>
                  <c:pt idx="4">
                    <c:v>Interruptible or as available transportation service</c:v>
                  </c:pt>
                  <c:pt idx="6">
                    <c:v>Firm stand-alone compression service</c:v>
                  </c:pt>
                  <c:pt idx="8">
                    <c:v>Interruptible or as available stand-alone compression service</c:v>
                  </c:pt>
                  <c:pt idx="10">
                    <c:v>Park service</c:v>
                  </c:pt>
                  <c:pt idx="12">
                    <c:v>Park and loan services</c:v>
                  </c:pt>
                  <c:pt idx="14">
                    <c:v>Capacity trading service</c:v>
                  </c:pt>
                  <c:pt idx="16">
                    <c:v>In pipe trading service</c:v>
                  </c:pt>
                  <c:pt idx="18">
                    <c:v>Other</c:v>
                  </c:pt>
                </c:lvl>
              </c:multiLvlStrCache>
            </c:multiLvlStrRef>
          </c:cat>
          <c:val>
            <c:numRef>
              <c:f>'6. Pricing template'!$E$37:$E$56</c:f>
              <c:numCache>
                <c:formatCode>_(* #,##0.0000_);_(* \(#,##0.0000\);_(* "-"_);_(@_)</c:formatCode>
                <c:ptCount val="20"/>
                <c:pt idx="0">
                  <c:v>2.9308524462024196E-2</c:v>
                </c:pt>
                <c:pt idx="1">
                  <c:v>6.6939017648871085E-2</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val>
          <c:extLst>
            <c:ext xmlns:c16="http://schemas.microsoft.com/office/drawing/2014/chart" uri="{C3380CC4-5D6E-409C-BE32-E72D297353CC}">
              <c16:uniqueId val="{00000001-AD76-42BD-8AB5-5438C4701417}"/>
            </c:ext>
          </c:extLst>
        </c:ser>
        <c:ser>
          <c:idx val="2"/>
          <c:order val="2"/>
          <c:tx>
            <c:strRef>
              <c:f>'6. Pricing template'!$F$36</c:f>
              <c:strCache>
                <c:ptCount val="1"/>
                <c:pt idx="0">
                  <c:v>Return on capital &amp; Tax per unit</c:v>
                </c:pt>
              </c:strCache>
            </c:strRef>
          </c:tx>
          <c:spPr>
            <a:solidFill>
              <a:srgbClr val="FFECC9"/>
            </a:solidFill>
            <a:ln w="25400">
              <a:noFill/>
            </a:ln>
          </c:spPr>
          <c:invertIfNegative val="0"/>
          <c:dLbls>
            <c:numFmt formatCode="_-\$* #,##0.0000_-;\-\$* #,##0.0000_-;_-\$* &quot;-&quot;????_-;_-@_-" sourceLinked="0"/>
            <c:spPr>
              <a:noFill/>
              <a:ln w="25400">
                <a:noFill/>
              </a:ln>
            </c:spPr>
            <c:txPr>
              <a:bodyPr wrap="square" lIns="38100" tIns="19050" rIns="38100" bIns="19050" anchor="ctr">
                <a:spAutoFit/>
              </a:bodyPr>
              <a:lstStyle/>
              <a:p>
                <a:pPr>
                  <a:defRPr sz="1200" b="0" i="0" u="none" strike="noStrike" baseline="0">
                    <a:solidFill>
                      <a:srgbClr val="333333"/>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'6. Pricing template'!$B$37:$C$56</c:f>
              <c:multiLvlStrCache>
                <c:ptCount val="20"/>
                <c:lvl>
                  <c:pt idx="0">
                    <c:v>Low</c:v>
                  </c:pt>
                  <c:pt idx="1">
                    <c:v>High</c:v>
                  </c:pt>
                  <c:pt idx="2">
                    <c:v>Low</c:v>
                  </c:pt>
                  <c:pt idx="3">
                    <c:v>High</c:v>
                  </c:pt>
                  <c:pt idx="4">
                    <c:v>Low</c:v>
                  </c:pt>
                  <c:pt idx="5">
                    <c:v>High</c:v>
                  </c:pt>
                  <c:pt idx="6">
                    <c:v>Low</c:v>
                  </c:pt>
                  <c:pt idx="7">
                    <c:v>High</c:v>
                  </c:pt>
                  <c:pt idx="8">
                    <c:v>Low</c:v>
                  </c:pt>
                  <c:pt idx="9">
                    <c:v>High</c:v>
                  </c:pt>
                  <c:pt idx="10">
                    <c:v>Low</c:v>
                  </c:pt>
                  <c:pt idx="11">
                    <c:v>High</c:v>
                  </c:pt>
                  <c:pt idx="12">
                    <c:v>Low</c:v>
                  </c:pt>
                  <c:pt idx="13">
                    <c:v>High</c:v>
                  </c:pt>
                  <c:pt idx="14">
                    <c:v>Low</c:v>
                  </c:pt>
                  <c:pt idx="15">
                    <c:v>High</c:v>
                  </c:pt>
                  <c:pt idx="16">
                    <c:v>Low</c:v>
                  </c:pt>
                  <c:pt idx="17">
                    <c:v>High</c:v>
                  </c:pt>
                  <c:pt idx="18">
                    <c:v>Low</c:v>
                  </c:pt>
                  <c:pt idx="19">
                    <c:v>High</c:v>
                  </c:pt>
                </c:lvl>
                <c:lvl>
                  <c:pt idx="0">
                    <c:v>Firm forward haul transportation service</c:v>
                  </c:pt>
                  <c:pt idx="2">
                    <c:v>Backhaul service</c:v>
                  </c:pt>
                  <c:pt idx="4">
                    <c:v>Interruptible or as available transportation service</c:v>
                  </c:pt>
                  <c:pt idx="6">
                    <c:v>Firm stand-alone compression service</c:v>
                  </c:pt>
                  <c:pt idx="8">
                    <c:v>Interruptible or as available stand-alone compression service</c:v>
                  </c:pt>
                  <c:pt idx="10">
                    <c:v>Park service</c:v>
                  </c:pt>
                  <c:pt idx="12">
                    <c:v>Park and loan services</c:v>
                  </c:pt>
                  <c:pt idx="14">
                    <c:v>Capacity trading service</c:v>
                  </c:pt>
                  <c:pt idx="16">
                    <c:v>In pipe trading service</c:v>
                  </c:pt>
                  <c:pt idx="18">
                    <c:v>Other</c:v>
                  </c:pt>
                </c:lvl>
              </c:multiLvlStrCache>
            </c:multiLvlStrRef>
          </c:cat>
          <c:val>
            <c:numRef>
              <c:f>'6. Pricing template'!$F$37:$F$56</c:f>
              <c:numCache>
                <c:formatCode>_(* #,##0.0000_);_(* \(#,##0.0000\);_(* "-"_);_(@_)</c:formatCode>
                <c:ptCount val="20"/>
                <c:pt idx="0">
                  <c:v>4.5838251776087635E-2</c:v>
                </c:pt>
                <c:pt idx="1">
                  <c:v>5.1790741043843777E-2</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val>
          <c:extLst>
            <c:ext xmlns:c16="http://schemas.microsoft.com/office/drawing/2014/chart" uri="{C3380CC4-5D6E-409C-BE32-E72D297353CC}">
              <c16:uniqueId val="{00000002-AD76-42BD-8AB5-5438C4701417}"/>
            </c:ext>
          </c:extLst>
        </c:ser>
        <c:dLbls>
          <c:showLegendKey val="0"/>
          <c:showVal val="0"/>
          <c:showCatName val="0"/>
          <c:showSerName val="0"/>
          <c:showPercent val="0"/>
          <c:showBubbleSize val="0"/>
        </c:dLbls>
        <c:gapWidth val="34"/>
        <c:overlap val="100"/>
        <c:axId val="645008240"/>
        <c:axId val="1"/>
      </c:barChart>
      <c:lineChart>
        <c:grouping val="standard"/>
        <c:varyColors val="0"/>
        <c:ser>
          <c:idx val="3"/>
          <c:order val="3"/>
          <c:tx>
            <c:strRef>
              <c:f>'6. Pricing template'!$G$36</c:f>
              <c:strCache>
                <c:ptCount val="1"/>
                <c:pt idx="0">
                  <c:v>Total cost per unit</c:v>
                </c:pt>
              </c:strCache>
            </c:strRef>
          </c:tx>
          <c:spPr>
            <a:ln w="28575">
              <a:noFill/>
            </a:ln>
          </c:spPr>
          <c:marker>
            <c:symbol val="none"/>
          </c:marker>
          <c:dLbls>
            <c:numFmt formatCode="_-\$* #,##0.0000_-;\-\$* #,##0.0000_-;_-\$* &quot;-&quot;????_-;_-@_-" sourceLinked="0"/>
            <c:spPr>
              <a:noFill/>
              <a:ln w="25400">
                <a:noFill/>
              </a:ln>
            </c:spPr>
            <c:txPr>
              <a:bodyPr wrap="square" lIns="38100" tIns="19050" rIns="38100" bIns="19050" anchor="ctr">
                <a:spAutoFit/>
              </a:bodyPr>
              <a:lstStyle/>
              <a:p>
                <a:pPr>
                  <a:defRPr sz="1200" b="1" i="0" u="none" strike="noStrike" baseline="0">
                    <a:solidFill>
                      <a:srgbClr val="333333"/>
                    </a:solidFill>
                    <a:latin typeface="Calibri"/>
                    <a:ea typeface="Calibri"/>
                    <a:cs typeface="Calibri"/>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'6. Pricing template'!$B$37:$C$54</c:f>
              <c:multiLvlStrCache>
                <c:ptCount val="18"/>
                <c:lvl>
                  <c:pt idx="0">
                    <c:v>Low</c:v>
                  </c:pt>
                  <c:pt idx="1">
                    <c:v>High</c:v>
                  </c:pt>
                  <c:pt idx="2">
                    <c:v>Low</c:v>
                  </c:pt>
                  <c:pt idx="3">
                    <c:v>High</c:v>
                  </c:pt>
                  <c:pt idx="4">
                    <c:v>Low</c:v>
                  </c:pt>
                  <c:pt idx="5">
                    <c:v>High</c:v>
                  </c:pt>
                  <c:pt idx="6">
                    <c:v>Low</c:v>
                  </c:pt>
                  <c:pt idx="7">
                    <c:v>High</c:v>
                  </c:pt>
                  <c:pt idx="8">
                    <c:v>Low</c:v>
                  </c:pt>
                  <c:pt idx="9">
                    <c:v>High</c:v>
                  </c:pt>
                  <c:pt idx="10">
                    <c:v>Low</c:v>
                  </c:pt>
                  <c:pt idx="11">
                    <c:v>High</c:v>
                  </c:pt>
                  <c:pt idx="12">
                    <c:v>Low</c:v>
                  </c:pt>
                  <c:pt idx="13">
                    <c:v>High</c:v>
                  </c:pt>
                  <c:pt idx="14">
                    <c:v>Low</c:v>
                  </c:pt>
                  <c:pt idx="15">
                    <c:v>High</c:v>
                  </c:pt>
                  <c:pt idx="16">
                    <c:v>Low</c:v>
                  </c:pt>
                  <c:pt idx="17">
                    <c:v>High</c:v>
                  </c:pt>
                </c:lvl>
                <c:lvl>
                  <c:pt idx="0">
                    <c:v>Firm forward haul transportation service</c:v>
                  </c:pt>
                  <c:pt idx="2">
                    <c:v>Backhaul service</c:v>
                  </c:pt>
                  <c:pt idx="4">
                    <c:v>Interruptible or as available transportation service</c:v>
                  </c:pt>
                  <c:pt idx="6">
                    <c:v>Firm stand-alone compression service</c:v>
                  </c:pt>
                  <c:pt idx="8">
                    <c:v>Interruptible or as available stand-alone compression service</c:v>
                  </c:pt>
                  <c:pt idx="10">
                    <c:v>Park service</c:v>
                  </c:pt>
                  <c:pt idx="12">
                    <c:v>Park and loan services</c:v>
                  </c:pt>
                  <c:pt idx="14">
                    <c:v>Capacity trading service</c:v>
                  </c:pt>
                  <c:pt idx="16">
                    <c:v>In pipe trading service</c:v>
                  </c:pt>
                </c:lvl>
              </c:multiLvlStrCache>
            </c:multiLvlStrRef>
          </c:cat>
          <c:val>
            <c:numRef>
              <c:f>'6. Pricing template'!$G$37:$G$56</c:f>
              <c:numCache>
                <c:formatCode>_(* #,##0.0000_);_(* \(#,##0.0000\);_(* "-"_);_(@_)</c:formatCode>
                <c:ptCount val="20"/>
                <c:pt idx="0">
                  <c:v>9.9045625189326275E-2</c:v>
                </c:pt>
                <c:pt idx="1">
                  <c:v>0.17388457524009121</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val>
          <c:smooth val="0"/>
          <c:extLst>
            <c:ext xmlns:c16="http://schemas.microsoft.com/office/drawing/2014/chart" uri="{C3380CC4-5D6E-409C-BE32-E72D297353CC}">
              <c16:uniqueId val="{00000003-AD76-42BD-8AB5-5438C4701417}"/>
            </c:ext>
          </c:extLst>
        </c:ser>
        <c:dLbls>
          <c:showLegendKey val="0"/>
          <c:showVal val="0"/>
          <c:showCatName val="0"/>
          <c:showSerName val="0"/>
          <c:showPercent val="0"/>
          <c:showBubbleSize val="0"/>
        </c:dLbls>
        <c:marker val="1"/>
        <c:smooth val="0"/>
        <c:axId val="645008240"/>
        <c:axId val="1"/>
      </c:lineChart>
      <c:catAx>
        <c:axId val="6450082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vert="horz"/>
          <a:lstStyle/>
          <a:p>
            <a:pPr>
              <a:defRPr sz="1000" b="0" i="0" u="none" strike="noStrike" baseline="0">
                <a:solidFill>
                  <a:srgbClr val="333333"/>
                </a:solidFill>
                <a:latin typeface="Arial"/>
                <a:ea typeface="Arial"/>
                <a:cs typeface="Arial"/>
              </a:defRPr>
            </a:pPr>
            <a:endParaRPr lang="en-US"/>
          </a:p>
        </c:txPr>
        <c:crossAx val="1"/>
        <c:crosses val="autoZero"/>
        <c:auto val="1"/>
        <c:lblAlgn val="ctr"/>
        <c:lblOffset val="100"/>
        <c:noMultiLvlLbl val="0"/>
      </c:catAx>
      <c:valAx>
        <c:axId val="1"/>
        <c:scaling>
          <c:orientation val="minMax"/>
        </c:scaling>
        <c:delete val="0"/>
        <c:axPos val="l"/>
        <c:majorGridlines>
          <c:spPr>
            <a:ln w="9525" cap="flat" cmpd="sng" algn="ctr">
              <a:solidFill>
                <a:schemeClr val="tx1">
                  <a:lumMod val="15000"/>
                  <a:lumOff val="85000"/>
                </a:schemeClr>
              </a:solidFill>
              <a:round/>
            </a:ln>
            <a:effectLst/>
          </c:spPr>
        </c:majorGridlines>
        <c:title>
          <c:tx>
            <c:rich>
              <a:bodyPr/>
              <a:lstStyle/>
              <a:p>
                <a:pPr>
                  <a:defRPr sz="1100" b="1" i="0" u="none" strike="noStrike" baseline="0">
                    <a:solidFill>
                      <a:srgbClr val="000000"/>
                    </a:solidFill>
                    <a:latin typeface="Calibri"/>
                    <a:ea typeface="Calibri"/>
                    <a:cs typeface="Calibri"/>
                  </a:defRPr>
                </a:pPr>
                <a:r>
                  <a:rPr lang="en-AU"/>
                  <a:t>Benchmark Prices ($)</a:t>
                </a:r>
              </a:p>
            </c:rich>
          </c:tx>
          <c:overlay val="0"/>
        </c:title>
        <c:numFmt formatCode="_(* #,##0.0000_);_(* \(#,##0.0000\);_(* &quot;-&quot;_);_(@_)" sourceLinked="1"/>
        <c:majorTickMark val="none"/>
        <c:minorTickMark val="none"/>
        <c:tickLblPos val="nextTo"/>
        <c:spPr>
          <a:ln w="9525">
            <a:noFill/>
          </a:ln>
        </c:spPr>
        <c:txPr>
          <a:bodyPr rot="0" vert="horz"/>
          <a:lstStyle/>
          <a:p>
            <a:pPr>
              <a:defRPr sz="1000" b="0" i="0" u="none" strike="noStrike" baseline="0">
                <a:solidFill>
                  <a:srgbClr val="333333"/>
                </a:solidFill>
                <a:latin typeface="Arial"/>
                <a:ea typeface="Arial"/>
                <a:cs typeface="Arial"/>
              </a:defRPr>
            </a:pPr>
            <a:endParaRPr lang="en-US"/>
          </a:p>
        </c:txPr>
        <c:crossAx val="645008240"/>
        <c:crosses val="autoZero"/>
        <c:crossBetween val="between"/>
      </c:valAx>
      <c:spPr>
        <a:noFill/>
        <a:ln w="25400">
          <a:noFill/>
        </a:ln>
      </c:spPr>
    </c:plotArea>
    <c:legend>
      <c:legendPos val="b"/>
      <c:legendEntry>
        <c:idx val="3"/>
        <c:delete val="1"/>
      </c:legendEntry>
      <c:layout>
        <c:manualLayout>
          <c:xMode val="edge"/>
          <c:yMode val="edge"/>
          <c:x val="2.1892060717597066E-3"/>
          <c:y val="0.72077243425919335"/>
          <c:w val="0.31831107824435501"/>
          <c:h val="1.1635772315642168E-2"/>
        </c:manualLayout>
      </c:layout>
      <c:overlay val="0"/>
      <c:spPr>
        <a:noFill/>
        <a:ln w="25400">
          <a:noFill/>
        </a:ln>
      </c:spPr>
      <c:txPr>
        <a:bodyPr/>
        <a:lstStyle/>
        <a:p>
          <a:pPr>
            <a:defRPr sz="780" b="0" i="0" u="none" strike="noStrike" baseline="0">
              <a:solidFill>
                <a:srgbClr val="333333"/>
              </a:solidFill>
              <a:latin typeface="Arial"/>
              <a:ea typeface="Arial"/>
              <a:cs typeface="Arial"/>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3.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2.png"/><Relationship Id="rId4" Type="http://schemas.openxmlformats.org/officeDocument/2006/relationships/hyperlink" Target="#Contents!A1"/></Relationships>
</file>

<file path=xl/drawings/_rels/drawing4.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Contents!A1"/><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png"/><Relationship Id="rId1" Type="http://schemas.openxmlformats.org/officeDocument/2006/relationships/hyperlink" Target="#Contents!A1"/></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9.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png"/><Relationship Id="rId1" Type="http://schemas.openxmlformats.org/officeDocument/2006/relationships/hyperlink" Target="#Contents!A1"/></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png"/><Relationship Id="rId1" Type="http://schemas.openxmlformats.org/officeDocument/2006/relationships/hyperlink" Target="#Contents!A1"/></Relationships>
</file>

<file path=xl/drawings/_rels/drawing1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8.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s>
</file>

<file path=xl/drawings/_rels/drawing1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0.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2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2.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9.png"/></Relationships>
</file>

<file path=xl/drawings/_rels/drawing2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819150</xdr:colOff>
      <xdr:row>0</xdr:row>
      <xdr:rowOff>708585</xdr:rowOff>
    </xdr:to>
    <xdr:pic>
      <xdr:nvPicPr>
        <xdr:cNvPr id="2970798" name="Picture 2">
          <a:extLst>
            <a:ext uri="{FF2B5EF4-FFF2-40B4-BE49-F238E27FC236}">
              <a16:creationId xmlns:a16="http://schemas.microsoft.com/office/drawing/2014/main" id="{1DAA06EC-4D8A-16A7-8C45-78F52436209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3553385" cy="708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4</xdr:row>
      <xdr:rowOff>0</xdr:rowOff>
    </xdr:to>
    <xdr:pic>
      <xdr:nvPicPr>
        <xdr:cNvPr id="1728982" name="Picture 1">
          <a:hlinkClick xmlns:r="http://schemas.openxmlformats.org/officeDocument/2006/relationships" r:id="rId1"/>
          <a:extLst>
            <a:ext uri="{FF2B5EF4-FFF2-40B4-BE49-F238E27FC236}">
              <a16:creationId xmlns:a16="http://schemas.microsoft.com/office/drawing/2014/main" id="{C8FF4E5D-81A3-D880-214C-20E75CBB841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90575"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7</xdr:row>
      <xdr:rowOff>0</xdr:rowOff>
    </xdr:from>
    <xdr:to>
      <xdr:col>6</xdr:col>
      <xdr:colOff>1028700</xdr:colOff>
      <xdr:row>56</xdr:row>
      <xdr:rowOff>523875</xdr:rowOff>
    </xdr:to>
    <xdr:graphicFrame macro="">
      <xdr:nvGraphicFramePr>
        <xdr:cNvPr id="2798424" name="Chart 7">
          <a:extLst>
            <a:ext uri="{FF2B5EF4-FFF2-40B4-BE49-F238E27FC236}">
              <a16:creationId xmlns:a16="http://schemas.microsoft.com/office/drawing/2014/main" id="{DD1E6BDF-841E-9593-8B19-20C57108E0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1047750</xdr:colOff>
      <xdr:row>7</xdr:row>
      <xdr:rowOff>9525</xdr:rowOff>
    </xdr:from>
    <xdr:to>
      <xdr:col>9</xdr:col>
      <xdr:colOff>18935700</xdr:colOff>
      <xdr:row>56</xdr:row>
      <xdr:rowOff>523875</xdr:rowOff>
    </xdr:to>
    <xdr:graphicFrame macro="">
      <xdr:nvGraphicFramePr>
        <xdr:cNvPr id="2798425" name="Chart 8">
          <a:extLst>
            <a:ext uri="{FF2B5EF4-FFF2-40B4-BE49-F238E27FC236}">
              <a16:creationId xmlns:a16="http://schemas.microsoft.com/office/drawing/2014/main" id="{05D1C840-D385-5568-AAE0-2A791DDDFA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9525</xdr:colOff>
      <xdr:row>59</xdr:row>
      <xdr:rowOff>209550</xdr:rowOff>
    </xdr:from>
    <xdr:to>
      <xdr:col>9</xdr:col>
      <xdr:colOff>1476375</xdr:colOff>
      <xdr:row>108</xdr:row>
      <xdr:rowOff>9525</xdr:rowOff>
    </xdr:to>
    <xdr:graphicFrame macro="">
      <xdr:nvGraphicFramePr>
        <xdr:cNvPr id="2798426" name="Chart 11">
          <a:extLst>
            <a:ext uri="{FF2B5EF4-FFF2-40B4-BE49-F238E27FC236}">
              <a16:creationId xmlns:a16="http://schemas.microsoft.com/office/drawing/2014/main" id="{CD9A6B35-6F1A-3CD6-19BE-8207B4544F2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0</xdr:col>
      <xdr:colOff>0</xdr:colOff>
      <xdr:row>0</xdr:row>
      <xdr:rowOff>0</xdr:rowOff>
    </xdr:from>
    <xdr:to>
      <xdr:col>0</xdr:col>
      <xdr:colOff>2981325</xdr:colOff>
      <xdr:row>3</xdr:row>
      <xdr:rowOff>228600</xdr:rowOff>
    </xdr:to>
    <xdr:pic>
      <xdr:nvPicPr>
        <xdr:cNvPr id="2798427" name="Picture 1">
          <a:hlinkClick xmlns:r="http://schemas.openxmlformats.org/officeDocument/2006/relationships" r:id="rId4"/>
          <a:extLst>
            <a:ext uri="{FF2B5EF4-FFF2-40B4-BE49-F238E27FC236}">
              <a16:creationId xmlns:a16="http://schemas.microsoft.com/office/drawing/2014/main" id="{AD5DFDB8-5C11-B0A2-B942-1071D4D8DAA3}"/>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0" y="0"/>
          <a:ext cx="809625"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21</xdr:row>
      <xdr:rowOff>0</xdr:rowOff>
    </xdr:from>
    <xdr:to>
      <xdr:col>6</xdr:col>
      <xdr:colOff>2819400</xdr:colOff>
      <xdr:row>91</xdr:row>
      <xdr:rowOff>523875</xdr:rowOff>
    </xdr:to>
    <xdr:graphicFrame macro="">
      <xdr:nvGraphicFramePr>
        <xdr:cNvPr id="2816421" name="Chart 1">
          <a:extLst>
            <a:ext uri="{FF2B5EF4-FFF2-40B4-BE49-F238E27FC236}">
              <a16:creationId xmlns:a16="http://schemas.microsoft.com/office/drawing/2014/main" id="{6D4147F2-DF13-E4CD-A94B-8CDC6377045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0</xdr:row>
      <xdr:rowOff>0</xdr:rowOff>
    </xdr:from>
    <xdr:to>
      <xdr:col>0</xdr:col>
      <xdr:colOff>3009900</xdr:colOff>
      <xdr:row>3</xdr:row>
      <xdr:rowOff>342900</xdr:rowOff>
    </xdr:to>
    <xdr:pic>
      <xdr:nvPicPr>
        <xdr:cNvPr id="2816422" name="Picture 1">
          <a:hlinkClick xmlns:r="http://schemas.openxmlformats.org/officeDocument/2006/relationships" r:id="rId2"/>
          <a:extLst>
            <a:ext uri="{FF2B5EF4-FFF2-40B4-BE49-F238E27FC236}">
              <a16:creationId xmlns:a16="http://schemas.microsoft.com/office/drawing/2014/main" id="{9B0EC8C4-4685-769C-B832-D75E91C90218}"/>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90575"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3578079" name="Group 1">
          <a:extLst>
            <a:ext uri="{FF2B5EF4-FFF2-40B4-BE49-F238E27FC236}">
              <a16:creationId xmlns:a16="http://schemas.microsoft.com/office/drawing/2014/main" id="{E0EE1BE0-9DD4-B762-1FCD-8AB8D35DB437}"/>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FF91E799-E563-62B1-372D-9341DFB560D8}"/>
              </a:ext>
            </a:extLst>
          </xdr:cNvPr>
          <xdr:cNvSpPr>
            <a:spLocks noChangeArrowheads="1"/>
          </xdr:cNvSpPr>
        </xdr:nvSpPr>
        <xdr:spPr bwMode="auto">
          <a:xfrm>
            <a:off x="-1496742867570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3578085" name="Picture 3">
            <a:extLst>
              <a:ext uri="{FF2B5EF4-FFF2-40B4-BE49-F238E27FC236}">
                <a16:creationId xmlns:a16="http://schemas.microsoft.com/office/drawing/2014/main" id="{CDEEA2D7-833E-847D-EAE1-3ED1E3CC13E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3578080" name="Group 7">
          <a:extLst>
            <a:ext uri="{FF2B5EF4-FFF2-40B4-BE49-F238E27FC236}">
              <a16:creationId xmlns:a16="http://schemas.microsoft.com/office/drawing/2014/main" id="{3BC247ED-5E8F-A918-74BB-36BBBDE126F0}"/>
            </a:ext>
          </a:extLst>
        </xdr:cNvPr>
        <xdr:cNvGrpSpPr>
          <a:grpSpLocks/>
        </xdr:cNvGrpSpPr>
      </xdr:nvGrpSpPr>
      <xdr:grpSpPr bwMode="auto">
        <a:xfrm>
          <a:off x="0" y="0"/>
          <a:ext cx="80010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174F99F5-4D91-7A16-CE3C-F33B042EAEC3}"/>
              </a:ext>
            </a:extLst>
          </xdr:cNvPr>
          <xdr:cNvSpPr>
            <a:spLocks noChangeArrowheads="1"/>
          </xdr:cNvSpPr>
        </xdr:nvSpPr>
        <xdr:spPr bwMode="auto">
          <a:xfrm>
            <a:off x="-1496742867570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3578083" name="Picture 9">
            <a:extLst>
              <a:ext uri="{FF2B5EF4-FFF2-40B4-BE49-F238E27FC236}">
                <a16:creationId xmlns:a16="http://schemas.microsoft.com/office/drawing/2014/main" id="{E22FCD2D-BC04-1B24-C780-D44E1379C0B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editAs="oneCell">
    <xdr:from>
      <xdr:col>0</xdr:col>
      <xdr:colOff>0</xdr:colOff>
      <xdr:row>0</xdr:row>
      <xdr:rowOff>0</xdr:rowOff>
    </xdr:from>
    <xdr:to>
      <xdr:col>1</xdr:col>
      <xdr:colOff>0</xdr:colOff>
      <xdr:row>3</xdr:row>
      <xdr:rowOff>180975</xdr:rowOff>
    </xdr:to>
    <xdr:pic>
      <xdr:nvPicPr>
        <xdr:cNvPr id="3578081" name="Picture 1">
          <a:hlinkClick xmlns:r="http://schemas.openxmlformats.org/officeDocument/2006/relationships" r:id="rId1"/>
          <a:extLst>
            <a:ext uri="{FF2B5EF4-FFF2-40B4-BE49-F238E27FC236}">
              <a16:creationId xmlns:a16="http://schemas.microsoft.com/office/drawing/2014/main" id="{71BAE36B-6BE4-71BC-25FB-399B907B5B1D}"/>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0010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815340</xdr:colOff>
      <xdr:row>4</xdr:row>
      <xdr:rowOff>0</xdr:rowOff>
    </xdr:to>
    <xdr:pic>
      <xdr:nvPicPr>
        <xdr:cNvPr id="1736150" name="Picture 1">
          <a:hlinkClick xmlns:r="http://schemas.openxmlformats.org/officeDocument/2006/relationships" r:id="rId1"/>
          <a:extLst>
            <a:ext uri="{FF2B5EF4-FFF2-40B4-BE49-F238E27FC236}">
              <a16:creationId xmlns:a16="http://schemas.microsoft.com/office/drawing/2014/main" id="{E09E53FB-7FC5-61AE-EAE4-74BBD543311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0010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4</xdr:row>
      <xdr:rowOff>0</xdr:rowOff>
    </xdr:to>
    <xdr:pic>
      <xdr:nvPicPr>
        <xdr:cNvPr id="1737174" name="Picture 1">
          <a:hlinkClick xmlns:r="http://schemas.openxmlformats.org/officeDocument/2006/relationships" r:id="rId1"/>
          <a:extLst>
            <a:ext uri="{FF2B5EF4-FFF2-40B4-BE49-F238E27FC236}">
              <a16:creationId xmlns:a16="http://schemas.microsoft.com/office/drawing/2014/main" id="{FF206BE2-4DBA-BC06-F84B-F3484F3EEDE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0010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4</xdr:row>
      <xdr:rowOff>0</xdr:rowOff>
    </xdr:to>
    <xdr:pic>
      <xdr:nvPicPr>
        <xdr:cNvPr id="1738204" name="Picture 3">
          <a:hlinkClick xmlns:r="http://schemas.openxmlformats.org/officeDocument/2006/relationships" r:id="rId1"/>
          <a:extLst>
            <a:ext uri="{FF2B5EF4-FFF2-40B4-BE49-F238E27FC236}">
              <a16:creationId xmlns:a16="http://schemas.microsoft.com/office/drawing/2014/main" id="{41D06798-E0D7-ABE0-6E5A-DA0F53B77EF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0010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2803544" name="Group 1">
          <a:extLst>
            <a:ext uri="{FF2B5EF4-FFF2-40B4-BE49-F238E27FC236}">
              <a16:creationId xmlns:a16="http://schemas.microsoft.com/office/drawing/2014/main" id="{A54FB5B0-998F-5BD4-12FA-25E0CD51C79C}"/>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6F335AFD-7C5F-9AFC-168D-899B7CA2B15B}"/>
              </a:ext>
            </a:extLst>
          </xdr:cNvPr>
          <xdr:cNvSpPr>
            <a:spLocks noChangeArrowheads="1"/>
          </xdr:cNvSpPr>
        </xdr:nvSpPr>
        <xdr:spPr bwMode="auto">
          <a:xfrm>
            <a:off x="-1496742867570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2803547" name="Picture 3">
            <a:extLst>
              <a:ext uri="{FF2B5EF4-FFF2-40B4-BE49-F238E27FC236}">
                <a16:creationId xmlns:a16="http://schemas.microsoft.com/office/drawing/2014/main" id="{C7F2407E-0AB0-560F-9284-CA72785784C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editAs="oneCell">
    <xdr:from>
      <xdr:col>0</xdr:col>
      <xdr:colOff>0</xdr:colOff>
      <xdr:row>0</xdr:row>
      <xdr:rowOff>0</xdr:rowOff>
    </xdr:from>
    <xdr:to>
      <xdr:col>0</xdr:col>
      <xdr:colOff>2990850</xdr:colOff>
      <xdr:row>3</xdr:row>
      <xdr:rowOff>342900</xdr:rowOff>
    </xdr:to>
    <xdr:pic>
      <xdr:nvPicPr>
        <xdr:cNvPr id="2803545" name="Picture 1">
          <a:hlinkClick xmlns:r="http://schemas.openxmlformats.org/officeDocument/2006/relationships" r:id="rId1"/>
          <a:extLst>
            <a:ext uri="{FF2B5EF4-FFF2-40B4-BE49-F238E27FC236}">
              <a16:creationId xmlns:a16="http://schemas.microsoft.com/office/drawing/2014/main" id="{BF54E6A4-6BCF-7158-045F-BE37620E4953}"/>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0010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159</xdr:colOff>
      <xdr:row>3</xdr:row>
      <xdr:rowOff>262890</xdr:rowOff>
    </xdr:to>
    <xdr:pic>
      <xdr:nvPicPr>
        <xdr:cNvPr id="1740246" name="Picture 1">
          <a:hlinkClick xmlns:r="http://schemas.openxmlformats.org/officeDocument/2006/relationships" r:id="rId1"/>
          <a:extLst>
            <a:ext uri="{FF2B5EF4-FFF2-40B4-BE49-F238E27FC236}">
              <a16:creationId xmlns:a16="http://schemas.microsoft.com/office/drawing/2014/main" id="{E5D60CD8-E84D-C49C-64C2-EE1BF54296B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28675"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3</xdr:row>
      <xdr:rowOff>133350</xdr:rowOff>
    </xdr:to>
    <xdr:pic>
      <xdr:nvPicPr>
        <xdr:cNvPr id="1741270" name="Picture 1">
          <a:hlinkClick xmlns:r="http://schemas.openxmlformats.org/officeDocument/2006/relationships" r:id="rId1"/>
          <a:extLst>
            <a:ext uri="{FF2B5EF4-FFF2-40B4-BE49-F238E27FC236}">
              <a16:creationId xmlns:a16="http://schemas.microsoft.com/office/drawing/2014/main" id="{099A5819-788D-C1A1-2E69-2D4BA0A076F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5247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1587</xdr:colOff>
      <xdr:row>3</xdr:row>
      <xdr:rowOff>342900</xdr:rowOff>
    </xdr:to>
    <xdr:pic>
      <xdr:nvPicPr>
        <xdr:cNvPr id="1742323" name="Picture 1">
          <a:hlinkClick xmlns:r="http://schemas.openxmlformats.org/officeDocument/2006/relationships" r:id="rId1"/>
          <a:extLst>
            <a:ext uri="{FF2B5EF4-FFF2-40B4-BE49-F238E27FC236}">
              <a16:creationId xmlns:a16="http://schemas.microsoft.com/office/drawing/2014/main" id="{88F28586-D5FC-DE4A-38E8-182CC2319EB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0010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819150</xdr:colOff>
      <xdr:row>4</xdr:row>
      <xdr:rowOff>2117</xdr:rowOff>
    </xdr:to>
    <xdr:pic>
      <xdr:nvPicPr>
        <xdr:cNvPr id="1360406" name="Picture 1">
          <a:hlinkClick xmlns:r="http://schemas.openxmlformats.org/officeDocument/2006/relationships" r:id="rId1"/>
          <a:extLst>
            <a:ext uri="{FF2B5EF4-FFF2-40B4-BE49-F238E27FC236}">
              <a16:creationId xmlns:a16="http://schemas.microsoft.com/office/drawing/2014/main" id="{5F44371E-917C-C768-BB32-D4863D27D69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0010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4</xdr:row>
      <xdr:rowOff>0</xdr:rowOff>
    </xdr:to>
    <xdr:pic>
      <xdr:nvPicPr>
        <xdr:cNvPr id="1743318" name="Picture 1">
          <a:hlinkClick xmlns:r="http://schemas.openxmlformats.org/officeDocument/2006/relationships" r:id="rId1"/>
          <a:extLst>
            <a:ext uri="{FF2B5EF4-FFF2-40B4-BE49-F238E27FC236}">
              <a16:creationId xmlns:a16="http://schemas.microsoft.com/office/drawing/2014/main" id="{1D6DEC2B-E6ED-7146-CD12-043861762B9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09625"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3497313" name="Group 1">
          <a:extLst>
            <a:ext uri="{FF2B5EF4-FFF2-40B4-BE49-F238E27FC236}">
              <a16:creationId xmlns:a16="http://schemas.microsoft.com/office/drawing/2014/main" id="{DF7EBD93-E7EC-4CAA-2C57-8983197CCE04}"/>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5C278079-89BD-AF00-8F44-E0DF18D8E8FE}"/>
              </a:ext>
            </a:extLst>
          </xdr:cNvPr>
          <xdr:cNvSpPr>
            <a:spLocks noChangeArrowheads="1"/>
          </xdr:cNvSpPr>
        </xdr:nvSpPr>
        <xdr:spPr bwMode="auto">
          <a:xfrm>
            <a:off x="-1496742867570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3497319" name="Picture 3">
            <a:extLst>
              <a:ext uri="{FF2B5EF4-FFF2-40B4-BE49-F238E27FC236}">
                <a16:creationId xmlns:a16="http://schemas.microsoft.com/office/drawing/2014/main" id="{7E8ADD6E-0211-57E1-B109-86A024C090D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3497314" name="Group 7">
          <a:extLst>
            <a:ext uri="{FF2B5EF4-FFF2-40B4-BE49-F238E27FC236}">
              <a16:creationId xmlns:a16="http://schemas.microsoft.com/office/drawing/2014/main" id="{32571986-0D64-327B-6C30-92A6EA3ED3D8}"/>
            </a:ext>
          </a:extLst>
        </xdr:cNvPr>
        <xdr:cNvGrpSpPr>
          <a:grpSpLocks/>
        </xdr:cNvGrpSpPr>
      </xdr:nvGrpSpPr>
      <xdr:grpSpPr bwMode="auto">
        <a:xfrm>
          <a:off x="0" y="0"/>
          <a:ext cx="800100" cy="0"/>
          <a:chOff x="0" y="2"/>
          <a:chExt cx="77" cy="61"/>
        </a:xfrm>
      </xdr:grpSpPr>
      <xdr:sp macro="" textlink="">
        <xdr:nvSpPr>
          <xdr:cNvPr id="6" name="AutoShape 45">
            <a:hlinkClick xmlns:r="http://schemas.openxmlformats.org/officeDocument/2006/relationships" r:id="rId1"/>
            <a:extLst>
              <a:ext uri="{FF2B5EF4-FFF2-40B4-BE49-F238E27FC236}">
                <a16:creationId xmlns:a16="http://schemas.microsoft.com/office/drawing/2014/main" id="{FF46EE13-4580-ED17-3B06-E51C7A877BF4}"/>
              </a:ext>
            </a:extLst>
          </xdr:cNvPr>
          <xdr:cNvSpPr>
            <a:spLocks noChangeArrowheads="1"/>
          </xdr:cNvSpPr>
        </xdr:nvSpPr>
        <xdr:spPr bwMode="auto">
          <a:xfrm>
            <a:off x="-1496742867570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3497317" name="Picture 9">
            <a:extLst>
              <a:ext uri="{FF2B5EF4-FFF2-40B4-BE49-F238E27FC236}">
                <a16:creationId xmlns:a16="http://schemas.microsoft.com/office/drawing/2014/main" id="{8C7F6C5D-3768-5518-2099-CADA55E01E0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editAs="oneCell">
    <xdr:from>
      <xdr:col>0</xdr:col>
      <xdr:colOff>0</xdr:colOff>
      <xdr:row>0</xdr:row>
      <xdr:rowOff>0</xdr:rowOff>
    </xdr:from>
    <xdr:to>
      <xdr:col>0</xdr:col>
      <xdr:colOff>2990850</xdr:colOff>
      <xdr:row>3</xdr:row>
      <xdr:rowOff>438150</xdr:rowOff>
    </xdr:to>
    <xdr:pic>
      <xdr:nvPicPr>
        <xdr:cNvPr id="3497315" name="Picture 1">
          <a:hlinkClick xmlns:r="http://schemas.openxmlformats.org/officeDocument/2006/relationships" r:id="rId1"/>
          <a:extLst>
            <a:ext uri="{FF2B5EF4-FFF2-40B4-BE49-F238E27FC236}">
              <a16:creationId xmlns:a16="http://schemas.microsoft.com/office/drawing/2014/main" id="{F963B840-89CD-127A-0922-69568D5794C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0010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92075</xdr:colOff>
      <xdr:row>4</xdr:row>
      <xdr:rowOff>0</xdr:rowOff>
    </xdr:to>
    <xdr:pic>
      <xdr:nvPicPr>
        <xdr:cNvPr id="1744349" name="Picture 1">
          <a:hlinkClick xmlns:r="http://schemas.openxmlformats.org/officeDocument/2006/relationships" r:id="rId1"/>
          <a:extLst>
            <a:ext uri="{FF2B5EF4-FFF2-40B4-BE49-F238E27FC236}">
              <a16:creationId xmlns:a16="http://schemas.microsoft.com/office/drawing/2014/main" id="{B3F4A322-069D-9624-C3C2-6F70A4D0EBB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47725"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4</xdr:row>
      <xdr:rowOff>0</xdr:rowOff>
    </xdr:to>
    <xdr:pic>
      <xdr:nvPicPr>
        <xdr:cNvPr id="1745370" name="Picture 1">
          <a:hlinkClick xmlns:r="http://schemas.openxmlformats.org/officeDocument/2006/relationships" r:id="rId1"/>
          <a:extLst>
            <a:ext uri="{FF2B5EF4-FFF2-40B4-BE49-F238E27FC236}">
              <a16:creationId xmlns:a16="http://schemas.microsoft.com/office/drawing/2014/main" id="{F454993D-E508-7A07-6E99-A9B8F99B3D9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09625"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407094</xdr:colOff>
      <xdr:row>62</xdr:row>
      <xdr:rowOff>19050</xdr:rowOff>
    </xdr:to>
    <xdr:pic>
      <xdr:nvPicPr>
        <xdr:cNvPr id="2" name="Picture 1">
          <a:extLst>
            <a:ext uri="{FF2B5EF4-FFF2-40B4-BE49-F238E27FC236}">
              <a16:creationId xmlns:a16="http://schemas.microsoft.com/office/drawing/2014/main" id="{4CE2731B-8344-4915-8C5B-B1055BDED38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115869" cy="10058400"/>
        </a:xfrm>
        <a:prstGeom prst="rect">
          <a:avLst/>
        </a:prstGeom>
      </xdr:spPr>
    </xdr:pic>
    <xdr:clientData/>
  </xdr:twoCellAnchor>
  <xdr:twoCellAnchor editAs="oneCell">
    <xdr:from>
      <xdr:col>12</xdr:col>
      <xdr:colOff>0</xdr:colOff>
      <xdr:row>0</xdr:row>
      <xdr:rowOff>0</xdr:rowOff>
    </xdr:from>
    <xdr:to>
      <xdr:col>23</xdr:col>
      <xdr:colOff>407094</xdr:colOff>
      <xdr:row>62</xdr:row>
      <xdr:rowOff>19050</xdr:rowOff>
    </xdr:to>
    <xdr:pic>
      <xdr:nvPicPr>
        <xdr:cNvPr id="3" name="Picture 2">
          <a:extLst>
            <a:ext uri="{FF2B5EF4-FFF2-40B4-BE49-F238E27FC236}">
              <a16:creationId xmlns:a16="http://schemas.microsoft.com/office/drawing/2014/main" id="{81C94678-DD84-4B98-9DF2-B61FF585789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315200" y="0"/>
          <a:ext cx="7115869" cy="10058400"/>
        </a:xfrm>
        <a:prstGeom prst="rect">
          <a:avLst/>
        </a:prstGeom>
      </xdr:spPr>
    </xdr:pic>
    <xdr:clientData/>
  </xdr:twoCellAnchor>
  <xdr:twoCellAnchor editAs="oneCell">
    <xdr:from>
      <xdr:col>24</xdr:col>
      <xdr:colOff>0</xdr:colOff>
      <xdr:row>0</xdr:row>
      <xdr:rowOff>0</xdr:rowOff>
    </xdr:from>
    <xdr:to>
      <xdr:col>35</xdr:col>
      <xdr:colOff>407094</xdr:colOff>
      <xdr:row>62</xdr:row>
      <xdr:rowOff>19050</xdr:rowOff>
    </xdr:to>
    <xdr:pic>
      <xdr:nvPicPr>
        <xdr:cNvPr id="4" name="Picture 3">
          <a:extLst>
            <a:ext uri="{FF2B5EF4-FFF2-40B4-BE49-F238E27FC236}">
              <a16:creationId xmlns:a16="http://schemas.microsoft.com/office/drawing/2014/main" id="{70A9E69E-6FDD-4A9B-B272-D2ABBEB79F6A}"/>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4630400" y="0"/>
          <a:ext cx="7115869" cy="100584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95250</xdr:colOff>
      <xdr:row>4</xdr:row>
      <xdr:rowOff>0</xdr:rowOff>
    </xdr:to>
    <xdr:pic>
      <xdr:nvPicPr>
        <xdr:cNvPr id="1746391" name="Picture 1">
          <a:hlinkClick xmlns:r="http://schemas.openxmlformats.org/officeDocument/2006/relationships" r:id="rId1"/>
          <a:extLst>
            <a:ext uri="{FF2B5EF4-FFF2-40B4-BE49-F238E27FC236}">
              <a16:creationId xmlns:a16="http://schemas.microsoft.com/office/drawing/2014/main" id="{17E78C5D-805E-92A4-7065-0A54853491D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477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407094</xdr:colOff>
      <xdr:row>62</xdr:row>
      <xdr:rowOff>19050</xdr:rowOff>
    </xdr:to>
    <xdr:pic>
      <xdr:nvPicPr>
        <xdr:cNvPr id="2" name="Picture 1">
          <a:extLst>
            <a:ext uri="{FF2B5EF4-FFF2-40B4-BE49-F238E27FC236}">
              <a16:creationId xmlns:a16="http://schemas.microsoft.com/office/drawing/2014/main" id="{A845B1F8-4CDF-4330-8F69-3F954DC5E7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115869" cy="10058400"/>
        </a:xfrm>
        <a:prstGeom prst="rect">
          <a:avLst/>
        </a:prstGeom>
      </xdr:spPr>
    </xdr:pic>
    <xdr:clientData/>
  </xdr:twoCellAnchor>
  <xdr:twoCellAnchor editAs="oneCell">
    <xdr:from>
      <xdr:col>12</xdr:col>
      <xdr:colOff>0</xdr:colOff>
      <xdr:row>0</xdr:row>
      <xdr:rowOff>0</xdr:rowOff>
    </xdr:from>
    <xdr:to>
      <xdr:col>23</xdr:col>
      <xdr:colOff>407094</xdr:colOff>
      <xdr:row>62</xdr:row>
      <xdr:rowOff>19050</xdr:rowOff>
    </xdr:to>
    <xdr:pic>
      <xdr:nvPicPr>
        <xdr:cNvPr id="3" name="Picture 2">
          <a:extLst>
            <a:ext uri="{FF2B5EF4-FFF2-40B4-BE49-F238E27FC236}">
              <a16:creationId xmlns:a16="http://schemas.microsoft.com/office/drawing/2014/main" id="{C06ABB66-2007-4E27-8179-531D29A760A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315200" y="0"/>
          <a:ext cx="7115869" cy="1005840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3</xdr:row>
      <xdr:rowOff>228600</xdr:rowOff>
    </xdr:to>
    <xdr:pic>
      <xdr:nvPicPr>
        <xdr:cNvPr id="1747414" name="Picture 1">
          <a:hlinkClick xmlns:r="http://schemas.openxmlformats.org/officeDocument/2006/relationships" r:id="rId1"/>
          <a:extLst>
            <a:ext uri="{FF2B5EF4-FFF2-40B4-BE49-F238E27FC236}">
              <a16:creationId xmlns:a16="http://schemas.microsoft.com/office/drawing/2014/main" id="{CB752FC3-A15F-AC25-D150-311F5101F28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09625"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407094</xdr:colOff>
      <xdr:row>62</xdr:row>
      <xdr:rowOff>19050</xdr:rowOff>
    </xdr:to>
    <xdr:pic>
      <xdr:nvPicPr>
        <xdr:cNvPr id="4" name="Picture 3">
          <a:extLst>
            <a:ext uri="{FF2B5EF4-FFF2-40B4-BE49-F238E27FC236}">
              <a16:creationId xmlns:a16="http://schemas.microsoft.com/office/drawing/2014/main" id="{13D3A082-7AA2-470A-B888-F670247A326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115869" cy="10058400"/>
        </a:xfrm>
        <a:prstGeom prst="rect">
          <a:avLst/>
        </a:prstGeom>
      </xdr:spPr>
    </xdr:pic>
    <xdr:clientData/>
  </xdr:twoCellAnchor>
  <xdr:twoCellAnchor editAs="oneCell">
    <xdr:from>
      <xdr:col>12</xdr:col>
      <xdr:colOff>0</xdr:colOff>
      <xdr:row>0</xdr:row>
      <xdr:rowOff>0</xdr:rowOff>
    </xdr:from>
    <xdr:to>
      <xdr:col>23</xdr:col>
      <xdr:colOff>407094</xdr:colOff>
      <xdr:row>62</xdr:row>
      <xdr:rowOff>19050</xdr:rowOff>
    </xdr:to>
    <xdr:pic>
      <xdr:nvPicPr>
        <xdr:cNvPr id="5" name="Picture 4">
          <a:extLst>
            <a:ext uri="{FF2B5EF4-FFF2-40B4-BE49-F238E27FC236}">
              <a16:creationId xmlns:a16="http://schemas.microsoft.com/office/drawing/2014/main" id="{37420184-E884-4295-AC28-7FE4ECCE2D7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315200" y="0"/>
          <a:ext cx="7115869" cy="1005840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95250</xdr:colOff>
      <xdr:row>3</xdr:row>
      <xdr:rowOff>93345</xdr:rowOff>
    </xdr:to>
    <xdr:pic>
      <xdr:nvPicPr>
        <xdr:cNvPr id="1748438" name="Picture 1">
          <a:hlinkClick xmlns:r="http://schemas.openxmlformats.org/officeDocument/2006/relationships" r:id="rId1"/>
          <a:extLst>
            <a:ext uri="{FF2B5EF4-FFF2-40B4-BE49-F238E27FC236}">
              <a16:creationId xmlns:a16="http://schemas.microsoft.com/office/drawing/2014/main" id="{6EBF96A5-645E-E873-E6B1-027262294D6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572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771525</xdr:colOff>
      <xdr:row>3</xdr:row>
      <xdr:rowOff>257175</xdr:rowOff>
    </xdr:to>
    <xdr:pic>
      <xdr:nvPicPr>
        <xdr:cNvPr id="1749463" name="Picture 1">
          <a:hlinkClick xmlns:r="http://schemas.openxmlformats.org/officeDocument/2006/relationships" r:id="rId1"/>
          <a:extLst>
            <a:ext uri="{FF2B5EF4-FFF2-40B4-BE49-F238E27FC236}">
              <a16:creationId xmlns:a16="http://schemas.microsoft.com/office/drawing/2014/main" id="{BCA8E60B-16EC-258B-9F2A-203E7AB314B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90575"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7" xr:uid="{40A3AE1A-7ACA-49D3-8822-D3DCD4F252AE}" name="Table141" displayName="Table141" ref="A1:G4" totalsRowShown="0" headerRowDxfId="87" tableBorderDxfId="86">
  <autoFilter ref="A1:G4" xr:uid="{CA622AA1-FEE1-4628-8BB4-6437DB265FCA}"/>
  <tableColumns count="7">
    <tableColumn id="1" xr3:uid="{00000000-0010-0000-0100-000001000000}" name="Date"/>
    <tableColumn id="2" xr3:uid="{00000000-0010-0000-0100-000002000000}" name="AER amendment#"/>
    <tableColumn id="3" xr3:uid="{00000000-0010-0000-0100-000003000000}" name="Worksheet" dataDxfId="85"/>
    <tableColumn id="4" xr3:uid="{00000000-0010-0000-0100-000004000000}" name="Table"/>
    <tableColumn id="5" xr3:uid="{00000000-0010-0000-0100-000005000000}" name="Cell" dataDxfId="84"/>
    <tableColumn id="6" xr3:uid="{00000000-0010-0000-0100-000006000000}" name="Change"/>
    <tableColumn id="7" xr3:uid="{00000000-0010-0000-0100-000007000000}" name="Reaso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C0C0C0">
            <a:alpha val="89803"/>
          </a:srgbClr>
        </a:solidFill>
        <a:ln>
          <a:noFill/>
        </a:ln>
        <a:effectLst/>
      </a:spPr>
      <a:bodyPr vertOverflow="clip" wrap="square" lIns="180000" tIns="46800" rIns="180000" bIns="46800"/>
      <a:lstStyle/>
    </a:spDef>
    <a:lnDef>
      <a:spPr bwMode="auto">
        <a:xfrm>
          <a:off x="0" y="0"/>
          <a:ext cx="1" cy="1"/>
        </a:xfrm>
        <a:custGeom>
          <a:avLst/>
          <a:gdLst/>
          <a:ahLst/>
          <a:cxnLst/>
          <a:rect l="0" t="0" r="0" b="0"/>
          <a:pathLst/>
        </a:custGeom>
        <a:solidFill>
          <a:srgbClr val="C0C0C0">
            <a:alpha val="89803"/>
          </a:srgbClr>
        </a:solidFill>
        <a:ln>
          <a:noFill/>
        </a:ln>
        <a:effectLst/>
      </a:spPr>
      <a:bodyPr vertOverflow="clip" wrap="square" lIns="180000" tIns="46800" rIns="180000" bIns="46800"/>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1.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2.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19.xml"/><Relationship Id="rId1" Type="http://schemas.openxmlformats.org/officeDocument/2006/relationships/printerSettings" Target="../printerSettings/printerSettings19.bin"/><Relationship Id="rId4" Type="http://schemas.openxmlformats.org/officeDocument/2006/relationships/comments" Target="../comments3.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24.xml"/><Relationship Id="rId1" Type="http://schemas.openxmlformats.org/officeDocument/2006/relationships/printerSettings" Target="../printerSettings/printerSettings22.bin"/><Relationship Id="rId4" Type="http://schemas.openxmlformats.org/officeDocument/2006/relationships/comments" Target="../comments4.xml"/></Relationships>
</file>

<file path=xl/worksheets/_rels/sheet27.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537DC0-8C7C-4166-B159-7AF4CF7EA3EB}">
  <sheetPr codeName="Sheet1"/>
  <dimension ref="A1:K51"/>
  <sheetViews>
    <sheetView tabSelected="1" zoomScale="85" zoomScaleNormal="85" workbookViewId="0">
      <pane ySplit="6" topLeftCell="A7" activePane="bottomLeft" state="frozen"/>
      <selection pane="bottomLeft"/>
    </sheetView>
  </sheetViews>
  <sheetFormatPr defaultColWidth="9.42578125" defaultRowHeight="12.75" x14ac:dyDescent="0.2"/>
  <cols>
    <col min="1" max="1" width="41" style="222" customWidth="1"/>
    <col min="2" max="2" width="23.5703125" style="222" customWidth="1"/>
    <col min="3" max="6" width="20.5703125" style="222" customWidth="1"/>
    <col min="7" max="8" width="11.42578125" style="222" customWidth="1"/>
    <col min="9" max="11" width="20.5703125" style="222" customWidth="1"/>
    <col min="12" max="13" width="9.42578125" style="222"/>
    <col min="14" max="14" width="27.42578125" style="222" customWidth="1"/>
    <col min="15" max="16384" width="9.42578125" style="222"/>
  </cols>
  <sheetData>
    <row r="1" spans="1:11" ht="66" customHeight="1" x14ac:dyDescent="0.2"/>
    <row r="2" spans="1:11" ht="20.25" customHeight="1" x14ac:dyDescent="0.2">
      <c r="A2" s="223" t="s">
        <v>20</v>
      </c>
      <c r="B2" s="223"/>
      <c r="C2" s="223"/>
      <c r="D2" s="223"/>
      <c r="E2" s="223"/>
      <c r="F2" s="223"/>
      <c r="G2" s="223"/>
      <c r="H2" s="223"/>
      <c r="I2" s="223"/>
      <c r="J2" s="223"/>
      <c r="K2" s="223"/>
    </row>
    <row r="3" spans="1:11" ht="20.25" x14ac:dyDescent="0.2">
      <c r="A3" s="223" t="s">
        <v>301</v>
      </c>
      <c r="B3" s="223"/>
      <c r="C3" s="223"/>
      <c r="D3" s="223"/>
      <c r="E3" s="223"/>
      <c r="F3" s="223"/>
      <c r="G3" s="223"/>
      <c r="H3" s="223"/>
      <c r="I3" s="223"/>
      <c r="J3" s="223"/>
      <c r="K3" s="223"/>
    </row>
    <row r="4" spans="1:11" x14ac:dyDescent="0.2">
      <c r="A4" s="224"/>
      <c r="B4" s="224"/>
      <c r="C4" s="224"/>
      <c r="D4" s="224"/>
      <c r="E4" s="224"/>
      <c r="F4" s="224"/>
      <c r="G4" s="224"/>
      <c r="H4" s="224"/>
      <c r="I4" s="224"/>
      <c r="J4" s="224"/>
      <c r="K4" s="224"/>
    </row>
    <row r="5" spans="1:11" s="228" customFormat="1" ht="15.75" x14ac:dyDescent="0.2">
      <c r="A5" s="225" t="s">
        <v>21</v>
      </c>
      <c r="B5" s="226"/>
      <c r="C5" s="226"/>
      <c r="D5" s="226"/>
      <c r="E5" s="226"/>
      <c r="F5" s="226"/>
      <c r="G5" s="226"/>
      <c r="H5" s="226"/>
      <c r="I5" s="226"/>
      <c r="J5" s="227"/>
      <c r="K5" s="227"/>
    </row>
    <row r="6" spans="1:11" s="228" customFormat="1" ht="15.75" x14ac:dyDescent="0.2">
      <c r="A6" s="225" t="s">
        <v>331</v>
      </c>
      <c r="B6" s="226"/>
      <c r="C6" s="226"/>
      <c r="D6" s="226"/>
      <c r="E6" s="226"/>
      <c r="F6" s="226"/>
      <c r="G6" s="226"/>
      <c r="H6" s="226"/>
      <c r="I6" s="226"/>
      <c r="J6" s="227"/>
      <c r="K6" s="227"/>
    </row>
    <row r="7" spans="1:11" ht="15.75" thickBot="1" x14ac:dyDescent="0.25">
      <c r="A7" s="229"/>
      <c r="B7" s="229"/>
      <c r="C7" s="229"/>
      <c r="D7" s="229"/>
      <c r="E7" s="229"/>
      <c r="F7" s="229"/>
      <c r="G7" s="229"/>
      <c r="H7" s="229"/>
      <c r="I7" s="229"/>
      <c r="J7" s="224"/>
      <c r="K7" s="224"/>
    </row>
    <row r="8" spans="1:11" ht="12.75" customHeight="1" x14ac:dyDescent="0.2">
      <c r="A8" s="402" t="s">
        <v>1</v>
      </c>
      <c r="B8" s="403"/>
      <c r="C8" s="403"/>
      <c r="D8" s="403"/>
      <c r="E8" s="403"/>
      <c r="F8" s="403"/>
      <c r="G8" s="403"/>
      <c r="H8" s="403"/>
      <c r="I8" s="404"/>
      <c r="J8" s="224"/>
      <c r="K8" s="224"/>
    </row>
    <row r="9" spans="1:11" ht="15.75" x14ac:dyDescent="0.2">
      <c r="A9" s="230" t="s">
        <v>330</v>
      </c>
      <c r="B9" s="231"/>
      <c r="C9" s="231"/>
      <c r="D9" s="232"/>
      <c r="E9" s="232"/>
      <c r="F9" s="232"/>
      <c r="G9" s="232"/>
      <c r="H9" s="232"/>
      <c r="I9" s="233"/>
      <c r="J9" s="224"/>
      <c r="K9" s="224"/>
    </row>
    <row r="10" spans="1:11" ht="15.75" x14ac:dyDescent="0.2">
      <c r="A10" s="408" t="s">
        <v>329</v>
      </c>
      <c r="B10" s="409"/>
      <c r="C10" s="409"/>
      <c r="D10" s="409"/>
      <c r="E10" s="409"/>
      <c r="F10" s="409"/>
      <c r="G10" s="409"/>
      <c r="H10" s="409"/>
      <c r="I10" s="410"/>
      <c r="J10" s="224"/>
      <c r="K10" s="224"/>
    </row>
    <row r="11" spans="1:11" ht="16.5" thickBot="1" x14ac:dyDescent="0.25">
      <c r="A11" s="405" t="s">
        <v>287</v>
      </c>
      <c r="B11" s="406"/>
      <c r="C11" s="406"/>
      <c r="D11" s="406"/>
      <c r="E11" s="406"/>
      <c r="F11" s="406"/>
      <c r="G11" s="406"/>
      <c r="H11" s="406"/>
      <c r="I11" s="407"/>
      <c r="J11" s="224"/>
      <c r="K11" s="224"/>
    </row>
    <row r="12" spans="1:11" ht="15" x14ac:dyDescent="0.2">
      <c r="A12" s="411"/>
      <c r="B12" s="412"/>
      <c r="C12" s="412"/>
      <c r="D12" s="412"/>
      <c r="E12" s="412"/>
      <c r="F12" s="412"/>
      <c r="G12" s="412"/>
      <c r="H12" s="412"/>
      <c r="I12" s="412"/>
      <c r="J12" s="224"/>
      <c r="K12" s="224"/>
    </row>
    <row r="13" spans="1:11" ht="15.75" x14ac:dyDescent="0.2">
      <c r="A13" s="234" t="s">
        <v>2</v>
      </c>
      <c r="B13" s="229"/>
      <c r="C13" s="229"/>
      <c r="D13" s="229"/>
      <c r="E13" s="229"/>
      <c r="F13" s="229"/>
      <c r="G13" s="229"/>
      <c r="H13" s="229"/>
      <c r="I13" s="229"/>
      <c r="J13" s="224"/>
      <c r="K13" s="224"/>
    </row>
    <row r="14" spans="1:11" ht="15.75" x14ac:dyDescent="0.2">
      <c r="A14" s="235" t="s">
        <v>306</v>
      </c>
      <c r="B14" s="229"/>
      <c r="C14" s="229"/>
      <c r="D14" s="229"/>
      <c r="E14" s="229"/>
      <c r="F14" s="229"/>
      <c r="G14" s="229"/>
      <c r="H14" s="229"/>
      <c r="I14" s="229"/>
      <c r="J14" s="224"/>
      <c r="K14" s="224"/>
    </row>
    <row r="15" spans="1:11" x14ac:dyDescent="0.2">
      <c r="A15" s="224"/>
      <c r="B15" s="224"/>
      <c r="C15" s="224"/>
      <c r="D15" s="224"/>
      <c r="E15" s="224"/>
      <c r="F15" s="224"/>
      <c r="G15" s="224"/>
      <c r="H15" s="224"/>
      <c r="I15" s="224"/>
      <c r="J15" s="224"/>
      <c r="K15" s="224"/>
    </row>
    <row r="16" spans="1:11" x14ac:dyDescent="0.2">
      <c r="A16" s="224"/>
      <c r="B16" s="224"/>
      <c r="C16" s="224"/>
      <c r="D16" s="224"/>
      <c r="E16" s="224"/>
      <c r="F16" s="224"/>
      <c r="G16" s="224"/>
      <c r="H16" s="224"/>
      <c r="I16" s="224"/>
      <c r="J16" s="224"/>
      <c r="K16" s="224"/>
    </row>
    <row r="17" spans="1:11" ht="15.75" x14ac:dyDescent="0.2">
      <c r="A17" s="374" t="s">
        <v>125</v>
      </c>
      <c r="B17" s="375"/>
      <c r="C17" s="418" t="s">
        <v>490</v>
      </c>
      <c r="D17" s="419"/>
      <c r="E17" s="419"/>
      <c r="F17" s="229"/>
      <c r="G17" s="229"/>
      <c r="H17" s="229"/>
      <c r="I17" s="229"/>
      <c r="J17" s="229"/>
      <c r="K17" s="229"/>
    </row>
    <row r="18" spans="1:11" ht="15.75" x14ac:dyDescent="0.2">
      <c r="A18" s="235"/>
      <c r="B18" s="235"/>
      <c r="C18" s="236"/>
      <c r="D18" s="236"/>
      <c r="E18" s="236"/>
      <c r="F18" s="229"/>
      <c r="G18" s="229"/>
      <c r="H18" s="229"/>
      <c r="I18" s="229"/>
      <c r="J18" s="229"/>
      <c r="K18" s="229"/>
    </row>
    <row r="19" spans="1:11" ht="18" customHeight="1" x14ac:dyDescent="0.2">
      <c r="A19" s="374" t="s">
        <v>22</v>
      </c>
      <c r="B19" s="375"/>
      <c r="C19" s="379" t="s">
        <v>491</v>
      </c>
      <c r="D19" s="380"/>
      <c r="E19" s="380"/>
      <c r="F19" s="229"/>
      <c r="G19" s="229"/>
      <c r="H19" s="229"/>
      <c r="I19" s="229"/>
      <c r="J19" s="229"/>
      <c r="K19" s="229"/>
    </row>
    <row r="20" spans="1:11" ht="15.75" x14ac:dyDescent="0.2">
      <c r="A20" s="235"/>
      <c r="B20" s="235"/>
      <c r="C20" s="413"/>
      <c r="D20" s="414"/>
      <c r="E20" s="414"/>
      <c r="F20" s="229"/>
      <c r="G20" s="229"/>
      <c r="H20" s="229"/>
      <c r="I20" s="229"/>
      <c r="J20" s="229"/>
      <c r="K20" s="229"/>
    </row>
    <row r="21" spans="1:11" ht="15.75" x14ac:dyDescent="0.2">
      <c r="A21" s="374" t="s">
        <v>126</v>
      </c>
      <c r="B21" s="381"/>
      <c r="C21" s="415" t="s">
        <v>494</v>
      </c>
      <c r="D21" s="416"/>
      <c r="E21" s="417"/>
      <c r="F21" s="229"/>
      <c r="G21" s="229"/>
      <c r="H21" s="229"/>
      <c r="I21" s="229"/>
      <c r="J21" s="229"/>
      <c r="K21" s="229"/>
    </row>
    <row r="22" spans="1:11" ht="15" x14ac:dyDescent="0.2">
      <c r="A22" s="229"/>
      <c r="B22" s="229"/>
      <c r="C22" s="236"/>
      <c r="D22" s="236"/>
      <c r="E22" s="236"/>
      <c r="F22" s="229"/>
      <c r="G22" s="229"/>
      <c r="H22" s="229"/>
      <c r="I22" s="229"/>
      <c r="J22" s="229"/>
      <c r="K22" s="229"/>
    </row>
    <row r="23" spans="1:11" ht="18" customHeight="1" x14ac:dyDescent="0.2">
      <c r="A23" s="374" t="s">
        <v>180</v>
      </c>
      <c r="B23" s="381"/>
      <c r="C23" s="382" t="s">
        <v>495</v>
      </c>
      <c r="D23" s="383"/>
      <c r="E23" s="384"/>
      <c r="F23" s="229"/>
      <c r="G23" s="229"/>
      <c r="H23" s="229"/>
      <c r="I23" s="229"/>
      <c r="J23" s="229"/>
      <c r="K23" s="229"/>
    </row>
    <row r="24" spans="1:11" ht="15" x14ac:dyDescent="0.2">
      <c r="A24" s="229"/>
      <c r="B24" s="229"/>
      <c r="C24" s="236"/>
      <c r="D24" s="236"/>
      <c r="E24" s="236"/>
      <c r="F24" s="229"/>
      <c r="G24" s="229"/>
      <c r="H24" s="229"/>
      <c r="I24" s="229"/>
      <c r="J24" s="229"/>
      <c r="K24" s="229"/>
    </row>
    <row r="25" spans="1:11" ht="15.75" x14ac:dyDescent="0.2">
      <c r="A25" s="374" t="s">
        <v>97</v>
      </c>
      <c r="B25" s="381"/>
      <c r="C25" s="376">
        <v>45474</v>
      </c>
      <c r="D25" s="377"/>
      <c r="E25" s="378"/>
      <c r="F25" s="229"/>
      <c r="G25" s="229"/>
      <c r="H25" s="229"/>
      <c r="I25" s="229"/>
      <c r="J25" s="229"/>
      <c r="K25" s="229"/>
    </row>
    <row r="26" spans="1:11" ht="15" x14ac:dyDescent="0.2">
      <c r="A26" s="229"/>
      <c r="B26" s="229"/>
      <c r="C26" s="236"/>
      <c r="D26" s="236"/>
      <c r="E26" s="236"/>
      <c r="F26" s="229"/>
      <c r="G26" s="229"/>
      <c r="H26" s="229"/>
      <c r="I26" s="229"/>
      <c r="J26" s="229"/>
      <c r="K26" s="229"/>
    </row>
    <row r="27" spans="1:11" ht="15.75" x14ac:dyDescent="0.2">
      <c r="A27" s="374" t="s">
        <v>98</v>
      </c>
      <c r="B27" s="381"/>
      <c r="C27" s="376">
        <v>45838</v>
      </c>
      <c r="D27" s="377"/>
      <c r="E27" s="378"/>
      <c r="F27" s="229"/>
      <c r="G27" s="229"/>
      <c r="H27" s="229"/>
      <c r="I27" s="229"/>
      <c r="J27" s="229"/>
      <c r="K27" s="229"/>
    </row>
    <row r="28" spans="1:11" ht="15" x14ac:dyDescent="0.2">
      <c r="A28" s="229"/>
      <c r="B28" s="229"/>
      <c r="C28" s="236"/>
      <c r="D28" s="236"/>
      <c r="E28" s="236"/>
      <c r="F28" s="229"/>
      <c r="G28" s="229"/>
      <c r="H28" s="229"/>
      <c r="I28" s="229"/>
      <c r="J28" s="229"/>
      <c r="K28" s="229"/>
    </row>
    <row r="29" spans="1:11" ht="15.75" x14ac:dyDescent="0.2">
      <c r="A29" s="385" t="s">
        <v>179</v>
      </c>
      <c r="B29" s="385"/>
      <c r="C29" s="376">
        <v>46281</v>
      </c>
      <c r="D29" s="377"/>
      <c r="E29" s="378"/>
      <c r="F29" s="229"/>
      <c r="G29" s="229"/>
      <c r="H29" s="229"/>
      <c r="I29" s="229"/>
      <c r="J29" s="229"/>
      <c r="K29" s="229"/>
    </row>
    <row r="30" spans="1:11" ht="15" x14ac:dyDescent="0.2">
      <c r="A30" s="229"/>
      <c r="B30" s="229"/>
      <c r="C30" s="236"/>
      <c r="D30" s="236"/>
      <c r="E30" s="236"/>
      <c r="F30" s="229"/>
      <c r="G30" s="229"/>
      <c r="H30" s="229"/>
      <c r="I30" s="229"/>
      <c r="J30" s="229"/>
      <c r="K30" s="229"/>
    </row>
    <row r="31" spans="1:11" ht="15.75" x14ac:dyDescent="0.2">
      <c r="A31" s="385" t="s">
        <v>174</v>
      </c>
      <c r="B31" s="385"/>
      <c r="C31" s="376">
        <v>45838</v>
      </c>
      <c r="D31" s="377"/>
      <c r="E31" s="378"/>
      <c r="F31" s="229"/>
      <c r="G31" s="229"/>
      <c r="H31" s="229"/>
      <c r="I31" s="229"/>
      <c r="J31" s="229"/>
      <c r="K31" s="229"/>
    </row>
    <row r="32" spans="1:11" ht="15" x14ac:dyDescent="0.2">
      <c r="A32" s="229"/>
      <c r="B32" s="229"/>
      <c r="C32" s="236"/>
      <c r="D32" s="236"/>
      <c r="E32" s="236"/>
      <c r="F32" s="229"/>
      <c r="G32" s="229"/>
      <c r="H32" s="229"/>
      <c r="I32" s="229"/>
      <c r="J32" s="229"/>
      <c r="K32" s="229"/>
    </row>
    <row r="33" spans="1:11" ht="60" customHeight="1" x14ac:dyDescent="0.2">
      <c r="A33" s="373" t="s">
        <v>166</v>
      </c>
      <c r="B33" s="373"/>
      <c r="C33" s="369" t="s">
        <v>549</v>
      </c>
      <c r="D33" s="370"/>
      <c r="E33" s="371"/>
      <c r="F33" s="372" t="s">
        <v>308</v>
      </c>
      <c r="G33" s="373"/>
      <c r="H33" s="373"/>
      <c r="I33" s="369" t="s">
        <v>569</v>
      </c>
      <c r="J33" s="370"/>
      <c r="K33" s="371"/>
    </row>
    <row r="34" spans="1:11" ht="15.75" thickBot="1" x14ac:dyDescent="0.25">
      <c r="A34" s="237"/>
      <c r="B34" s="237"/>
      <c r="C34" s="237"/>
      <c r="D34" s="237"/>
      <c r="E34" s="237"/>
      <c r="F34" s="237"/>
      <c r="G34" s="237"/>
      <c r="H34" s="237"/>
      <c r="I34" s="237"/>
      <c r="J34" s="237"/>
      <c r="K34" s="237"/>
    </row>
    <row r="35" spans="1:11" ht="15" x14ac:dyDescent="0.2">
      <c r="A35" s="365"/>
      <c r="B35" s="366"/>
      <c r="C35" s="366"/>
      <c r="D35" s="366"/>
      <c r="E35" s="366"/>
      <c r="F35" s="366"/>
      <c r="G35" s="366"/>
      <c r="H35" s="367"/>
      <c r="I35" s="237"/>
      <c r="J35" s="237"/>
      <c r="K35" s="237"/>
    </row>
    <row r="36" spans="1:11" ht="15" x14ac:dyDescent="0.2">
      <c r="A36" s="368" t="s">
        <v>3</v>
      </c>
      <c r="B36" s="386" t="s">
        <v>4</v>
      </c>
      <c r="C36" s="387"/>
      <c r="D36" s="362" t="s">
        <v>566</v>
      </c>
      <c r="E36" s="363"/>
      <c r="F36" s="363"/>
      <c r="G36" s="364"/>
      <c r="H36" s="394"/>
      <c r="I36" s="237"/>
      <c r="J36" s="237"/>
      <c r="K36" s="237"/>
    </row>
    <row r="37" spans="1:11" ht="15" x14ac:dyDescent="0.2">
      <c r="A37" s="368"/>
      <c r="B37" s="386" t="s">
        <v>5</v>
      </c>
      <c r="C37" s="387"/>
      <c r="D37" s="362" t="s">
        <v>498</v>
      </c>
      <c r="E37" s="363"/>
      <c r="F37" s="363"/>
      <c r="G37" s="364"/>
      <c r="H37" s="394"/>
      <c r="I37" s="237"/>
      <c r="J37" s="237"/>
      <c r="K37" s="237"/>
    </row>
    <row r="38" spans="1:11" ht="15" x14ac:dyDescent="0.2">
      <c r="A38" s="368"/>
      <c r="B38" s="238"/>
      <c r="C38" s="239" t="s">
        <v>6</v>
      </c>
      <c r="D38" s="157" t="s">
        <v>499</v>
      </c>
      <c r="E38" s="239" t="s">
        <v>7</v>
      </c>
      <c r="F38" s="157">
        <v>2000</v>
      </c>
      <c r="G38" s="240"/>
      <c r="H38" s="394"/>
      <c r="I38" s="237"/>
      <c r="J38" s="237"/>
      <c r="K38" s="237"/>
    </row>
    <row r="39" spans="1:11" ht="15" x14ac:dyDescent="0.2">
      <c r="A39" s="368"/>
      <c r="B39" s="395"/>
      <c r="C39" s="395"/>
      <c r="D39" s="395"/>
      <c r="E39" s="395"/>
      <c r="F39" s="395"/>
      <c r="G39" s="395"/>
      <c r="H39" s="394"/>
      <c r="I39" s="237"/>
      <c r="J39" s="237"/>
      <c r="K39" s="237"/>
    </row>
    <row r="40" spans="1:11" ht="15" x14ac:dyDescent="0.2">
      <c r="A40" s="368" t="s">
        <v>8</v>
      </c>
      <c r="B40" s="386" t="s">
        <v>4</v>
      </c>
      <c r="C40" s="387"/>
      <c r="D40" s="396" t="s">
        <v>500</v>
      </c>
      <c r="E40" s="396"/>
      <c r="F40" s="396"/>
      <c r="G40" s="396"/>
      <c r="H40" s="394"/>
      <c r="I40" s="237"/>
      <c r="J40" s="237"/>
      <c r="K40" s="237"/>
    </row>
    <row r="41" spans="1:11" ht="15" x14ac:dyDescent="0.2">
      <c r="A41" s="368"/>
      <c r="B41" s="386" t="s">
        <v>5</v>
      </c>
      <c r="C41" s="387"/>
      <c r="D41" s="396" t="s">
        <v>501</v>
      </c>
      <c r="E41" s="396"/>
      <c r="F41" s="396"/>
      <c r="G41" s="396"/>
      <c r="H41" s="394"/>
      <c r="I41" s="237"/>
      <c r="J41" s="237"/>
      <c r="K41" s="237"/>
    </row>
    <row r="42" spans="1:11" ht="15" x14ac:dyDescent="0.2">
      <c r="A42" s="368"/>
      <c r="B42" s="238"/>
      <c r="C42" s="239" t="s">
        <v>6</v>
      </c>
      <c r="D42" s="157"/>
      <c r="E42" s="239" t="s">
        <v>7</v>
      </c>
      <c r="F42" s="157">
        <v>1225</v>
      </c>
      <c r="G42" s="240"/>
      <c r="H42" s="394"/>
      <c r="I42" s="237"/>
      <c r="J42" s="237"/>
      <c r="K42" s="237"/>
    </row>
    <row r="43" spans="1:11" ht="15.75" thickBot="1" x14ac:dyDescent="0.25">
      <c r="A43" s="391"/>
      <c r="B43" s="392"/>
      <c r="C43" s="392"/>
      <c r="D43" s="392"/>
      <c r="E43" s="392"/>
      <c r="F43" s="392"/>
      <c r="G43" s="392"/>
      <c r="H43" s="393"/>
      <c r="I43" s="237"/>
      <c r="J43" s="237"/>
      <c r="K43" s="237"/>
    </row>
    <row r="44" spans="1:11" ht="15" x14ac:dyDescent="0.2">
      <c r="A44" s="365"/>
      <c r="B44" s="366"/>
      <c r="C44" s="366"/>
      <c r="D44" s="366"/>
      <c r="E44" s="366"/>
      <c r="F44" s="366"/>
      <c r="G44" s="366"/>
      <c r="H44" s="367"/>
      <c r="I44" s="237"/>
      <c r="J44" s="237"/>
      <c r="K44" s="237"/>
    </row>
    <row r="45" spans="1:11" ht="15.75" x14ac:dyDescent="0.25">
      <c r="A45" s="241" t="s">
        <v>9</v>
      </c>
      <c r="B45" s="362" t="s">
        <v>502</v>
      </c>
      <c r="C45" s="363"/>
      <c r="D45" s="399"/>
      <c r="E45" s="399"/>
      <c r="F45" s="400"/>
      <c r="G45" s="397"/>
      <c r="H45" s="398"/>
      <c r="I45" s="237"/>
      <c r="J45" s="237"/>
      <c r="K45" s="237"/>
    </row>
    <row r="46" spans="1:11" ht="15.75" x14ac:dyDescent="0.25">
      <c r="A46" s="241" t="s">
        <v>10</v>
      </c>
      <c r="B46" s="401" t="s">
        <v>503</v>
      </c>
      <c r="C46" s="363"/>
      <c r="D46" s="363"/>
      <c r="E46" s="363"/>
      <c r="F46" s="364"/>
      <c r="G46" s="397"/>
      <c r="H46" s="398"/>
      <c r="I46" s="237"/>
      <c r="J46" s="237"/>
      <c r="K46" s="237"/>
    </row>
    <row r="47" spans="1:11" ht="15.75" x14ac:dyDescent="0.25">
      <c r="A47" s="241" t="s">
        <v>11</v>
      </c>
      <c r="B47" s="362" t="s">
        <v>504</v>
      </c>
      <c r="C47" s="363"/>
      <c r="D47" s="363"/>
      <c r="E47" s="363"/>
      <c r="F47" s="364"/>
      <c r="G47" s="397"/>
      <c r="H47" s="398"/>
      <c r="I47" s="237"/>
      <c r="J47" s="237"/>
      <c r="K47" s="237"/>
    </row>
    <row r="48" spans="1:11" ht="15.75" thickBot="1" x14ac:dyDescent="0.25">
      <c r="A48" s="388"/>
      <c r="B48" s="389"/>
      <c r="C48" s="389"/>
      <c r="D48" s="389"/>
      <c r="E48" s="389"/>
      <c r="F48" s="389"/>
      <c r="G48" s="389"/>
      <c r="H48" s="390"/>
      <c r="I48" s="237"/>
      <c r="J48" s="237"/>
      <c r="K48" s="237"/>
    </row>
    <row r="49" spans="1:11" ht="15" x14ac:dyDescent="0.2">
      <c r="A49" s="237"/>
      <c r="B49" s="237"/>
      <c r="C49" s="237"/>
      <c r="D49" s="237"/>
      <c r="E49" s="237"/>
      <c r="F49" s="237"/>
      <c r="G49" s="237"/>
      <c r="H49" s="237"/>
      <c r="I49" s="237"/>
      <c r="J49" s="237"/>
      <c r="K49" s="237"/>
    </row>
    <row r="50" spans="1:11" ht="15" x14ac:dyDescent="0.2">
      <c r="A50" s="237"/>
      <c r="B50" s="237"/>
      <c r="C50" s="237"/>
      <c r="D50" s="237"/>
      <c r="E50" s="237"/>
      <c r="F50" s="237"/>
      <c r="G50" s="237"/>
      <c r="H50" s="237"/>
      <c r="I50" s="237"/>
      <c r="J50" s="237"/>
      <c r="K50" s="237"/>
    </row>
    <row r="51" spans="1:11" ht="15" x14ac:dyDescent="0.2">
      <c r="A51" s="237"/>
      <c r="B51" s="237"/>
      <c r="C51" s="237"/>
      <c r="D51" s="237"/>
      <c r="E51" s="237"/>
      <c r="F51" s="237"/>
      <c r="G51" s="237"/>
      <c r="H51" s="237"/>
      <c r="I51" s="237"/>
      <c r="J51" s="237"/>
      <c r="K51" s="237"/>
    </row>
  </sheetData>
  <sheetProtection sheet="1"/>
  <mergeCells count="45">
    <mergeCell ref="A17:B17"/>
    <mergeCell ref="A23:B23"/>
    <mergeCell ref="A25:B25"/>
    <mergeCell ref="A8:I8"/>
    <mergeCell ref="A11:I11"/>
    <mergeCell ref="A10:I10"/>
    <mergeCell ref="A12:I12"/>
    <mergeCell ref="C20:E20"/>
    <mergeCell ref="C21:E21"/>
    <mergeCell ref="C17:E17"/>
    <mergeCell ref="C25:E25"/>
    <mergeCell ref="B40:C40"/>
    <mergeCell ref="A44:H44"/>
    <mergeCell ref="A48:H48"/>
    <mergeCell ref="A40:A43"/>
    <mergeCell ref="B43:H43"/>
    <mergeCell ref="H36:H42"/>
    <mergeCell ref="B39:G39"/>
    <mergeCell ref="D40:G40"/>
    <mergeCell ref="G45:H47"/>
    <mergeCell ref="B47:F47"/>
    <mergeCell ref="B41:C41"/>
    <mergeCell ref="D41:G41"/>
    <mergeCell ref="B45:F45"/>
    <mergeCell ref="B46:F46"/>
    <mergeCell ref="B37:C37"/>
    <mergeCell ref="B36:C36"/>
    <mergeCell ref="I33:K33"/>
    <mergeCell ref="F33:H33"/>
    <mergeCell ref="A19:B19"/>
    <mergeCell ref="C27:E27"/>
    <mergeCell ref="C19:E19"/>
    <mergeCell ref="A21:B21"/>
    <mergeCell ref="C23:E23"/>
    <mergeCell ref="C29:E29"/>
    <mergeCell ref="A33:B33"/>
    <mergeCell ref="C31:E31"/>
    <mergeCell ref="A27:B27"/>
    <mergeCell ref="A29:B29"/>
    <mergeCell ref="A31:B31"/>
    <mergeCell ref="D36:G36"/>
    <mergeCell ref="D37:G37"/>
    <mergeCell ref="A35:H35"/>
    <mergeCell ref="A36:A39"/>
    <mergeCell ref="C33:E33"/>
  </mergeCells>
  <phoneticPr fontId="8" type="noConversion"/>
  <dataValidations count="4">
    <dataValidation type="list" allowBlank="1" showInputMessage="1" showErrorMessage="1" sqref="C33:E33" xr:uid="{0380DC43-5658-44D8-9BAF-F2BD9E75FCCF}">
      <formula1>"Yes, No"</formula1>
    </dataValidation>
    <dataValidation type="list" allowBlank="1" showInputMessage="1" showErrorMessage="1" sqref="C23:E23" xr:uid="{C9354B9E-1781-4D52-B31C-635FE3967F7F}">
      <formula1>"Scheme pipeline, Non-scheme pipeline"</formula1>
    </dataValidation>
    <dataValidation type="date" operator="greaterThan" allowBlank="1" showInputMessage="1" showErrorMessage="1" sqref="C25:E25" xr:uid="{D46C156D-0DBA-43F6-89FB-872961FDCD16}">
      <formula1>40179</formula1>
    </dataValidation>
    <dataValidation type="list" allowBlank="1" showInputMessage="1" showErrorMessage="1" sqref="D38 D42" xr:uid="{4ACBA373-3740-4F5D-88C4-62CF8CBF8BBF}">
      <formula1>"NSW, VIC, QLD, SA, TAS, NT, ACT, WA"</formula1>
    </dataValidation>
  </dataValidations>
  <pageMargins left="0.75" right="0.75" top="1" bottom="1" header="0.5" footer="0.5"/>
  <pageSetup paperSize="9" scale="80" orientation="portrait" verticalDpi="2" r:id="rId1"/>
  <headerFooter alignWithMargins="0">
    <oddHeader>&amp;C&amp;"Arial,Bold"&amp;12Non- Scheme Gas Pipeline - Financial Guideline Reporting template</oddHeader>
    <oddFooter>&amp;C&amp;A_x000D_&amp;1#&amp;"Calibri"&amp;10&amp;K008000 APA-INTERNAL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0600C-102F-4C0B-8A6E-4571B2132164}">
  <sheetPr codeName="Sheet9">
    <tabColor rgb="FF17415D"/>
    <pageSetUpPr fitToPage="1"/>
  </sheetPr>
  <dimension ref="A1:H50"/>
  <sheetViews>
    <sheetView showGridLines="0" zoomScale="66" zoomScaleNormal="85" workbookViewId="0"/>
  </sheetViews>
  <sheetFormatPr defaultColWidth="9.42578125" defaultRowHeight="23.25" x14ac:dyDescent="0.35"/>
  <cols>
    <col min="1" max="1" width="6.42578125" style="1" customWidth="1"/>
    <col min="2" max="2" width="10.5703125" style="1" customWidth="1"/>
    <col min="3" max="3" width="26.5703125" style="1" customWidth="1"/>
    <col min="4" max="4" width="135.5703125" style="1" customWidth="1"/>
    <col min="5" max="5" width="61.42578125" style="1" customWidth="1"/>
    <col min="6" max="6" width="27.5703125" style="1" customWidth="1"/>
    <col min="7" max="7" width="19.42578125" style="1" bestFit="1" customWidth="1"/>
    <col min="8" max="8" width="8.5703125" style="1" customWidth="1"/>
    <col min="9" max="16384" width="9.42578125" style="1"/>
  </cols>
  <sheetData>
    <row r="1" spans="1:8" ht="26.25" x14ac:dyDescent="0.35">
      <c r="A1" s="1" t="s">
        <v>12</v>
      </c>
      <c r="C1" s="96" t="s">
        <v>301</v>
      </c>
      <c r="D1" s="96"/>
      <c r="E1" s="96"/>
      <c r="F1" s="96"/>
      <c r="G1" s="3"/>
      <c r="H1" s="3"/>
    </row>
    <row r="2" spans="1:8" ht="20.25" customHeight="1" x14ac:dyDescent="0.35">
      <c r="B2" s="3"/>
      <c r="C2" s="96" t="str">
        <f>IF(Tradingname=0," ",Tradingname)</f>
        <v>APA Pipelines Investments (BWP) Pty Limited</v>
      </c>
      <c r="D2" s="96"/>
      <c r="E2" s="96"/>
      <c r="F2" s="96"/>
      <c r="G2" s="3"/>
    </row>
    <row r="3" spans="1:8" ht="33.75" customHeight="1" x14ac:dyDescent="0.4">
      <c r="B3" s="3"/>
      <c r="C3" s="96" t="s">
        <v>109</v>
      </c>
      <c r="D3" s="98">
        <f>IF(Yearending=0, "01/01/2000", Yearending)</f>
        <v>45838</v>
      </c>
      <c r="E3" s="96"/>
      <c r="F3" s="97"/>
    </row>
    <row r="4" spans="1:8" ht="15" customHeight="1" x14ac:dyDescent="0.35">
      <c r="B4" s="3"/>
      <c r="C4" s="3"/>
      <c r="D4" s="3"/>
      <c r="E4" s="3"/>
      <c r="F4" s="3"/>
      <c r="G4" s="3"/>
    </row>
    <row r="5" spans="1:8" s="3" customFormat="1" ht="15" customHeight="1" thickBot="1" x14ac:dyDescent="0.25"/>
    <row r="6" spans="1:8" s="3" customFormat="1" ht="15" customHeight="1" x14ac:dyDescent="0.35">
      <c r="C6" s="142"/>
      <c r="D6" s="143"/>
      <c r="E6" s="143"/>
      <c r="F6" s="144"/>
    </row>
    <row r="7" spans="1:8" s="3" customFormat="1" ht="26.25" x14ac:dyDescent="0.4">
      <c r="C7" s="145"/>
      <c r="D7" s="420" t="s">
        <v>198</v>
      </c>
      <c r="E7" s="420"/>
      <c r="F7" s="146"/>
    </row>
    <row r="8" spans="1:8" s="3" customFormat="1" ht="25.5" x14ac:dyDescent="0.35">
      <c r="C8" s="145"/>
      <c r="D8" s="147"/>
      <c r="E8" s="147"/>
      <c r="F8" s="146"/>
    </row>
    <row r="9" spans="1:8" s="3" customFormat="1" ht="26.25" x14ac:dyDescent="0.4">
      <c r="C9" s="145"/>
      <c r="D9" s="152" t="s">
        <v>201</v>
      </c>
      <c r="E9" s="156" t="s">
        <v>327</v>
      </c>
      <c r="F9" s="146"/>
    </row>
    <row r="10" spans="1:8" s="3" customFormat="1" ht="26.25" x14ac:dyDescent="0.4">
      <c r="C10" s="145"/>
      <c r="D10" s="152"/>
      <c r="E10" s="156" t="s">
        <v>326</v>
      </c>
      <c r="F10" s="146"/>
    </row>
    <row r="11" spans="1:8" s="3" customFormat="1" ht="26.25" x14ac:dyDescent="0.4">
      <c r="C11" s="145"/>
      <c r="D11" s="152"/>
      <c r="E11" s="156" t="s">
        <v>325</v>
      </c>
      <c r="F11" s="146"/>
    </row>
    <row r="12" spans="1:8" s="3" customFormat="1" ht="25.5" x14ac:dyDescent="0.35">
      <c r="C12" s="145"/>
      <c r="D12" s="147"/>
      <c r="E12" s="147"/>
      <c r="F12" s="146"/>
    </row>
    <row r="13" spans="1:8" s="3" customFormat="1" ht="26.25" x14ac:dyDescent="0.4">
      <c r="C13" s="145"/>
      <c r="D13" s="152" t="s">
        <v>204</v>
      </c>
      <c r="E13" s="153"/>
      <c r="F13" s="146"/>
    </row>
    <row r="14" spans="1:8" s="3" customFormat="1" ht="25.5" x14ac:dyDescent="0.35">
      <c r="C14" s="145"/>
      <c r="D14" s="92"/>
      <c r="E14" s="93"/>
      <c r="F14" s="146"/>
    </row>
    <row r="15" spans="1:8" s="3" customFormat="1" ht="26.25" x14ac:dyDescent="0.4">
      <c r="C15" s="145"/>
      <c r="D15" s="152" t="s">
        <v>203</v>
      </c>
      <c r="E15" s="155" t="s">
        <v>312</v>
      </c>
      <c r="F15" s="146"/>
    </row>
    <row r="16" spans="1:8" s="3" customFormat="1" ht="26.25" x14ac:dyDescent="0.4">
      <c r="C16" s="145"/>
      <c r="D16" s="152"/>
      <c r="E16" s="155" t="s">
        <v>456</v>
      </c>
      <c r="F16" s="146"/>
    </row>
    <row r="17" spans="3:6" s="3" customFormat="1" ht="26.25" x14ac:dyDescent="0.4">
      <c r="C17" s="145"/>
      <c r="D17" s="152"/>
      <c r="E17" s="155" t="s">
        <v>217</v>
      </c>
      <c r="F17" s="146"/>
    </row>
    <row r="18" spans="3:6" s="3" customFormat="1" ht="26.25" x14ac:dyDescent="0.4">
      <c r="C18" s="145"/>
      <c r="D18" s="152"/>
      <c r="E18" s="155" t="s">
        <v>218</v>
      </c>
      <c r="F18" s="146"/>
    </row>
    <row r="19" spans="3:6" s="3" customFormat="1" ht="26.25" x14ac:dyDescent="0.4">
      <c r="C19" s="145"/>
      <c r="D19" s="152"/>
      <c r="E19" s="155" t="s">
        <v>280</v>
      </c>
      <c r="F19" s="146"/>
    </row>
    <row r="20" spans="3:6" s="3" customFormat="1" ht="25.5" customHeight="1" x14ac:dyDescent="0.35">
      <c r="C20" s="94"/>
      <c r="D20" s="92"/>
      <c r="E20" s="93"/>
      <c r="F20" s="95"/>
    </row>
    <row r="21" spans="3:6" s="3" customFormat="1" ht="25.5" customHeight="1" x14ac:dyDescent="0.4">
      <c r="C21" s="145"/>
      <c r="D21" s="152" t="s">
        <v>444</v>
      </c>
      <c r="E21" s="155" t="s">
        <v>440</v>
      </c>
      <c r="F21" s="146"/>
    </row>
    <row r="22" spans="3:6" s="3" customFormat="1" ht="25.5" customHeight="1" x14ac:dyDescent="0.4">
      <c r="C22" s="145"/>
      <c r="D22" s="152" t="s">
        <v>446</v>
      </c>
      <c r="E22" s="155" t="s">
        <v>441</v>
      </c>
      <c r="F22" s="146"/>
    </row>
    <row r="23" spans="3:6" s="3" customFormat="1" ht="25.5" customHeight="1" x14ac:dyDescent="0.4">
      <c r="C23" s="145"/>
      <c r="D23" s="152"/>
      <c r="E23" s="155" t="s">
        <v>442</v>
      </c>
      <c r="F23" s="146"/>
    </row>
    <row r="24" spans="3:6" s="3" customFormat="1" ht="25.5" customHeight="1" x14ac:dyDescent="0.4">
      <c r="C24" s="145"/>
      <c r="D24" s="152"/>
      <c r="E24" s="155" t="s">
        <v>443</v>
      </c>
      <c r="F24" s="146"/>
    </row>
    <row r="25" spans="3:6" s="3" customFormat="1" ht="25.5" x14ac:dyDescent="0.35">
      <c r="C25" s="94"/>
      <c r="D25" s="92"/>
      <c r="E25" s="93"/>
      <c r="F25" s="95"/>
    </row>
    <row r="26" spans="3:6" s="3" customFormat="1" ht="26.25" x14ac:dyDescent="0.4">
      <c r="C26" s="145"/>
      <c r="D26" s="152" t="s">
        <v>445</v>
      </c>
      <c r="E26" s="155" t="s">
        <v>205</v>
      </c>
      <c r="F26" s="146"/>
    </row>
    <row r="27" spans="3:6" s="3" customFormat="1" ht="25.5" x14ac:dyDescent="0.35">
      <c r="C27" s="94"/>
      <c r="D27" s="92"/>
      <c r="E27" s="93"/>
      <c r="F27" s="95"/>
    </row>
    <row r="28" spans="3:6" s="3" customFormat="1" ht="26.25" x14ac:dyDescent="0.4">
      <c r="C28" s="94"/>
      <c r="D28" s="152" t="s">
        <v>281</v>
      </c>
      <c r="E28" s="154"/>
      <c r="F28" s="95"/>
    </row>
    <row r="29" spans="3:6" s="3" customFormat="1" ht="25.5" x14ac:dyDescent="0.35">
      <c r="C29" s="94"/>
      <c r="D29" s="92"/>
      <c r="E29" s="93"/>
      <c r="F29" s="95"/>
    </row>
    <row r="30" spans="3:6" s="3" customFormat="1" ht="26.25" x14ac:dyDescent="0.4">
      <c r="C30" s="145"/>
      <c r="D30" s="152" t="s">
        <v>304</v>
      </c>
      <c r="E30" s="153"/>
      <c r="F30" s="146"/>
    </row>
    <row r="31" spans="3:6" s="3" customFormat="1" ht="26.25" thickBot="1" x14ac:dyDescent="0.4">
      <c r="C31" s="148"/>
      <c r="D31" s="149"/>
      <c r="E31" s="150"/>
      <c r="F31" s="151"/>
    </row>
    <row r="32" spans="3:6" s="3" customFormat="1" x14ac:dyDescent="0.2">
      <c r="C32" s="2"/>
      <c r="D32" s="2"/>
      <c r="E32" s="2"/>
      <c r="F32" s="2"/>
    </row>
    <row r="33" spans="2:6" s="3" customFormat="1" x14ac:dyDescent="0.35">
      <c r="B33" s="2"/>
      <c r="C33" s="2"/>
      <c r="D33" s="1"/>
      <c r="E33" s="1"/>
      <c r="F33" s="2"/>
    </row>
    <row r="34" spans="2:6" s="3" customFormat="1" x14ac:dyDescent="0.35">
      <c r="B34" s="2"/>
      <c r="C34" s="2"/>
      <c r="D34" s="1"/>
      <c r="E34" s="2"/>
    </row>
    <row r="35" spans="2:6" s="3" customFormat="1" x14ac:dyDescent="0.35">
      <c r="B35" s="2"/>
      <c r="C35" s="2"/>
      <c r="D35" s="1"/>
      <c r="E35" s="1"/>
      <c r="F35" s="2"/>
    </row>
    <row r="36" spans="2:6" s="3" customFormat="1" x14ac:dyDescent="0.35">
      <c r="B36" s="2"/>
      <c r="C36" s="2"/>
      <c r="D36" s="1"/>
      <c r="E36" s="1"/>
      <c r="F36" s="2"/>
    </row>
    <row r="37" spans="2:6" s="3" customFormat="1" x14ac:dyDescent="0.35">
      <c r="B37" s="2"/>
      <c r="C37" s="2"/>
      <c r="D37" s="1"/>
      <c r="E37" s="1"/>
      <c r="F37" s="2"/>
    </row>
    <row r="38" spans="2:6" s="3" customFormat="1" x14ac:dyDescent="0.35">
      <c r="B38" s="2"/>
      <c r="C38" s="2"/>
      <c r="D38" s="1"/>
      <c r="E38" s="1"/>
      <c r="F38" s="2"/>
    </row>
    <row r="39" spans="2:6" s="3" customFormat="1" x14ac:dyDescent="0.35">
      <c r="B39" s="2"/>
      <c r="C39" s="2"/>
      <c r="D39" s="1"/>
      <c r="E39" s="1"/>
      <c r="F39" s="2"/>
    </row>
    <row r="40" spans="2:6" s="3" customFormat="1" x14ac:dyDescent="0.35">
      <c r="B40" s="2"/>
      <c r="C40" s="2"/>
      <c r="D40" s="1"/>
      <c r="E40" s="1"/>
      <c r="F40" s="2"/>
    </row>
    <row r="41" spans="2:6" s="3" customFormat="1" x14ac:dyDescent="0.35">
      <c r="B41" s="2"/>
      <c r="C41" s="2"/>
      <c r="D41" s="1"/>
      <c r="E41" s="1"/>
      <c r="F41" s="2"/>
    </row>
    <row r="42" spans="2:6" s="3" customFormat="1" x14ac:dyDescent="0.35">
      <c r="B42" s="2"/>
      <c r="C42" s="2"/>
      <c r="D42" s="1"/>
      <c r="E42" s="1"/>
      <c r="F42" s="2"/>
    </row>
    <row r="43" spans="2:6" s="3" customFormat="1" x14ac:dyDescent="0.35">
      <c r="B43" s="2"/>
      <c r="C43" s="2"/>
      <c r="D43" s="1"/>
      <c r="E43" s="1"/>
      <c r="F43" s="2"/>
    </row>
    <row r="44" spans="2:6" s="3" customFormat="1" x14ac:dyDescent="0.35">
      <c r="B44" s="2"/>
      <c r="C44" s="2"/>
      <c r="D44" s="1"/>
      <c r="E44" s="1"/>
      <c r="F44" s="2"/>
    </row>
    <row r="45" spans="2:6" s="3" customFormat="1" x14ac:dyDescent="0.35">
      <c r="B45" s="2"/>
      <c r="C45" s="2"/>
      <c r="D45" s="1"/>
      <c r="E45" s="1"/>
      <c r="F45" s="2"/>
    </row>
    <row r="46" spans="2:6" s="3" customFormat="1" x14ac:dyDescent="0.35">
      <c r="B46" s="2"/>
      <c r="C46" s="2"/>
      <c r="D46" s="1"/>
      <c r="E46" s="1"/>
      <c r="F46" s="2"/>
    </row>
    <row r="47" spans="2:6" s="3" customFormat="1" x14ac:dyDescent="0.35">
      <c r="B47" s="2"/>
      <c r="C47" s="1"/>
      <c r="D47" s="1"/>
      <c r="E47" s="1"/>
      <c r="F47" s="1"/>
    </row>
    <row r="48" spans="2:6" s="3" customFormat="1" x14ac:dyDescent="0.35">
      <c r="B48" s="2"/>
      <c r="C48" s="1"/>
      <c r="D48" s="1"/>
      <c r="E48" s="1"/>
      <c r="F48" s="1"/>
    </row>
    <row r="49" spans="2:6" s="3" customFormat="1" x14ac:dyDescent="0.35">
      <c r="B49" s="2"/>
      <c r="C49" s="1"/>
      <c r="D49" s="1"/>
      <c r="E49" s="1"/>
      <c r="F49" s="1"/>
    </row>
    <row r="50" spans="2:6" s="3" customFormat="1" x14ac:dyDescent="0.35">
      <c r="B50" s="2"/>
      <c r="C50" s="1"/>
      <c r="D50" s="1"/>
      <c r="E50" s="1"/>
      <c r="F50" s="1"/>
    </row>
  </sheetData>
  <sheetProtection sheet="1"/>
  <mergeCells count="1">
    <mergeCell ref="D7:E7"/>
  </mergeCells>
  <phoneticPr fontId="30" type="noConversion"/>
  <hyperlinks>
    <hyperlink ref="D13" location="'1. Pipeline information'!A1" display="1. PIPELINE INFORMATION" xr:uid="{8B4ED3C3-8069-4DE2-A1BD-7563FB74F767}"/>
    <hyperlink ref="E26" location="'4.1 Pipelines capex'!A1" display="4.1 Pipelines capex" xr:uid="{5A0B11B0-2201-4694-B92E-E965C0D835EC}"/>
    <hyperlink ref="D28" location="'5. Historical demand'!A1" display="5. Historical demand" xr:uid="{79CF548D-EB14-41FA-8F1A-ABD840A2F14A}"/>
    <hyperlink ref="D30" location="'6. Pricing template'!A1" display="6. PRICING TEMPLATE" xr:uid="{407A1BC2-EDE3-4691-995E-7BB4D73E2B01}"/>
    <hyperlink ref="D15" location="'2. Revenue and expenses'!A1" display="2. REVENUE AND EXPENSES" xr:uid="{81DC0765-C579-4BC6-B4A8-F6ACEE5BBEC1}"/>
    <hyperlink ref="E9" location="'Financial summary'!A1" display="Financial summary" xr:uid="{7CCEC8B5-6C32-4A4E-B258-4924B9345A1F}"/>
    <hyperlink ref="E10" location="'Data visualisation'!A1" display="Data visualisation" xr:uid="{4F8F1ED6-1CB3-4A2A-A915-686AA045EA70}"/>
    <hyperlink ref="E11" location="'Pricing benchmarks summary'!A1" display="Pricing benchmarks summary" xr:uid="{962E000A-CF87-4AE4-8F95-8087D0A38FF6}"/>
    <hyperlink ref="E15" location="'2.1 Profit &amp; Loss by component'!A1" display="2.1 Profit &amp; Loss by component" xr:uid="{4FCEFB97-5803-4D28-91B5-55AD43253D54}"/>
    <hyperlink ref="E17" location="'2.3 Revenue contributions '!A1" display="2.3 Revenue contributions " xr:uid="{597E4788-4D55-4EDB-A3B4-F5647278F7B1}"/>
    <hyperlink ref="E18" location="'2.4 Indirect revenue'!A1" display="2.4 Indirect revenue" xr:uid="{71AEFD82-D3EC-4E3B-903E-E4861AA8295A}"/>
    <hyperlink ref="E19" location="'2.5 Shared expenses'!A1" display="2.5 Shared expenses" xr:uid="{82982CD7-75E7-40DE-9F20-7CAD9489CE06}"/>
    <hyperlink ref="D26" location="'4. Recovered Capital'!A1" display="4. ASSET - RECOVERED CAPITAL METHOD (RCM)" xr:uid="{F8E5BB35-4C9D-483C-84A9-04D6C7475A33}"/>
    <hyperlink ref="D21" location="'3.1 Depreciated Book Value'!Print_Area" display="3.1 ASSET VALUE - DEPRICIATED BOOK VALUE METHOD (DBVM)" xr:uid="{12E879BB-DAAC-460D-B53E-C894470D0F1D}"/>
    <hyperlink ref="D22" location="'3.2 Regulatory Asset Base'!Print_Area" display="3.2 ASSET VALUE - REGULATORY ASSET BASE (RAB)" xr:uid="{74D239DD-991D-4085-8A9C-AFB502017796}"/>
    <hyperlink ref="E21" location="'3.3 Asset useful life'!Print_Area" display="3.3 Asset useful life" xr:uid="{22A53315-C5D7-4C61-ADDF-BE49E0BC3182}"/>
    <hyperlink ref="E22" location="'3.4 Asset impairment'!Print_Area" display="3.4 Asset impairment" xr:uid="{7259C17D-AA90-41B8-8B42-8BA9142930DE}"/>
    <hyperlink ref="E23" location="'3.5 Depreciation amortisation'!Print_Area" display="3.5 Depreciation amortisation" xr:uid="{B0E8D535-5304-4B03-ADFC-D28612F9885E}"/>
    <hyperlink ref="E24" location="'3.6 Shared supporting assets'!Print_Area" display="3.6 Shared supporting assets" xr:uid="{AFAF2529-6F73-4718-9857-55F76A29CE07}"/>
    <hyperlink ref="E16" location="'2.2 Allocation to services'!Print_Area" display="2.2 Allocation to pipeline services" xr:uid="{99A30292-A121-4A48-A523-DDE1B9E1D1B0}"/>
  </hyperlinks>
  <pageMargins left="0.25" right="0.25" top="0.75" bottom="0.75" header="0.3" footer="0.3"/>
  <pageSetup paperSize="9" scale="10" orientation="portrait" r:id="rId1"/>
  <headerFooter alignWithMargins="0">
    <oddFooter>&amp;L&amp;D&amp;C&amp; Template: &amp;A
&amp;F_x000D_&amp;1#&amp;"Calibri"&amp;10&amp;K008000 APA-INTERNAL&amp;R&amp;P o&amp;Of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F54B84-4F7A-4D6B-9764-F771EC19AB9E}">
  <sheetPr codeName="Sheet4">
    <tabColor rgb="FF17415D"/>
  </sheetPr>
  <dimension ref="A1:G48"/>
  <sheetViews>
    <sheetView showGridLines="0" zoomScaleNormal="100" workbookViewId="0">
      <pane xSplit="1" ySplit="6" topLeftCell="B7" activePane="bottomRight" state="frozen"/>
      <selection pane="topRight" activeCell="B1" sqref="B1"/>
      <selection pane="bottomLeft" activeCell="A7" sqref="A7"/>
      <selection pane="bottomRight"/>
    </sheetView>
  </sheetViews>
  <sheetFormatPr defaultRowHeight="12.75" x14ac:dyDescent="0.2"/>
  <cols>
    <col min="1" max="1" width="11.5703125" customWidth="1"/>
    <col min="2" max="2" width="69.42578125" customWidth="1"/>
    <col min="3" max="3" width="38.5703125" customWidth="1"/>
    <col min="4" max="4" width="40.42578125" customWidth="1"/>
    <col min="5" max="5" width="55" customWidth="1"/>
    <col min="6" max="6" width="39.5703125" customWidth="1"/>
    <col min="7" max="7" width="38.42578125" customWidth="1"/>
    <col min="8" max="8" width="37.42578125" customWidth="1"/>
  </cols>
  <sheetData>
    <row r="1" spans="1:7" ht="20.25" x14ac:dyDescent="0.2">
      <c r="A1" s="4"/>
      <c r="B1" s="135" t="s">
        <v>302</v>
      </c>
      <c r="C1" s="135"/>
    </row>
    <row r="2" spans="1:7" ht="20.25" customHeight="1" x14ac:dyDescent="0.2">
      <c r="A2" s="4"/>
      <c r="B2" s="135" t="str">
        <f>IF(Tradingname=0," ",Tradingname)</f>
        <v>APA Pipelines Investments (BWP) Pty Limited</v>
      </c>
      <c r="C2" s="135"/>
    </row>
    <row r="3" spans="1:7" ht="20.25" x14ac:dyDescent="0.3">
      <c r="B3" s="135" t="s">
        <v>109</v>
      </c>
      <c r="C3" s="99">
        <f>IF(Yearending=0, "01/01/2000", Yearending)</f>
        <v>45838</v>
      </c>
    </row>
    <row r="4" spans="1:7" ht="20.25" x14ac:dyDescent="0.2">
      <c r="B4" s="91" t="s">
        <v>327</v>
      </c>
      <c r="C4" s="91"/>
      <c r="F4" s="6"/>
      <c r="G4" s="6"/>
    </row>
    <row r="5" spans="1:7" x14ac:dyDescent="0.2">
      <c r="C5" s="6"/>
    </row>
    <row r="6" spans="1:7" ht="15.75" x14ac:dyDescent="0.25">
      <c r="B6" s="106" t="s">
        <v>460</v>
      </c>
      <c r="C6" s="105"/>
    </row>
    <row r="9" spans="1:7" x14ac:dyDescent="0.2">
      <c r="B9" s="21" t="s">
        <v>463</v>
      </c>
      <c r="C9" s="21" t="s">
        <v>18</v>
      </c>
    </row>
    <row r="10" spans="1:7" x14ac:dyDescent="0.2">
      <c r="B10" s="119" t="s">
        <v>32</v>
      </c>
      <c r="C10" s="121">
        <f>'2.1 Profit &amp; Loss by component'!$F$18</f>
        <v>21046651.828192521</v>
      </c>
    </row>
    <row r="11" spans="1:7" x14ac:dyDescent="0.2">
      <c r="B11" s="119" t="s">
        <v>38</v>
      </c>
      <c r="C11" s="121">
        <f>'2.1 Profit &amp; Loss by component'!$F$21</f>
        <v>0</v>
      </c>
    </row>
    <row r="12" spans="1:7" x14ac:dyDescent="0.2">
      <c r="B12" s="120" t="s">
        <v>15</v>
      </c>
      <c r="C12" s="121">
        <f>'2.1 Profit &amp; Loss by component'!$F$22</f>
        <v>21046651.828192521</v>
      </c>
    </row>
    <row r="13" spans="1:7" x14ac:dyDescent="0.2">
      <c r="B13" s="19" t="s">
        <v>253</v>
      </c>
      <c r="C13" s="121">
        <f>'2.1 Profit &amp; Loss by component'!$F$32</f>
        <v>5980220.2800000003</v>
      </c>
    </row>
    <row r="14" spans="1:7" x14ac:dyDescent="0.2">
      <c r="B14" s="20" t="s">
        <v>272</v>
      </c>
      <c r="C14" s="121">
        <f>'2.1 Profit &amp; Loss by component'!$F$43</f>
        <v>2879503.8596534212</v>
      </c>
    </row>
    <row r="15" spans="1:7" x14ac:dyDescent="0.2">
      <c r="B15" s="120" t="s">
        <v>257</v>
      </c>
      <c r="C15" s="121">
        <f>'2.1 Profit &amp; Loss by component'!$F$44</f>
        <v>8859724.1396534219</v>
      </c>
    </row>
    <row r="16" spans="1:7" x14ac:dyDescent="0.2">
      <c r="B16" s="120" t="s">
        <v>468</v>
      </c>
      <c r="C16" s="121">
        <f>'2.1 Profit &amp; Loss by component'!$F$45</f>
        <v>12186927.688539099</v>
      </c>
    </row>
    <row r="17" spans="2:5" x14ac:dyDescent="0.2">
      <c r="B17" s="7"/>
      <c r="C17" s="7"/>
      <c r="D17" s="7"/>
      <c r="E17" s="7"/>
    </row>
    <row r="19" spans="2:5" x14ac:dyDescent="0.2">
      <c r="B19" s="21" t="s">
        <v>431</v>
      </c>
      <c r="C19" s="21" t="s">
        <v>464</v>
      </c>
    </row>
    <row r="20" spans="2:5" ht="15.75" x14ac:dyDescent="0.2">
      <c r="B20" s="82" t="s">
        <v>148</v>
      </c>
      <c r="C20" s="8">
        <f>'3.1 Depreciated Book Value'!$D$125</f>
        <v>51716587.297894113</v>
      </c>
    </row>
    <row r="21" spans="2:5" ht="15.75" x14ac:dyDescent="0.2">
      <c r="B21" s="82" t="s">
        <v>310</v>
      </c>
      <c r="C21" s="83">
        <f>IFERROR(C16/C20,0)</f>
        <v>0.23564833499822499</v>
      </c>
    </row>
    <row r="22" spans="2:5" x14ac:dyDescent="0.2">
      <c r="B22" s="21" t="s">
        <v>432</v>
      </c>
      <c r="C22" s="21" t="s">
        <v>464</v>
      </c>
    </row>
    <row r="23" spans="2:5" ht="15.75" x14ac:dyDescent="0.2">
      <c r="B23" s="82" t="s">
        <v>148</v>
      </c>
      <c r="C23" s="8">
        <f>'3.2 Regulatory Asset Base'!$H$95</f>
        <v>0</v>
      </c>
    </row>
    <row r="24" spans="2:5" ht="15.75" x14ac:dyDescent="0.2">
      <c r="B24" s="82" t="s">
        <v>310</v>
      </c>
      <c r="C24" s="83">
        <f>IFERROR(C16/C23,0)</f>
        <v>0</v>
      </c>
    </row>
    <row r="25" spans="2:5" x14ac:dyDescent="0.2">
      <c r="B25" s="21" t="s">
        <v>309</v>
      </c>
      <c r="C25" s="21" t="s">
        <v>464</v>
      </c>
    </row>
    <row r="26" spans="2:5" ht="15.75" x14ac:dyDescent="0.2">
      <c r="B26" s="82" t="s">
        <v>64</v>
      </c>
      <c r="C26" s="121">
        <f>'4. Recovered Capital'!$E$29</f>
        <v>98527113.491911843</v>
      </c>
    </row>
    <row r="27" spans="2:5" ht="15.75" x14ac:dyDescent="0.2">
      <c r="B27" s="82" t="s">
        <v>310</v>
      </c>
      <c r="C27" s="83">
        <f>IFERROR(C16/INDEX('4. Recovered Capital'!$F$12:$BH$39,27,MATCH(VALUE(RIGHT(TEXT(C3,"dd/mm/yyyy"),4)),'4. Recovered Capital'!$F$12:$BH$12,0)),0)</f>
        <v>0.36676318953128456</v>
      </c>
    </row>
    <row r="41" ht="27" customHeight="1" x14ac:dyDescent="0.2"/>
    <row r="48" ht="32.1" customHeight="1" x14ac:dyDescent="0.2"/>
  </sheetData>
  <sheetProtection sheet="1"/>
  <pageMargins left="0.7" right="0.7" top="0.75" bottom="0.75" header="0.3" footer="0.3"/>
  <pageSetup paperSize="9" orientation="portrait" r:id="rId1"/>
  <headerFooter>
    <oddFooter>&amp;C_x000D_&amp;1#&amp;"Calibri"&amp;10&amp;K008000 APA-INTERNAL</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0CD481-F697-4CF9-ADE0-93C9A9556298}">
  <sheetPr codeName="Sheet18">
    <tabColor rgb="FF17415D"/>
  </sheetPr>
  <dimension ref="B1:E60"/>
  <sheetViews>
    <sheetView zoomScale="57" zoomScaleNormal="70" workbookViewId="0">
      <pane xSplit="1" ySplit="4" topLeftCell="B5" activePane="bottomRight" state="frozen"/>
      <selection pane="topRight" activeCell="B1" sqref="B1"/>
      <selection pane="bottomLeft" activeCell="A5" sqref="A5"/>
      <selection pane="bottomRight"/>
    </sheetView>
  </sheetViews>
  <sheetFormatPr defaultColWidth="9.42578125" defaultRowHeight="12.75" x14ac:dyDescent="0.2"/>
  <cols>
    <col min="1" max="1" width="12.42578125" style="204" customWidth="1"/>
    <col min="2" max="2" width="21" style="204" customWidth="1"/>
    <col min="3" max="5" width="42.42578125" style="204" customWidth="1"/>
    <col min="6" max="6" width="34.5703125" style="204" customWidth="1"/>
    <col min="7" max="7" width="44" style="204" customWidth="1"/>
    <col min="8" max="8" width="9.42578125" style="204"/>
    <col min="9" max="9" width="70.5703125" style="204" customWidth="1"/>
    <col min="10" max="10" width="108.5703125" style="204" bestFit="1" customWidth="1"/>
    <col min="11" max="16384" width="9.42578125" style="204"/>
  </cols>
  <sheetData>
    <row r="1" spans="2:5" ht="20.25" customHeight="1" x14ac:dyDescent="0.3">
      <c r="B1" s="135" t="s">
        <v>302</v>
      </c>
      <c r="C1" s="135"/>
      <c r="D1" s="203"/>
      <c r="E1" s="203"/>
    </row>
    <row r="2" spans="2:5" ht="20.25" x14ac:dyDescent="0.3">
      <c r="B2" s="135" t="str">
        <f>IF(Tradingname=0," ",Tradingname)</f>
        <v>APA Pipelines Investments (BWP) Pty Limited</v>
      </c>
      <c r="C2" s="135"/>
      <c r="D2" s="205"/>
    </row>
    <row r="3" spans="2:5" ht="23.1" customHeight="1" x14ac:dyDescent="0.3">
      <c r="B3" s="135" t="s">
        <v>109</v>
      </c>
      <c r="C3" s="99">
        <f>IF(Yearending=0, "01/01/2000", Yearending)</f>
        <v>45838</v>
      </c>
    </row>
    <row r="4" spans="2:5" ht="20.25" x14ac:dyDescent="0.2">
      <c r="B4" s="91" t="s">
        <v>326</v>
      </c>
      <c r="C4" s="91"/>
    </row>
    <row r="7" spans="2:5" ht="15.75" x14ac:dyDescent="0.25">
      <c r="B7" s="206" t="s">
        <v>328</v>
      </c>
    </row>
    <row r="59" spans="2:5" ht="15.75" x14ac:dyDescent="0.25">
      <c r="B59" s="206" t="s">
        <v>187</v>
      </c>
      <c r="C59" s="207"/>
      <c r="D59" s="207"/>
      <c r="E59" s="207"/>
    </row>
    <row r="60" spans="2:5" ht="15.75" x14ac:dyDescent="0.25">
      <c r="B60" s="206"/>
      <c r="C60" s="207"/>
      <c r="D60" s="207"/>
      <c r="E60" s="207"/>
    </row>
  </sheetData>
  <sheetProtection sheet="1" objects="1" scenarios="1"/>
  <pageMargins left="0.75" right="0.75" top="1" bottom="1" header="0.5" footer="0.5"/>
  <pageSetup paperSize="9" scale="30" orientation="landscape" r:id="rId1"/>
  <headerFooter alignWithMargins="0">
    <oddFooter>&amp;C_x000D_&amp;1#&amp;"Calibri"&amp;10&amp;K008000 APA-INTERNAL</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5A5E0-14EB-46E1-AE86-A29B2E6C3A02}">
  <sheetPr codeName="Sheet19">
    <tabColor rgb="FF17415D"/>
  </sheetPr>
  <dimension ref="A1:G42"/>
  <sheetViews>
    <sheetView showGridLines="0" zoomScale="97" zoomScaleNormal="55" workbookViewId="0">
      <pane xSplit="1" ySplit="6" topLeftCell="B7" activePane="bottomRight" state="frozen"/>
      <selection pane="topRight" activeCell="B1" sqref="B1"/>
      <selection pane="bottomLeft" activeCell="A7" sqref="A7"/>
      <selection pane="bottomRight"/>
    </sheetView>
  </sheetViews>
  <sheetFormatPr defaultRowHeight="12.75" x14ac:dyDescent="0.2"/>
  <cols>
    <col min="1" max="1" width="11.5703125" customWidth="1"/>
    <col min="2" max="2" width="60.42578125" customWidth="1"/>
    <col min="3" max="3" width="38.5703125" customWidth="1"/>
    <col min="4" max="4" width="40.42578125" customWidth="1"/>
    <col min="5" max="5" width="55" customWidth="1"/>
    <col min="6" max="6" width="39.5703125" customWidth="1"/>
    <col min="7" max="7" width="38.42578125" customWidth="1"/>
    <col min="8" max="8" width="37.42578125" customWidth="1"/>
  </cols>
  <sheetData>
    <row r="1" spans="1:7" ht="20.25" x14ac:dyDescent="0.2">
      <c r="A1" s="4"/>
      <c r="B1" s="135" t="s">
        <v>302</v>
      </c>
      <c r="C1" s="135"/>
    </row>
    <row r="2" spans="1:7" ht="20.25" customHeight="1" x14ac:dyDescent="0.2">
      <c r="A2" s="4"/>
      <c r="B2" s="135" t="str">
        <f>IF(Tradingname=0," ",Tradingname)</f>
        <v>APA Pipelines Investments (BWP) Pty Limited</v>
      </c>
      <c r="C2" s="135"/>
    </row>
    <row r="3" spans="1:7" ht="20.25" x14ac:dyDescent="0.3">
      <c r="B3" s="135" t="s">
        <v>109</v>
      </c>
      <c r="C3" s="99">
        <f>IF(Yearending=0, "01/01/2000", Yearending)</f>
        <v>45838</v>
      </c>
    </row>
    <row r="4" spans="1:7" ht="20.25" x14ac:dyDescent="0.2">
      <c r="B4" s="91" t="s">
        <v>325</v>
      </c>
      <c r="C4" s="91"/>
      <c r="F4" s="6"/>
      <c r="G4" s="6"/>
    </row>
    <row r="5" spans="1:7" x14ac:dyDescent="0.2">
      <c r="C5" s="6"/>
    </row>
    <row r="6" spans="1:7" ht="15.75" x14ac:dyDescent="0.25">
      <c r="B6" s="106" t="s">
        <v>460</v>
      </c>
      <c r="C6" s="105"/>
    </row>
    <row r="9" spans="1:7" x14ac:dyDescent="0.2">
      <c r="B9" s="21" t="s">
        <v>202</v>
      </c>
      <c r="C9" s="421" t="s">
        <v>321</v>
      </c>
      <c r="D9" s="422"/>
      <c r="E9" s="423" t="s">
        <v>317</v>
      </c>
    </row>
    <row r="10" spans="1:7" x14ac:dyDescent="0.2">
      <c r="B10" s="112"/>
      <c r="C10" s="109" t="s">
        <v>220</v>
      </c>
      <c r="D10" s="109" t="s">
        <v>221</v>
      </c>
      <c r="E10" s="424"/>
    </row>
    <row r="11" spans="1:7" x14ac:dyDescent="0.2">
      <c r="B11" s="112" t="s">
        <v>363</v>
      </c>
      <c r="C11" s="138">
        <f>IFERROR('6. Pricing template'!$G37,)</f>
        <v>9.9045625189326275E-2</v>
      </c>
      <c r="D11" s="138">
        <f>IFERROR('6. Pricing template'!$G38,)</f>
        <v>0.17388457524009121</v>
      </c>
      <c r="E11" s="139" t="s">
        <v>322</v>
      </c>
    </row>
    <row r="12" spans="1:7" ht="12.75" customHeight="1" x14ac:dyDescent="0.2">
      <c r="B12" s="112" t="s">
        <v>453</v>
      </c>
      <c r="C12" s="138">
        <f>IFERROR('6. Pricing template'!$G39,)</f>
        <v>0</v>
      </c>
      <c r="D12" s="138">
        <f>IFERROR('6. Pricing template'!$G40,)</f>
        <v>0</v>
      </c>
      <c r="E12" s="139" t="s">
        <v>322</v>
      </c>
    </row>
    <row r="13" spans="1:7" x14ac:dyDescent="0.2">
      <c r="B13" s="112" t="s">
        <v>365</v>
      </c>
      <c r="C13" s="138">
        <f>IFERROR('6. Pricing template'!$G41,)</f>
        <v>0</v>
      </c>
      <c r="D13" s="138">
        <f>IFERROR('6. Pricing template'!$G42,)</f>
        <v>0</v>
      </c>
      <c r="E13" s="139" t="s">
        <v>322</v>
      </c>
    </row>
    <row r="14" spans="1:7" x14ac:dyDescent="0.2">
      <c r="B14" s="112" t="s">
        <v>366</v>
      </c>
      <c r="C14" s="138">
        <f>IFERROR('6. Pricing template'!$G43,)</f>
        <v>0</v>
      </c>
      <c r="D14" s="138">
        <f>IFERROR('6. Pricing template'!$G44,)</f>
        <v>0</v>
      </c>
      <c r="E14" s="139" t="s">
        <v>322</v>
      </c>
    </row>
    <row r="15" spans="1:7" x14ac:dyDescent="0.2">
      <c r="B15" s="193" t="s">
        <v>367</v>
      </c>
      <c r="C15" s="138">
        <f>IFERROR('6. Pricing template'!$G45,)</f>
        <v>0</v>
      </c>
      <c r="D15" s="138">
        <f>IFERROR('6. Pricing template'!$G46,)</f>
        <v>0</v>
      </c>
      <c r="E15" s="139" t="s">
        <v>322</v>
      </c>
    </row>
    <row r="16" spans="1:7" ht="12.75" customHeight="1" x14ac:dyDescent="0.2">
      <c r="B16" s="112" t="s">
        <v>454</v>
      </c>
      <c r="C16" s="138">
        <f>IFERROR('6. Pricing template'!$G47,)</f>
        <v>0</v>
      </c>
      <c r="D16" s="138">
        <f>IFERROR('6. Pricing template'!$G48,)</f>
        <v>0</v>
      </c>
      <c r="E16" s="139" t="s">
        <v>322</v>
      </c>
    </row>
    <row r="17" spans="2:5" x14ac:dyDescent="0.2">
      <c r="B17" s="112" t="s">
        <v>369</v>
      </c>
      <c r="C17" s="138">
        <f>IFERROR('6. Pricing template'!$G49,)</f>
        <v>0</v>
      </c>
      <c r="D17" s="138">
        <f>IFERROR('6. Pricing template'!$G50,)</f>
        <v>0</v>
      </c>
      <c r="E17" s="139" t="s">
        <v>322</v>
      </c>
    </row>
    <row r="18" spans="2:5" x14ac:dyDescent="0.2">
      <c r="B18" s="112" t="s">
        <v>370</v>
      </c>
      <c r="C18" s="138">
        <f>IFERROR('6. Pricing template'!$G51,)</f>
        <v>0</v>
      </c>
      <c r="D18" s="138">
        <f>IFERROR('6. Pricing template'!$G52,)</f>
        <v>0</v>
      </c>
      <c r="E18" s="139" t="s">
        <v>323</v>
      </c>
    </row>
    <row r="19" spans="2:5" x14ac:dyDescent="0.2">
      <c r="B19" s="112" t="s">
        <v>371</v>
      </c>
      <c r="C19" s="138">
        <f>IFERROR('6. Pricing template'!$G53,)</f>
        <v>0</v>
      </c>
      <c r="D19" s="138">
        <f>IFERROR('6. Pricing template'!$G54,)</f>
        <v>0</v>
      </c>
      <c r="E19" s="139" t="s">
        <v>324</v>
      </c>
    </row>
    <row r="20" spans="2:5" x14ac:dyDescent="0.2">
      <c r="B20" s="112" t="s">
        <v>311</v>
      </c>
      <c r="C20" s="138">
        <f>IFERROR('6. Pricing template'!$G55,)</f>
        <v>0</v>
      </c>
      <c r="D20" s="138">
        <f>IFERROR('6. Pricing template'!$G56,)</f>
        <v>0</v>
      </c>
      <c r="E20" s="139"/>
    </row>
    <row r="35" ht="27" customHeight="1" x14ac:dyDescent="0.2"/>
    <row r="42" ht="32.1" customHeight="1" x14ac:dyDescent="0.2"/>
  </sheetData>
  <sheetProtection sheet="1" objects="1" scenarios="1"/>
  <mergeCells count="2">
    <mergeCell ref="C9:D9"/>
    <mergeCell ref="E9:E10"/>
  </mergeCells>
  <pageMargins left="0.7" right="0.7" top="0.75" bottom="0.75" header="0.3" footer="0.3"/>
  <pageSetup paperSize="9" orientation="portrait" r:id="rId1"/>
  <headerFooter>
    <oddFooter>&amp;C_x000D_&amp;1#&amp;"Calibri"&amp;10&amp;K008000 APA-INTERNAL</oddFooter>
  </headerFooter>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67B240-A058-463A-B857-7B434A3F2ED7}">
  <sheetPr codeName="Sheet5">
    <tabColor rgb="FF17415D"/>
  </sheetPr>
  <dimension ref="B1:H42"/>
  <sheetViews>
    <sheetView zoomScaleNormal="100" workbookViewId="0">
      <pane xSplit="1" ySplit="4" topLeftCell="B5" activePane="bottomRight" state="frozen"/>
      <selection pane="topRight" activeCell="B1" sqref="B1"/>
      <selection pane="bottomLeft" activeCell="A5" sqref="A5"/>
      <selection pane="bottomRight"/>
    </sheetView>
  </sheetViews>
  <sheetFormatPr defaultColWidth="9.42578125" defaultRowHeight="12.75" x14ac:dyDescent="0.2"/>
  <cols>
    <col min="1" max="1" width="12" style="4" customWidth="1"/>
    <col min="2" max="4" width="42.5703125" style="4" customWidth="1"/>
    <col min="5" max="5" width="10.5703125" style="4" customWidth="1"/>
    <col min="6" max="8" width="19.5703125" style="4" customWidth="1"/>
    <col min="9" max="9" width="18.42578125" style="4" customWidth="1"/>
    <col min="10" max="16384" width="9.42578125" style="4"/>
  </cols>
  <sheetData>
    <row r="1" spans="2:8" ht="23.1" customHeight="1" x14ac:dyDescent="0.45">
      <c r="B1" s="135" t="s">
        <v>302</v>
      </c>
      <c r="C1" s="135"/>
      <c r="D1" s="242"/>
    </row>
    <row r="2" spans="2:8" ht="20.25" x14ac:dyDescent="0.2">
      <c r="B2" s="135" t="str">
        <f>IF(Tradingname=0," ",Tradingname)</f>
        <v>APA Pipelines Investments (BWP) Pty Limited</v>
      </c>
      <c r="C2" s="135"/>
    </row>
    <row r="3" spans="2:8" ht="20.25" x14ac:dyDescent="0.3">
      <c r="B3" s="135" t="s">
        <v>109</v>
      </c>
      <c r="C3" s="99">
        <f>IF(Yearending=0, "01/01/2000", Yearending)</f>
        <v>45838</v>
      </c>
    </row>
    <row r="4" spans="2:8" ht="20.25" x14ac:dyDescent="0.2">
      <c r="B4" s="91" t="s">
        <v>65</v>
      </c>
      <c r="C4" s="91"/>
    </row>
    <row r="5" spans="2:8" ht="20.25" x14ac:dyDescent="0.3">
      <c r="B5" s="243"/>
    </row>
    <row r="6" spans="2:8" ht="20.25" x14ac:dyDescent="0.3">
      <c r="B6" s="243"/>
    </row>
    <row r="7" spans="2:8" ht="15.75" x14ac:dyDescent="0.25">
      <c r="B7" s="213" t="s">
        <v>111</v>
      </c>
    </row>
    <row r="8" spans="2:8" x14ac:dyDescent="0.2">
      <c r="B8" s="214"/>
      <c r="C8" s="215"/>
      <c r="D8" s="215"/>
      <c r="E8" s="244"/>
      <c r="F8" s="245"/>
      <c r="G8" s="246"/>
      <c r="H8" s="246"/>
    </row>
    <row r="9" spans="2:8" ht="14.1" customHeight="1" x14ac:dyDescent="0.2">
      <c r="B9" s="22" t="s">
        <v>23</v>
      </c>
      <c r="C9" s="122" t="s">
        <v>492</v>
      </c>
    </row>
    <row r="10" spans="2:8" ht="14.1" customHeight="1" x14ac:dyDescent="0.2">
      <c r="B10" s="22" t="s">
        <v>288</v>
      </c>
      <c r="C10" s="123">
        <v>112</v>
      </c>
    </row>
    <row r="11" spans="2:8" ht="14.1" customHeight="1" x14ac:dyDescent="0.2">
      <c r="B11" s="22" t="s">
        <v>24</v>
      </c>
      <c r="C11" s="69">
        <v>4</v>
      </c>
    </row>
    <row r="12" spans="2:8" ht="14.1" customHeight="1" x14ac:dyDescent="0.2">
      <c r="B12" s="22" t="s">
        <v>25</v>
      </c>
      <c r="C12" s="69" t="s">
        <v>493</v>
      </c>
    </row>
    <row r="13" spans="2:8" ht="25.5" customHeight="1" x14ac:dyDescent="0.2">
      <c r="B13" s="22" t="s">
        <v>355</v>
      </c>
      <c r="C13" s="359" t="s">
        <v>577</v>
      </c>
    </row>
    <row r="14" spans="2:8" ht="14.1" customHeight="1" x14ac:dyDescent="0.2">
      <c r="B14" s="22" t="s">
        <v>85</v>
      </c>
      <c r="C14" s="310">
        <v>39871</v>
      </c>
    </row>
    <row r="15" spans="2:8" ht="14.1" customHeight="1" x14ac:dyDescent="0.2">
      <c r="B15" s="22" t="str">
        <f>IF(Cover!C23="Scheme pipeline", "Date opening RAB established","")</f>
        <v/>
      </c>
      <c r="C15" s="140"/>
    </row>
    <row r="16" spans="2:8" ht="14.1" customHeight="1" x14ac:dyDescent="0.2">
      <c r="B16" s="22" t="str">
        <f>IF(Cover!C23="Scheme pipeline", "Open RAB value on date established","")</f>
        <v/>
      </c>
      <c r="C16" s="68"/>
    </row>
    <row r="18" spans="2:4" ht="15.75" x14ac:dyDescent="0.25">
      <c r="B18" s="213" t="s">
        <v>112</v>
      </c>
    </row>
    <row r="20" spans="2:4" ht="51" customHeight="1" x14ac:dyDescent="0.2">
      <c r="B20" s="136" t="s">
        <v>26</v>
      </c>
      <c r="C20" s="107" t="s">
        <v>78</v>
      </c>
      <c r="D20" s="107" t="s">
        <v>31</v>
      </c>
    </row>
    <row r="21" spans="2:4" ht="14.25" x14ac:dyDescent="0.2">
      <c r="B21" s="24" t="s">
        <v>27</v>
      </c>
      <c r="C21" s="247"/>
      <c r="D21" s="247"/>
    </row>
    <row r="22" spans="2:4" x14ac:dyDescent="0.2">
      <c r="B22" s="25" t="s">
        <v>363</v>
      </c>
      <c r="C22" s="64" t="s">
        <v>549</v>
      </c>
      <c r="D22" s="64" t="s">
        <v>496</v>
      </c>
    </row>
    <row r="23" spans="2:4" x14ac:dyDescent="0.2">
      <c r="B23" s="25" t="s">
        <v>364</v>
      </c>
      <c r="C23" s="64" t="s">
        <v>496</v>
      </c>
      <c r="D23" s="64" t="s">
        <v>496</v>
      </c>
    </row>
    <row r="24" spans="2:4" ht="25.5" x14ac:dyDescent="0.2">
      <c r="B24" s="25" t="s">
        <v>365</v>
      </c>
      <c r="C24" s="64" t="s">
        <v>549</v>
      </c>
      <c r="D24" s="64" t="s">
        <v>496</v>
      </c>
    </row>
    <row r="25" spans="2:4" ht="14.25" x14ac:dyDescent="0.2">
      <c r="B25" s="26" t="s">
        <v>133</v>
      </c>
      <c r="C25" s="247"/>
      <c r="D25" s="247"/>
    </row>
    <row r="26" spans="2:4" x14ac:dyDescent="0.2">
      <c r="B26" s="27" t="s">
        <v>366</v>
      </c>
      <c r="C26" s="64" t="s">
        <v>496</v>
      </c>
      <c r="D26" s="64" t="s">
        <v>496</v>
      </c>
    </row>
    <row r="27" spans="2:4" ht="25.5" x14ac:dyDescent="0.2">
      <c r="B27" s="28" t="s">
        <v>367</v>
      </c>
      <c r="C27" s="64" t="s">
        <v>496</v>
      </c>
      <c r="D27" s="64" t="s">
        <v>496</v>
      </c>
    </row>
    <row r="28" spans="2:4" ht="14.25" x14ac:dyDescent="0.2">
      <c r="B28" s="26" t="s">
        <v>28</v>
      </c>
      <c r="C28" s="247"/>
      <c r="D28" s="247"/>
    </row>
    <row r="29" spans="2:4" x14ac:dyDescent="0.2">
      <c r="B29" s="25" t="s">
        <v>368</v>
      </c>
      <c r="C29" s="64" t="s">
        <v>496</v>
      </c>
      <c r="D29" s="64" t="s">
        <v>496</v>
      </c>
    </row>
    <row r="30" spans="2:4" x14ac:dyDescent="0.2">
      <c r="B30" s="25" t="s">
        <v>369</v>
      </c>
      <c r="C30" s="64" t="s">
        <v>496</v>
      </c>
      <c r="D30" s="64" t="s">
        <v>496</v>
      </c>
    </row>
    <row r="31" spans="2:4" ht="14.25" x14ac:dyDescent="0.2">
      <c r="B31" s="24" t="s">
        <v>29</v>
      </c>
      <c r="C31" s="247"/>
      <c r="D31" s="247"/>
    </row>
    <row r="32" spans="2:4" x14ac:dyDescent="0.2">
      <c r="B32" s="25" t="s">
        <v>370</v>
      </c>
      <c r="C32" s="64" t="s">
        <v>549</v>
      </c>
      <c r="D32" s="64" t="s">
        <v>496</v>
      </c>
    </row>
    <row r="33" spans="2:4" x14ac:dyDescent="0.2">
      <c r="B33" s="25" t="s">
        <v>371</v>
      </c>
      <c r="C33" s="64" t="s">
        <v>549</v>
      </c>
      <c r="D33" s="64" t="s">
        <v>496</v>
      </c>
    </row>
    <row r="34" spans="2:4" ht="14.25" x14ac:dyDescent="0.2">
      <c r="B34" s="24" t="s">
        <v>30</v>
      </c>
      <c r="C34" s="247"/>
      <c r="D34" s="247"/>
    </row>
    <row r="35" spans="2:4" x14ac:dyDescent="0.2">
      <c r="B35" s="339" t="s">
        <v>550</v>
      </c>
      <c r="C35" s="340" t="s">
        <v>549</v>
      </c>
      <c r="D35" s="340" t="s">
        <v>496</v>
      </c>
    </row>
    <row r="36" spans="2:4" x14ac:dyDescent="0.2">
      <c r="B36" s="65" t="s">
        <v>173</v>
      </c>
      <c r="C36" s="63"/>
      <c r="D36" s="63"/>
    </row>
    <row r="37" spans="2:4" x14ac:dyDescent="0.2">
      <c r="B37" s="65" t="s">
        <v>173</v>
      </c>
      <c r="C37" s="63"/>
      <c r="D37" s="63"/>
    </row>
    <row r="38" spans="2:4" x14ac:dyDescent="0.2">
      <c r="B38" s="65" t="s">
        <v>173</v>
      </c>
      <c r="C38" s="63"/>
      <c r="D38" s="63"/>
    </row>
    <row r="39" spans="2:4" x14ac:dyDescent="0.2">
      <c r="B39" s="65" t="s">
        <v>173</v>
      </c>
      <c r="C39" s="63"/>
      <c r="D39" s="63"/>
    </row>
    <row r="40" spans="2:4" x14ac:dyDescent="0.2">
      <c r="B40" s="65" t="s">
        <v>173</v>
      </c>
      <c r="C40" s="63"/>
      <c r="D40" s="63"/>
    </row>
    <row r="41" spans="2:4" x14ac:dyDescent="0.2">
      <c r="B41" s="65" t="s">
        <v>173</v>
      </c>
      <c r="C41" s="63"/>
      <c r="D41" s="63"/>
    </row>
    <row r="42" spans="2:4" x14ac:dyDescent="0.2">
      <c r="B42" s="65" t="s">
        <v>173</v>
      </c>
      <c r="C42" s="63"/>
      <c r="D42" s="63"/>
    </row>
  </sheetData>
  <sheetProtection sheet="1" insertRows="0"/>
  <dataValidations count="2">
    <dataValidation type="list" allowBlank="1" showInputMessage="1" showErrorMessage="1" sqref="C12" xr:uid="{EA99F0B5-694E-4122-A868-58F93564E0B7}">
      <formula1>"Distribution,Transmission"</formula1>
    </dataValidation>
    <dataValidation type="list" allowBlank="1" showInputMessage="1" showErrorMessage="1" sqref="C22:D24 C26:D27 C29:D30 C32:D33" xr:uid="{9E369736-3A00-49FF-A9A9-6B69FE7193CD}">
      <formula1>"Yes,No"</formula1>
    </dataValidation>
  </dataValidations>
  <pageMargins left="0.75" right="0.75" top="1" bottom="1" header="0.5" footer="0.5"/>
  <pageSetup paperSize="9" scale="59" orientation="landscape" r:id="rId1"/>
  <headerFooter alignWithMargins="0">
    <oddFooter>&amp;C_x000D_&amp;1#&amp;"Calibri"&amp;10&amp;K008000 APA-INTERNAL</oddFooter>
  </headerFooter>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F1477D-3B19-462A-B0F7-FED9C81786AE}">
  <sheetPr codeName="Sheet2">
    <tabColor rgb="FF17415D"/>
    <pageSetUpPr fitToPage="1"/>
  </sheetPr>
  <dimension ref="B1:G22"/>
  <sheetViews>
    <sheetView zoomScaleNormal="113" workbookViewId="0">
      <pane xSplit="1" ySplit="4" topLeftCell="B5" activePane="bottomRight" state="frozen"/>
      <selection activeCell="E59" sqref="E59"/>
      <selection pane="topRight" activeCell="E59" sqref="E59"/>
      <selection pane="bottomLeft" activeCell="E59" sqref="E59"/>
      <selection pane="bottomRight"/>
    </sheetView>
  </sheetViews>
  <sheetFormatPr defaultColWidth="9.42578125" defaultRowHeight="12.75" x14ac:dyDescent="0.2"/>
  <cols>
    <col min="1" max="1" width="12" style="4" customWidth="1"/>
    <col min="2" max="2" width="19.42578125" style="4" customWidth="1"/>
    <col min="3" max="3" width="55.5703125" style="4" customWidth="1"/>
    <col min="4" max="4" width="30.5703125" style="4" customWidth="1"/>
    <col min="5" max="5" width="55.5703125" style="4" customWidth="1"/>
    <col min="6" max="7" width="30.5703125" style="4" customWidth="1"/>
    <col min="8" max="16384" width="9.42578125" style="4"/>
  </cols>
  <sheetData>
    <row r="1" spans="2:7" ht="20.25" x14ac:dyDescent="0.3">
      <c r="B1" s="135" t="s">
        <v>302</v>
      </c>
      <c r="C1" s="135"/>
      <c r="D1" s="203"/>
      <c r="E1" s="203"/>
      <c r="F1" s="203"/>
      <c r="G1" s="203"/>
    </row>
    <row r="2" spans="2:7" ht="18" customHeight="1" x14ac:dyDescent="0.45">
      <c r="B2" s="135" t="str">
        <f>IF(Tradingname=0," ",Tradingname)</f>
        <v>APA Pipelines Investments (BWP) Pty Limited</v>
      </c>
      <c r="C2" s="135"/>
      <c r="G2" s="242"/>
    </row>
    <row r="3" spans="2:7" ht="20.25" x14ac:dyDescent="0.3">
      <c r="B3" s="135" t="s">
        <v>109</v>
      </c>
      <c r="C3" s="99">
        <f>IF(Yearending=0, "01/01/2000", Yearending)</f>
        <v>45838</v>
      </c>
    </row>
    <row r="4" spans="2:7" ht="20.25" x14ac:dyDescent="0.2">
      <c r="B4" s="91" t="s">
        <v>197</v>
      </c>
      <c r="C4" s="91"/>
      <c r="E4" s="248"/>
    </row>
    <row r="7" spans="2:7" ht="15.75" x14ac:dyDescent="0.2">
      <c r="B7" s="249" t="s">
        <v>286</v>
      </c>
      <c r="C7" s="249"/>
      <c r="D7" s="190"/>
      <c r="E7" s="190"/>
      <c r="F7" s="190"/>
      <c r="G7" s="190"/>
    </row>
    <row r="8" spans="2:7" x14ac:dyDescent="0.2">
      <c r="B8" s="250"/>
      <c r="C8" s="251"/>
      <c r="D8" s="252"/>
      <c r="E8" s="190"/>
      <c r="F8" s="190"/>
      <c r="G8" s="190"/>
    </row>
    <row r="9" spans="2:7" ht="25.5" x14ac:dyDescent="0.2">
      <c r="B9" s="44" t="s">
        <v>307</v>
      </c>
      <c r="C9" s="253" t="s">
        <v>13</v>
      </c>
      <c r="D9" s="219" t="s">
        <v>18</v>
      </c>
      <c r="E9" s="253" t="s">
        <v>13</v>
      </c>
      <c r="F9" s="219" t="s">
        <v>18</v>
      </c>
      <c r="G9" s="44" t="s">
        <v>469</v>
      </c>
    </row>
    <row r="10" spans="2:7" x14ac:dyDescent="0.2">
      <c r="B10" s="254"/>
      <c r="C10" s="255"/>
      <c r="D10" s="111" t="s">
        <v>110</v>
      </c>
      <c r="E10" s="255"/>
      <c r="F10" s="111" t="s">
        <v>110</v>
      </c>
      <c r="G10" s="111" t="s">
        <v>110</v>
      </c>
    </row>
    <row r="11" spans="2:7" x14ac:dyDescent="0.2">
      <c r="B11" s="342" t="s">
        <v>564</v>
      </c>
      <c r="C11" s="257" t="s">
        <v>66</v>
      </c>
      <c r="D11" s="111"/>
      <c r="E11" s="257" t="s">
        <v>251</v>
      </c>
      <c r="F11" s="111"/>
      <c r="G11" s="111"/>
    </row>
    <row r="12" spans="2:7" x14ac:dyDescent="0.2">
      <c r="B12" s="256"/>
      <c r="C12" s="112" t="s">
        <v>363</v>
      </c>
      <c r="D12" s="300">
        <f>IF('2.2 Allocation to services'!G13+'2.2 Allocation to services'!G25+'2.2 Allocation to services'!G37=0, ,'2.2 Allocation to services'!G13+'2.2 Allocation to services'!G25+'2.2 Allocation to services'!G37)</f>
        <v>16754428.230206098</v>
      </c>
      <c r="E12" s="112" t="s">
        <v>363</v>
      </c>
      <c r="F12" s="300">
        <f>IF('2.2 Allocation to services'!G56+'2.2 Allocation to services'!G68+'2.2 Allocation to services'!G80=0, ,'2.2 Allocation to services'!G56+'2.2 Allocation to services'!G68+'2.2 Allocation to services'!G80)</f>
        <v>7052884.8697163854</v>
      </c>
      <c r="G12" s="300">
        <f>D12-ABS(F12)</f>
        <v>9701543.360489713</v>
      </c>
    </row>
    <row r="13" spans="2:7" x14ac:dyDescent="0.2">
      <c r="B13" s="256"/>
      <c r="C13" s="112" t="s">
        <v>453</v>
      </c>
      <c r="D13" s="300">
        <f>IF('2.2 Allocation to services'!G14+'2.2 Allocation to services'!G26+'2.2 Allocation to services'!G38=0, ,'2.2 Allocation to services'!G14+'2.2 Allocation to services'!G26+'2.2 Allocation to services'!G38)</f>
        <v>0</v>
      </c>
      <c r="E13" s="112" t="s">
        <v>453</v>
      </c>
      <c r="F13" s="300">
        <f>IF('2.2 Allocation to services'!G57+'2.2 Allocation to services'!G69+'2.2 Allocation to services'!G81=0, ,'2.2 Allocation to services'!G57+'2.2 Allocation to services'!G69+'2.2 Allocation to services'!G81)</f>
        <v>0</v>
      </c>
      <c r="G13" s="300">
        <f t="shared" ref="G13:G22" si="0">D13-ABS(F13)</f>
        <v>0</v>
      </c>
    </row>
    <row r="14" spans="2:7" x14ac:dyDescent="0.2">
      <c r="B14" s="256"/>
      <c r="C14" s="112" t="s">
        <v>365</v>
      </c>
      <c r="D14" s="300">
        <f>IF('2.2 Allocation to services'!G15+'2.2 Allocation to services'!G27+'2.2 Allocation to services'!G39=0, ,'2.2 Allocation to services'!G15+'2.2 Allocation to services'!G27+'2.2 Allocation to services'!G39)</f>
        <v>3704500.6171024838</v>
      </c>
      <c r="E14" s="112" t="s">
        <v>365</v>
      </c>
      <c r="F14" s="300">
        <f>IF('2.2 Allocation to services'!G58+'2.2 Allocation to services'!G70+'2.2 Allocation to services'!G82=0, ,'2.2 Allocation to services'!G58+'2.2 Allocation to services'!G70+'2.2 Allocation to services'!G82)</f>
        <v>1559433.4818966079</v>
      </c>
      <c r="G14" s="300">
        <f t="shared" si="0"/>
        <v>2145067.1352058761</v>
      </c>
    </row>
    <row r="15" spans="2:7" x14ac:dyDescent="0.2">
      <c r="B15" s="256"/>
      <c r="C15" s="112" t="s">
        <v>366</v>
      </c>
      <c r="D15" s="300">
        <f>IF('2.2 Allocation to services'!G16+'2.2 Allocation to services'!G28+'2.2 Allocation to services'!G40=0, ,'2.2 Allocation to services'!G16+'2.2 Allocation to services'!G28+'2.2 Allocation to services'!G40)</f>
        <v>0</v>
      </c>
      <c r="E15" s="112" t="s">
        <v>366</v>
      </c>
      <c r="F15" s="300">
        <f>IF('2.2 Allocation to services'!G59+'2.2 Allocation to services'!G71+'2.2 Allocation to services'!G83=0, ,'2.2 Allocation to services'!G59+'2.2 Allocation to services'!G71+'2.2 Allocation to services'!G83)</f>
        <v>0</v>
      </c>
      <c r="G15" s="300">
        <f t="shared" si="0"/>
        <v>0</v>
      </c>
    </row>
    <row r="16" spans="2:7" x14ac:dyDescent="0.2">
      <c r="B16" s="256"/>
      <c r="C16" s="193" t="s">
        <v>367</v>
      </c>
      <c r="D16" s="300">
        <f>IF('2.2 Allocation to services'!G17+'2.2 Allocation to services'!G29+'2.2 Allocation to services'!G41=0, ,'2.2 Allocation to services'!G17+'2.2 Allocation to services'!G29+'2.2 Allocation to services'!G41)</f>
        <v>0</v>
      </c>
      <c r="E16" s="193" t="s">
        <v>367</v>
      </c>
      <c r="F16" s="300">
        <f>IF('2.2 Allocation to services'!G60+'2.2 Allocation to services'!G72+'2.2 Allocation to services'!G84=0, ,'2.2 Allocation to services'!G60+'2.2 Allocation to services'!G72+'2.2 Allocation to services'!G84)</f>
        <v>0</v>
      </c>
      <c r="G16" s="300">
        <f t="shared" si="0"/>
        <v>0</v>
      </c>
    </row>
    <row r="17" spans="2:7" x14ac:dyDescent="0.2">
      <c r="B17" s="256"/>
      <c r="C17" s="112" t="s">
        <v>454</v>
      </c>
      <c r="D17" s="300">
        <f>IF('2.2 Allocation to services'!G18+'2.2 Allocation to services'!G30+'2.2 Allocation to services'!G42=0, ,'2.2 Allocation to services'!G18+'2.2 Allocation to services'!G30+'2.2 Allocation to services'!G42)</f>
        <v>0</v>
      </c>
      <c r="E17" s="112" t="s">
        <v>454</v>
      </c>
      <c r="F17" s="300">
        <f>IF('2.2 Allocation to services'!G61+'2.2 Allocation to services'!G73+'2.2 Allocation to services'!G85=0, ,'2.2 Allocation to services'!G61+'2.2 Allocation to services'!G73+'2.2 Allocation to services'!G85)</f>
        <v>0</v>
      </c>
      <c r="G17" s="300">
        <f t="shared" si="0"/>
        <v>0</v>
      </c>
    </row>
    <row r="18" spans="2:7" x14ac:dyDescent="0.2">
      <c r="B18" s="256"/>
      <c r="C18" s="112" t="s">
        <v>369</v>
      </c>
      <c r="D18" s="300">
        <f>IF('2.2 Allocation to services'!G19+'2.2 Allocation to services'!G31+'2.2 Allocation to services'!G43=0, ,'2.2 Allocation to services'!G19+'2.2 Allocation to services'!G31+'2.2 Allocation to services'!G43)</f>
        <v>0</v>
      </c>
      <c r="E18" s="112" t="s">
        <v>369</v>
      </c>
      <c r="F18" s="300">
        <f>IF('2.2 Allocation to services'!G62+'2.2 Allocation to services'!G74+'2.2 Allocation to services'!G86=0, ,'2.2 Allocation to services'!G62+'2.2 Allocation to services'!G74+'2.2 Allocation to services'!G86)</f>
        <v>0</v>
      </c>
      <c r="G18" s="300">
        <f t="shared" si="0"/>
        <v>0</v>
      </c>
    </row>
    <row r="19" spans="2:7" x14ac:dyDescent="0.2">
      <c r="B19" s="256"/>
      <c r="C19" s="112" t="s">
        <v>370</v>
      </c>
      <c r="D19" s="300">
        <f>IF('2.2 Allocation to services'!G20+'2.2 Allocation to services'!G32+'2.2 Allocation to services'!G44=0, ,'2.2 Allocation to services'!G20+'2.2 Allocation to services'!G32+'2.2 Allocation to services'!G44)</f>
        <v>6008.6447706146946</v>
      </c>
      <c r="E19" s="112" t="s">
        <v>370</v>
      </c>
      <c r="F19" s="300">
        <f>IF('2.2 Allocation to services'!G63+'2.2 Allocation to services'!G75+'2.2 Allocation to services'!G87=0, ,'2.2 Allocation to services'!G63+'2.2 Allocation to services'!G75+'2.2 Allocation to services'!G87)</f>
        <v>2529.3778580737376</v>
      </c>
      <c r="G19" s="300">
        <f t="shared" si="0"/>
        <v>3479.266912540957</v>
      </c>
    </row>
    <row r="20" spans="2:7" x14ac:dyDescent="0.2">
      <c r="B20" s="256"/>
      <c r="C20" s="112" t="s">
        <v>371</v>
      </c>
      <c r="D20" s="300">
        <f>IF('2.2 Allocation to services'!G21+'2.2 Allocation to services'!G33+'2.2 Allocation to services'!G45=0, ,'2.2 Allocation to services'!G21+'2.2 Allocation to services'!G33+'2.2 Allocation to services'!G45)</f>
        <v>0</v>
      </c>
      <c r="E20" s="112" t="s">
        <v>371</v>
      </c>
      <c r="F20" s="300">
        <f>IF('2.2 Allocation to services'!G64+'2.2 Allocation to services'!G76+'2.2 Allocation to services'!G88=0, ,'2.2 Allocation to services'!G64+'2.2 Allocation to services'!G76+'2.2 Allocation to services'!G88)</f>
        <v>0</v>
      </c>
      <c r="G20" s="300">
        <f t="shared" si="0"/>
        <v>0</v>
      </c>
    </row>
    <row r="21" spans="2:7" x14ac:dyDescent="0.2">
      <c r="B21" s="256"/>
      <c r="C21" s="112" t="s">
        <v>311</v>
      </c>
      <c r="D21" s="300">
        <f>IF('2.2 Allocation to services'!G22+'2.2 Allocation to services'!G34+'2.2 Allocation to services'!G46=0, ,'2.2 Allocation to services'!G22+'2.2 Allocation to services'!G34+'2.2 Allocation to services'!G46)</f>
        <v>581714.33611332579</v>
      </c>
      <c r="E21" s="112" t="s">
        <v>311</v>
      </c>
      <c r="F21" s="300">
        <f>IF('2.2 Allocation to services'!G65+'2.2 Allocation to services'!G77+'2.2 Allocation to services'!G89=0, ,'2.2 Allocation to services'!G65+'2.2 Allocation to services'!G77+'2.2 Allocation to services'!G89)</f>
        <v>244876.41018235564</v>
      </c>
      <c r="G21" s="300">
        <f t="shared" si="0"/>
        <v>336837.92593097012</v>
      </c>
    </row>
    <row r="22" spans="2:7" x14ac:dyDescent="0.2">
      <c r="B22" s="256"/>
      <c r="C22" s="258" t="s">
        <v>246</v>
      </c>
      <c r="D22" s="300">
        <f t="array" ref="D22">SUM(IF(ISNA(D12:D21),0,D12:D21))</f>
        <v>21046651.828192525</v>
      </c>
      <c r="E22" s="258" t="s">
        <v>252</v>
      </c>
      <c r="F22" s="300">
        <f t="array" ref="F22">SUM(IF(ISNA(F12:F21),0,F12:F21))</f>
        <v>8859724.1396534219</v>
      </c>
      <c r="G22" s="300">
        <f t="shared" si="0"/>
        <v>12186927.688539103</v>
      </c>
    </row>
  </sheetData>
  <sheetProtection sheet="1"/>
  <phoneticPr fontId="30" type="noConversion"/>
  <conditionalFormatting sqref="D12:D22 F12:G22">
    <cfRule type="containsErrors" dxfId="83" priority="1" stopIfTrue="1">
      <formula>ISERROR(D12)</formula>
    </cfRule>
  </conditionalFormatting>
  <pageMargins left="0.75" right="0.75" top="1" bottom="1" header="0.5" footer="0.5"/>
  <pageSetup paperSize="9" scale="64" orientation="landscape" verticalDpi="2" r:id="rId1"/>
  <headerFooter alignWithMargins="0">
    <oddFooter>&amp;C_x000D_&amp;1#&amp;"Calibri"&amp;10&amp;K008000 APA-INTERNAL</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D8031-D419-402B-86E7-937325721F5C}">
  <sheetPr codeName="Sheet22">
    <tabColor rgb="FF17415D"/>
    <pageSetUpPr fitToPage="1"/>
  </sheetPr>
  <dimension ref="B1:I115"/>
  <sheetViews>
    <sheetView zoomScaleNormal="100" workbookViewId="0">
      <pane xSplit="1" ySplit="4" topLeftCell="B5" activePane="bottomRight" state="frozen"/>
      <selection activeCell="E46" sqref="E46"/>
      <selection pane="topRight" activeCell="E46" sqref="E46"/>
      <selection pane="bottomLeft" activeCell="E46" sqref="E46"/>
      <selection pane="bottomRight"/>
    </sheetView>
  </sheetViews>
  <sheetFormatPr defaultColWidth="9.42578125" defaultRowHeight="12.75" x14ac:dyDescent="0.2"/>
  <cols>
    <col min="1" max="1" width="12" style="4" customWidth="1"/>
    <col min="2" max="2" width="18.42578125" style="4" customWidth="1"/>
    <col min="3" max="3" width="43" style="4" bestFit="1" customWidth="1"/>
    <col min="4" max="9" width="20.5703125" style="4" customWidth="1"/>
    <col min="10" max="16384" width="9.42578125" style="4"/>
  </cols>
  <sheetData>
    <row r="1" spans="2:9" ht="20.25" x14ac:dyDescent="0.2">
      <c r="B1" s="135" t="s">
        <v>302</v>
      </c>
      <c r="C1" s="135"/>
    </row>
    <row r="2" spans="2:9" ht="20.25" customHeight="1" x14ac:dyDescent="0.2">
      <c r="B2" s="135" t="str">
        <f>IF(Tradingname=0," ",Tradingname)</f>
        <v>APA Pipelines Investments (BWP) Pty Limited</v>
      </c>
      <c r="C2" s="135"/>
    </row>
    <row r="3" spans="2:9" ht="20.25" x14ac:dyDescent="0.3">
      <c r="B3" s="135" t="s">
        <v>109</v>
      </c>
      <c r="C3" s="99">
        <f>IF(Yearending=0, "01/01/2000", Yearending)</f>
        <v>45838</v>
      </c>
    </row>
    <row r="4" spans="2:9" ht="20.25" x14ac:dyDescent="0.2">
      <c r="B4" s="91" t="s">
        <v>372</v>
      </c>
      <c r="C4" s="91"/>
    </row>
    <row r="7" spans="2:9" ht="21" customHeight="1" x14ac:dyDescent="0.2">
      <c r="B7" s="249" t="s">
        <v>316</v>
      </c>
    </row>
    <row r="8" spans="2:9" x14ac:dyDescent="0.2">
      <c r="B8" s="214"/>
      <c r="C8" s="259"/>
    </row>
    <row r="9" spans="2:9" ht="21" customHeight="1" x14ac:dyDescent="0.2">
      <c r="B9" s="425" t="s">
        <v>213</v>
      </c>
      <c r="C9" s="426"/>
      <c r="D9" s="426"/>
      <c r="E9" s="426"/>
      <c r="F9" s="426"/>
      <c r="G9" s="427" t="s">
        <v>130</v>
      </c>
      <c r="H9" s="428"/>
      <c r="I9" s="428"/>
    </row>
    <row r="10" spans="2:9" ht="51" customHeight="1" x14ac:dyDescent="0.2">
      <c r="B10" s="29" t="s">
        <v>307</v>
      </c>
      <c r="C10" s="23" t="s">
        <v>13</v>
      </c>
      <c r="D10" s="219" t="s">
        <v>41</v>
      </c>
      <c r="E10" s="219" t="s">
        <v>42</v>
      </c>
      <c r="F10" s="30" t="s">
        <v>18</v>
      </c>
      <c r="G10" s="219" t="s">
        <v>41</v>
      </c>
      <c r="H10" s="219" t="s">
        <v>42</v>
      </c>
      <c r="I10" s="30" t="s">
        <v>18</v>
      </c>
    </row>
    <row r="11" spans="2:9" x14ac:dyDescent="0.2">
      <c r="B11" s="29"/>
      <c r="C11" s="23"/>
      <c r="D11" s="31" t="s">
        <v>110</v>
      </c>
      <c r="E11" s="31" t="s">
        <v>110</v>
      </c>
      <c r="F11" s="31" t="s">
        <v>110</v>
      </c>
      <c r="G11" s="31" t="s">
        <v>110</v>
      </c>
      <c r="H11" s="31" t="s">
        <v>110</v>
      </c>
      <c r="I11" s="31" t="s">
        <v>110</v>
      </c>
    </row>
    <row r="12" spans="2:9" x14ac:dyDescent="0.2">
      <c r="B12" s="343" t="s">
        <v>554</v>
      </c>
      <c r="C12" s="107" t="s">
        <v>289</v>
      </c>
      <c r="D12" s="31"/>
      <c r="E12" s="31"/>
      <c r="F12" s="31"/>
      <c r="G12" s="31"/>
      <c r="H12" s="31"/>
      <c r="I12" s="31"/>
    </row>
    <row r="13" spans="2:9" x14ac:dyDescent="0.2">
      <c r="B13" s="343" t="s">
        <v>554</v>
      </c>
      <c r="C13" s="116" t="s">
        <v>77</v>
      </c>
      <c r="D13" s="66">
        <v>21042221.680000003</v>
      </c>
      <c r="E13" s="66">
        <v>0</v>
      </c>
      <c r="F13" s="90">
        <f>SUM(D13:E13)</f>
        <v>21042221.680000003</v>
      </c>
      <c r="G13" s="66">
        <v>20674023.009999998</v>
      </c>
      <c r="H13" s="66">
        <v>0</v>
      </c>
      <c r="I13" s="90">
        <f>SUM(G13:H13)</f>
        <v>20674023.009999998</v>
      </c>
    </row>
    <row r="14" spans="2:9" x14ac:dyDescent="0.2">
      <c r="B14" s="343" t="s">
        <v>554</v>
      </c>
      <c r="C14" s="116" t="s">
        <v>33</v>
      </c>
      <c r="D14" s="90">
        <f>'2.3 Revenue contributions '!C17</f>
        <v>0</v>
      </c>
      <c r="E14" s="90">
        <f>'2.3 Revenue contributions '!D17</f>
        <v>0</v>
      </c>
      <c r="F14" s="90">
        <f>SUM(D14:E14)</f>
        <v>0</v>
      </c>
      <c r="G14" s="66">
        <v>0</v>
      </c>
      <c r="H14" s="66">
        <v>0</v>
      </c>
      <c r="I14" s="90">
        <f>SUM(G14:H14)</f>
        <v>0</v>
      </c>
    </row>
    <row r="15" spans="2:9" x14ac:dyDescent="0.2">
      <c r="B15" s="343" t="s">
        <v>554</v>
      </c>
      <c r="C15" s="116" t="s">
        <v>154</v>
      </c>
      <c r="D15" s="90">
        <f>'2.3 Revenue contributions '!D29</f>
        <v>0</v>
      </c>
      <c r="E15" s="90"/>
      <c r="F15" s="90">
        <f>SUM(D15:E15)</f>
        <v>0</v>
      </c>
      <c r="G15" s="66">
        <v>0</v>
      </c>
      <c r="H15" s="90"/>
      <c r="I15" s="90">
        <f>SUM(G15:H15)</f>
        <v>0</v>
      </c>
    </row>
    <row r="16" spans="2:9" x14ac:dyDescent="0.2">
      <c r="B16" s="343" t="s">
        <v>554</v>
      </c>
      <c r="C16" s="116" t="s">
        <v>14</v>
      </c>
      <c r="D16" s="66">
        <v>4430.1481925171884</v>
      </c>
      <c r="E16" s="66">
        <v>0</v>
      </c>
      <c r="F16" s="90">
        <f>SUM(D16:E16)</f>
        <v>4430.1481925171884</v>
      </c>
      <c r="G16" s="66">
        <v>389.69630440073007</v>
      </c>
      <c r="H16" s="66">
        <v>0</v>
      </c>
      <c r="I16" s="90">
        <f>SUM(G16:H16)</f>
        <v>389.69630440073007</v>
      </c>
    </row>
    <row r="17" spans="2:9" x14ac:dyDescent="0.2">
      <c r="B17" s="343" t="s">
        <v>554</v>
      </c>
      <c r="C17" s="116" t="s">
        <v>34</v>
      </c>
      <c r="D17" s="66">
        <v>0</v>
      </c>
      <c r="E17" s="66">
        <v>0</v>
      </c>
      <c r="F17" s="90">
        <f>SUM(D17:E17)</f>
        <v>0</v>
      </c>
      <c r="G17" s="66">
        <v>0</v>
      </c>
      <c r="H17" s="66">
        <v>0</v>
      </c>
      <c r="I17" s="90">
        <f>SUM(G17:H17)</f>
        <v>0</v>
      </c>
    </row>
    <row r="18" spans="2:9" x14ac:dyDescent="0.2">
      <c r="B18" s="343"/>
      <c r="C18" s="117" t="s">
        <v>290</v>
      </c>
      <c r="D18" s="90">
        <f t="shared" ref="D18:I18" si="0">SUM(D13:D17)</f>
        <v>21046651.828192521</v>
      </c>
      <c r="E18" s="90">
        <f t="shared" si="0"/>
        <v>0</v>
      </c>
      <c r="F18" s="90">
        <f t="shared" si="0"/>
        <v>21046651.828192521</v>
      </c>
      <c r="G18" s="90">
        <f t="shared" si="0"/>
        <v>20674412.706304397</v>
      </c>
      <c r="H18" s="90">
        <f t="shared" si="0"/>
        <v>0</v>
      </c>
      <c r="I18" s="90">
        <f t="shared" si="0"/>
        <v>20674412.706304397</v>
      </c>
    </row>
    <row r="19" spans="2:9" x14ac:dyDescent="0.2">
      <c r="B19" s="343"/>
      <c r="C19" s="33" t="s">
        <v>294</v>
      </c>
      <c r="D19" s="31"/>
      <c r="E19" s="31"/>
      <c r="F19" s="31"/>
      <c r="G19" s="31"/>
      <c r="H19" s="31"/>
      <c r="I19" s="31"/>
    </row>
    <row r="20" spans="2:9" x14ac:dyDescent="0.2">
      <c r="B20" s="343"/>
      <c r="C20" s="116" t="s">
        <v>265</v>
      </c>
      <c r="D20" s="90">
        <f>'2.4 Indirect revenue'!G42</f>
        <v>0</v>
      </c>
      <c r="E20" s="90">
        <f>'2.4 Indirect revenue'!H42</f>
        <v>0</v>
      </c>
      <c r="F20" s="90">
        <f>SUM(D20:E20)</f>
        <v>0</v>
      </c>
      <c r="G20" s="66">
        <v>0</v>
      </c>
      <c r="H20" s="66">
        <v>0</v>
      </c>
      <c r="I20" s="90">
        <f>SUM(G20:H20)</f>
        <v>0</v>
      </c>
    </row>
    <row r="21" spans="2:9" x14ac:dyDescent="0.2">
      <c r="B21" s="343"/>
      <c r="C21" s="117" t="s">
        <v>291</v>
      </c>
      <c r="D21" s="90">
        <f t="shared" ref="D21:I21" si="1">SUM(D20)</f>
        <v>0</v>
      </c>
      <c r="E21" s="90">
        <f t="shared" si="1"/>
        <v>0</v>
      </c>
      <c r="F21" s="90">
        <f t="shared" si="1"/>
        <v>0</v>
      </c>
      <c r="G21" s="90">
        <f t="shared" si="1"/>
        <v>0</v>
      </c>
      <c r="H21" s="90">
        <f t="shared" si="1"/>
        <v>0</v>
      </c>
      <c r="I21" s="90">
        <f t="shared" si="1"/>
        <v>0</v>
      </c>
    </row>
    <row r="22" spans="2:9" x14ac:dyDescent="0.2">
      <c r="B22" s="343"/>
      <c r="C22" s="117" t="s">
        <v>292</v>
      </c>
      <c r="D22" s="90">
        <f>D18+D21</f>
        <v>21046651.828192521</v>
      </c>
      <c r="E22" s="90">
        <f>E21+E18</f>
        <v>0</v>
      </c>
      <c r="F22" s="90">
        <f>F18+F21</f>
        <v>21046651.828192521</v>
      </c>
      <c r="G22" s="90">
        <f>G18+G21</f>
        <v>20674412.706304397</v>
      </c>
      <c r="H22" s="90">
        <f>H18+H21</f>
        <v>0</v>
      </c>
      <c r="I22" s="90">
        <f>I18+I21</f>
        <v>20674412.706304397</v>
      </c>
    </row>
    <row r="23" spans="2:9" x14ac:dyDescent="0.2">
      <c r="B23" s="343"/>
      <c r="C23" s="33" t="s">
        <v>295</v>
      </c>
      <c r="D23" s="31"/>
      <c r="E23" s="31"/>
      <c r="F23" s="31"/>
      <c r="G23" s="31"/>
      <c r="H23" s="31"/>
      <c r="I23" s="31"/>
    </row>
    <row r="24" spans="2:9" x14ac:dyDescent="0.2">
      <c r="B24" s="343" t="s">
        <v>554</v>
      </c>
      <c r="C24" s="19" t="s">
        <v>79</v>
      </c>
      <c r="D24" s="66">
        <v>0</v>
      </c>
      <c r="E24" s="66">
        <v>0</v>
      </c>
      <c r="F24" s="90">
        <f t="shared" ref="F24:F31" si="2">SUM(D24:E24)</f>
        <v>0</v>
      </c>
      <c r="G24" s="66">
        <v>0</v>
      </c>
      <c r="H24" s="66">
        <v>0</v>
      </c>
      <c r="I24" s="90">
        <f t="shared" ref="I24:I31" si="3">SUM(G24:H24)</f>
        <v>0</v>
      </c>
    </row>
    <row r="25" spans="2:9" x14ac:dyDescent="0.2">
      <c r="B25" s="343" t="s">
        <v>554</v>
      </c>
      <c r="C25" s="19" t="s">
        <v>80</v>
      </c>
      <c r="D25" s="66">
        <v>1247874.5</v>
      </c>
      <c r="E25" s="66">
        <v>0</v>
      </c>
      <c r="F25" s="90">
        <f t="shared" si="2"/>
        <v>1247874.5</v>
      </c>
      <c r="G25" s="66">
        <v>1116854.8007997926</v>
      </c>
      <c r="H25" s="66">
        <v>0</v>
      </c>
      <c r="I25" s="90">
        <f t="shared" si="3"/>
        <v>1116854.8007997926</v>
      </c>
    </row>
    <row r="26" spans="2:9" x14ac:dyDescent="0.2">
      <c r="B26" s="343" t="s">
        <v>554</v>
      </c>
      <c r="C26" s="19" t="s">
        <v>16</v>
      </c>
      <c r="D26" s="66">
        <v>4246003.2299999995</v>
      </c>
      <c r="E26" s="66">
        <v>0</v>
      </c>
      <c r="F26" s="90">
        <f t="shared" si="2"/>
        <v>4246003.2299999995</v>
      </c>
      <c r="G26" s="66">
        <v>3718517.07</v>
      </c>
      <c r="H26" s="66">
        <v>0</v>
      </c>
      <c r="I26" s="90">
        <f t="shared" si="3"/>
        <v>3718517.07</v>
      </c>
    </row>
    <row r="27" spans="2:9" x14ac:dyDescent="0.2">
      <c r="B27" s="343" t="s">
        <v>554</v>
      </c>
      <c r="C27" s="19" t="s">
        <v>35</v>
      </c>
      <c r="D27" s="66">
        <v>57840.91</v>
      </c>
      <c r="E27" s="66">
        <v>0</v>
      </c>
      <c r="F27" s="90">
        <f t="shared" si="2"/>
        <v>57840.91</v>
      </c>
      <c r="G27" s="66">
        <v>56830.7</v>
      </c>
      <c r="H27" s="66">
        <v>0</v>
      </c>
      <c r="I27" s="90">
        <f t="shared" si="3"/>
        <v>56830.7</v>
      </c>
    </row>
    <row r="28" spans="2:9" x14ac:dyDescent="0.2">
      <c r="B28" s="344" t="s">
        <v>554</v>
      </c>
      <c r="C28" s="19" t="s">
        <v>36</v>
      </c>
      <c r="D28" s="66">
        <v>22116.210000000003</v>
      </c>
      <c r="E28" s="66">
        <v>0</v>
      </c>
      <c r="F28" s="90">
        <f t="shared" si="2"/>
        <v>22116.210000000003</v>
      </c>
      <c r="G28" s="66">
        <v>46227.49</v>
      </c>
      <c r="H28" s="66">
        <v>0</v>
      </c>
      <c r="I28" s="90">
        <f t="shared" si="3"/>
        <v>46227.49</v>
      </c>
    </row>
    <row r="29" spans="2:9" x14ac:dyDescent="0.2">
      <c r="B29" s="344" t="s">
        <v>554</v>
      </c>
      <c r="C29" s="19" t="s">
        <v>37</v>
      </c>
      <c r="D29" s="66">
        <v>0</v>
      </c>
      <c r="E29" s="66">
        <v>0</v>
      </c>
      <c r="F29" s="90">
        <f t="shared" si="2"/>
        <v>0</v>
      </c>
      <c r="G29" s="66">
        <v>0</v>
      </c>
      <c r="H29" s="66">
        <v>0</v>
      </c>
      <c r="I29" s="90">
        <f t="shared" si="3"/>
        <v>0</v>
      </c>
    </row>
    <row r="30" spans="2:9" x14ac:dyDescent="0.2">
      <c r="B30" s="344" t="s">
        <v>554</v>
      </c>
      <c r="C30" s="19" t="s">
        <v>45</v>
      </c>
      <c r="D30" s="66">
        <v>56589.279999999999</v>
      </c>
      <c r="E30" s="66">
        <v>0</v>
      </c>
      <c r="F30" s="90">
        <f t="shared" si="2"/>
        <v>56589.279999999999</v>
      </c>
      <c r="G30" s="66">
        <v>62147.59</v>
      </c>
      <c r="H30" s="66">
        <v>0</v>
      </c>
      <c r="I30" s="90">
        <f t="shared" si="3"/>
        <v>62147.59</v>
      </c>
    </row>
    <row r="31" spans="2:9" x14ac:dyDescent="0.2">
      <c r="B31" s="344" t="s">
        <v>554</v>
      </c>
      <c r="C31" s="34" t="s">
        <v>254</v>
      </c>
      <c r="D31" s="66">
        <v>349796.15</v>
      </c>
      <c r="E31" s="66">
        <v>0</v>
      </c>
      <c r="F31" s="90">
        <f t="shared" si="2"/>
        <v>349796.15</v>
      </c>
      <c r="G31" s="66">
        <v>272852.52</v>
      </c>
      <c r="H31" s="66">
        <v>0</v>
      </c>
      <c r="I31" s="90">
        <f t="shared" si="3"/>
        <v>272852.52</v>
      </c>
    </row>
    <row r="32" spans="2:9" x14ac:dyDescent="0.2">
      <c r="B32" s="345"/>
      <c r="C32" s="87" t="s">
        <v>293</v>
      </c>
      <c r="D32" s="90">
        <f t="shared" ref="D32:I32" si="4">SUM(D24:D31)</f>
        <v>5980220.2800000003</v>
      </c>
      <c r="E32" s="90">
        <f t="shared" si="4"/>
        <v>0</v>
      </c>
      <c r="F32" s="90">
        <f>SUM(F24:F31)</f>
        <v>5980220.2800000003</v>
      </c>
      <c r="G32" s="90">
        <f t="shared" si="4"/>
        <v>5273430.1707997937</v>
      </c>
      <c r="H32" s="90">
        <f t="shared" si="4"/>
        <v>0</v>
      </c>
      <c r="I32" s="90">
        <f t="shared" si="4"/>
        <v>5273430.1707997937</v>
      </c>
    </row>
    <row r="33" spans="2:9" x14ac:dyDescent="0.2">
      <c r="B33" s="345"/>
      <c r="C33" s="33" t="s">
        <v>296</v>
      </c>
      <c r="D33" s="31"/>
      <c r="E33" s="31"/>
      <c r="F33" s="108"/>
      <c r="G33" s="31"/>
      <c r="H33" s="31"/>
      <c r="I33" s="108"/>
    </row>
    <row r="34" spans="2:9" x14ac:dyDescent="0.2">
      <c r="B34" s="345"/>
      <c r="C34" s="19" t="s">
        <v>256</v>
      </c>
      <c r="D34" s="90">
        <f>SUMIF('2.5 Shared expenses'!$C$15:$C$35,$C34,'2.5 Shared expenses'!H$15:H$35)</f>
        <v>0</v>
      </c>
      <c r="E34" s="90">
        <f>SUMIF('2.5 Shared expenses'!$C$15:$C$35,$C34,'2.5 Shared expenses'!I$15:I$35)</f>
        <v>0</v>
      </c>
      <c r="F34" s="90">
        <f t="shared" ref="F34:F42" si="5">SUM(D34:E34)</f>
        <v>0</v>
      </c>
      <c r="G34" s="66">
        <v>0</v>
      </c>
      <c r="H34" s="66">
        <v>0</v>
      </c>
      <c r="I34" s="90">
        <f t="shared" ref="I34:I42" si="6">SUM(G34:H34)</f>
        <v>0</v>
      </c>
    </row>
    <row r="35" spans="2:9" x14ac:dyDescent="0.2">
      <c r="B35" s="345"/>
      <c r="C35" s="19" t="s">
        <v>43</v>
      </c>
      <c r="D35" s="90">
        <f>SUMIF('2.5 Shared expenses'!$C$15:$C$35,$C35,'2.5 Shared expenses'!H$15:H$35)</f>
        <v>0</v>
      </c>
      <c r="E35" s="90">
        <f>SUMIF('2.5 Shared expenses'!$C$15:$C$35,$C35,'2.5 Shared expenses'!I$15:I$35)</f>
        <v>0</v>
      </c>
      <c r="F35" s="90">
        <f t="shared" si="5"/>
        <v>0</v>
      </c>
      <c r="G35" s="66">
        <v>0</v>
      </c>
      <c r="H35" s="66">
        <v>0</v>
      </c>
      <c r="I35" s="90">
        <f t="shared" si="6"/>
        <v>0</v>
      </c>
    </row>
    <row r="36" spans="2:9" x14ac:dyDescent="0.2">
      <c r="B36" s="345"/>
      <c r="C36" s="32" t="s">
        <v>150</v>
      </c>
      <c r="D36" s="90">
        <f>SUMIF('2.5 Shared expenses'!$C$15:$C$35,$C36,'2.5 Shared expenses'!H$15:H$35)</f>
        <v>0</v>
      </c>
      <c r="E36" s="90">
        <f>SUMIF('2.5 Shared expenses'!$C$15:$C$35,$C36,'2.5 Shared expenses'!I$15:I$35)</f>
        <v>0</v>
      </c>
      <c r="F36" s="90">
        <f t="shared" si="5"/>
        <v>0</v>
      </c>
      <c r="G36" s="66">
        <v>0</v>
      </c>
      <c r="H36" s="66">
        <v>0</v>
      </c>
      <c r="I36" s="90">
        <f t="shared" si="6"/>
        <v>0</v>
      </c>
    </row>
    <row r="37" spans="2:9" x14ac:dyDescent="0.2">
      <c r="B37" s="345"/>
      <c r="C37" s="34" t="s">
        <v>39</v>
      </c>
      <c r="D37" s="90">
        <f>SUMIF('2.5 Shared expenses'!$C$15:$C$35,$C37,'2.5 Shared expenses'!H$15:H$35)</f>
        <v>611418.39536343201</v>
      </c>
      <c r="E37" s="90">
        <f>SUMIF('2.5 Shared expenses'!$C$15:$C$35,$C37,'2.5 Shared expenses'!I$15:I$35)</f>
        <v>0</v>
      </c>
      <c r="F37" s="90">
        <f t="shared" si="5"/>
        <v>611418.39536343201</v>
      </c>
      <c r="G37" s="66">
        <v>461223.23543645401</v>
      </c>
      <c r="H37" s="66">
        <v>0</v>
      </c>
      <c r="I37" s="90">
        <f t="shared" si="6"/>
        <v>461223.23543645401</v>
      </c>
    </row>
    <row r="38" spans="2:9" x14ac:dyDescent="0.2">
      <c r="B38" s="345"/>
      <c r="C38" s="34" t="s">
        <v>44</v>
      </c>
      <c r="D38" s="90">
        <f>SUMIF('2.5 Shared expenses'!$C$15:$C$35,$C38,'2.5 Shared expenses'!H$15:H$35)</f>
        <v>0</v>
      </c>
      <c r="E38" s="90">
        <f>SUMIF('2.5 Shared expenses'!$C$15:$C$35,$C38,'2.5 Shared expenses'!I$15:I$35)</f>
        <v>0</v>
      </c>
      <c r="F38" s="90">
        <f t="shared" si="5"/>
        <v>0</v>
      </c>
      <c r="G38" s="66">
        <v>0</v>
      </c>
      <c r="H38" s="66">
        <v>0</v>
      </c>
      <c r="I38" s="90">
        <f t="shared" si="6"/>
        <v>0</v>
      </c>
    </row>
    <row r="39" spans="2:9" x14ac:dyDescent="0.2">
      <c r="B39" s="345"/>
      <c r="C39" s="32" t="s">
        <v>81</v>
      </c>
      <c r="D39" s="90">
        <f>SUMIF('2.5 Shared expenses'!$C$15:$C$35,$C39,'2.5 Shared expenses'!H$15:H$35)</f>
        <v>0</v>
      </c>
      <c r="E39" s="90">
        <f>SUMIF('2.5 Shared expenses'!$C$15:$C$35,$C39,'2.5 Shared expenses'!I$15:I$35)</f>
        <v>0</v>
      </c>
      <c r="F39" s="90">
        <f t="shared" si="5"/>
        <v>0</v>
      </c>
      <c r="G39" s="66">
        <v>0</v>
      </c>
      <c r="H39" s="66">
        <v>0</v>
      </c>
      <c r="I39" s="90">
        <f t="shared" si="6"/>
        <v>0</v>
      </c>
    </row>
    <row r="40" spans="2:9" x14ac:dyDescent="0.2">
      <c r="B40" s="345"/>
      <c r="C40" s="32" t="s">
        <v>40</v>
      </c>
      <c r="D40" s="90">
        <f>SUMIF('2.5 Shared expenses'!$C$15:$C$35,$C40,'2.5 Shared expenses'!H$15:H$35)</f>
        <v>0</v>
      </c>
      <c r="E40" s="90">
        <f>SUMIF('2.5 Shared expenses'!$C$15:$C$35,$C40,'2.5 Shared expenses'!I$15:I$35)</f>
        <v>0</v>
      </c>
      <c r="F40" s="90">
        <f t="shared" si="5"/>
        <v>0</v>
      </c>
      <c r="G40" s="66">
        <v>0</v>
      </c>
      <c r="H40" s="66">
        <v>0</v>
      </c>
      <c r="I40" s="90">
        <f t="shared" si="6"/>
        <v>0</v>
      </c>
    </row>
    <row r="41" spans="2:9" x14ac:dyDescent="0.2">
      <c r="B41" s="345"/>
      <c r="C41" s="32" t="s">
        <v>151</v>
      </c>
      <c r="D41" s="90">
        <f>SUMIF('2.5 Shared expenses'!$C$15:$C$35,$C41,'2.5 Shared expenses'!H$15:H$35)</f>
        <v>0</v>
      </c>
      <c r="E41" s="90">
        <f>SUMIF('2.5 Shared expenses'!$C$15:$C$35,$C41,'2.5 Shared expenses'!I$15:I$35)</f>
        <v>0</v>
      </c>
      <c r="F41" s="90">
        <f t="shared" si="5"/>
        <v>0</v>
      </c>
      <c r="G41" s="66">
        <v>0</v>
      </c>
      <c r="H41" s="66">
        <v>0</v>
      </c>
      <c r="I41" s="90">
        <f t="shared" si="6"/>
        <v>0</v>
      </c>
    </row>
    <row r="42" spans="2:9" x14ac:dyDescent="0.2">
      <c r="B42" s="344" t="s">
        <v>554</v>
      </c>
      <c r="C42" s="34" t="s">
        <v>258</v>
      </c>
      <c r="D42" s="90">
        <f>SUMIF('2.5 Shared expenses'!$C$15:$C$35,$C42,'2.5 Shared expenses'!H$15:H$35)</f>
        <v>2268085.4642899893</v>
      </c>
      <c r="E42" s="90">
        <f>SUMIF('2.5 Shared expenses'!$C$15:$C$35,$C42,'2.5 Shared expenses'!I$15:I$35)</f>
        <v>0</v>
      </c>
      <c r="F42" s="90">
        <f t="shared" si="5"/>
        <v>2268085.4642899893</v>
      </c>
      <c r="G42" s="66">
        <v>2560494.3655789657</v>
      </c>
      <c r="H42" s="66">
        <v>0</v>
      </c>
      <c r="I42" s="90">
        <f t="shared" si="6"/>
        <v>2560494.3655789657</v>
      </c>
    </row>
    <row r="43" spans="2:9" x14ac:dyDescent="0.2">
      <c r="B43" s="285"/>
      <c r="C43" s="87" t="s">
        <v>297</v>
      </c>
      <c r="D43" s="90">
        <f t="shared" ref="D43:I43" si="7">SUM(D34:D42)</f>
        <v>2879503.8596534212</v>
      </c>
      <c r="E43" s="90">
        <f t="shared" si="7"/>
        <v>0</v>
      </c>
      <c r="F43" s="90">
        <f>SUM(F34:F42)</f>
        <v>2879503.8596534212</v>
      </c>
      <c r="G43" s="90">
        <f t="shared" si="7"/>
        <v>3021717.6010154197</v>
      </c>
      <c r="H43" s="90">
        <f t="shared" si="7"/>
        <v>0</v>
      </c>
      <c r="I43" s="90">
        <f t="shared" si="7"/>
        <v>3021717.6010154197</v>
      </c>
    </row>
    <row r="44" spans="2:9" x14ac:dyDescent="0.2">
      <c r="B44" s="285"/>
      <c r="C44" s="87" t="s">
        <v>298</v>
      </c>
      <c r="D44" s="11">
        <f t="shared" ref="D44:I44" si="8">D43+D32</f>
        <v>8859724.1396534219</v>
      </c>
      <c r="E44" s="11">
        <f t="shared" si="8"/>
        <v>0</v>
      </c>
      <c r="F44" s="11">
        <f t="shared" si="8"/>
        <v>8859724.1396534219</v>
      </c>
      <c r="G44" s="11">
        <f t="shared" si="8"/>
        <v>8295147.7718152134</v>
      </c>
      <c r="H44" s="11">
        <f t="shared" si="8"/>
        <v>0</v>
      </c>
      <c r="I44" s="11">
        <f t="shared" si="8"/>
        <v>8295147.7718152134</v>
      </c>
    </row>
    <row r="45" spans="2:9" x14ac:dyDescent="0.2">
      <c r="B45" s="285"/>
      <c r="C45" s="137" t="s">
        <v>468</v>
      </c>
      <c r="D45" s="11">
        <f t="shared" ref="D45:I45" si="9">D22-ABS(D44)</f>
        <v>12186927.688539099</v>
      </c>
      <c r="E45" s="11">
        <f t="shared" si="9"/>
        <v>0</v>
      </c>
      <c r="F45" s="11">
        <f t="shared" si="9"/>
        <v>12186927.688539099</v>
      </c>
      <c r="G45" s="11">
        <f t="shared" si="9"/>
        <v>12379264.934489183</v>
      </c>
      <c r="H45" s="11">
        <f t="shared" si="9"/>
        <v>0</v>
      </c>
      <c r="I45" s="11">
        <f t="shared" si="9"/>
        <v>12379264.934489183</v>
      </c>
    </row>
    <row r="73" spans="2:2" ht="23.1" customHeight="1" x14ac:dyDescent="0.2"/>
    <row r="77" spans="2:2" x14ac:dyDescent="0.2">
      <c r="B77" s="100"/>
    </row>
    <row r="85" spans="2:2" x14ac:dyDescent="0.2">
      <c r="B85" s="100"/>
    </row>
    <row r="92" spans="2:2" x14ac:dyDescent="0.2">
      <c r="B92" s="100"/>
    </row>
    <row r="115" ht="16.5" customHeight="1" x14ac:dyDescent="0.2"/>
  </sheetData>
  <sheetProtection sheet="1"/>
  <mergeCells count="2">
    <mergeCell ref="B9:F9"/>
    <mergeCell ref="G9:I9"/>
  </mergeCells>
  <pageMargins left="0.75" right="0.75" top="1" bottom="1" header="0.5" footer="0.5"/>
  <pageSetup paperSize="9" scale="64" orientation="landscape" verticalDpi="2" r:id="rId1"/>
  <headerFooter alignWithMargins="0">
    <oddFooter>&amp;C_x000D_&amp;1#&amp;"Calibri"&amp;10&amp;K008000 APA-INTERNAL</oddFooter>
  </headerFooter>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F5BE3-3D86-475C-A8F7-376195E7752B}">
  <sheetPr codeName="Sheet7">
    <tabColor rgb="FF17415D"/>
    <pageSetUpPr fitToPage="1"/>
  </sheetPr>
  <dimension ref="B1:M93"/>
  <sheetViews>
    <sheetView zoomScaleNormal="100" workbookViewId="0">
      <pane xSplit="1" ySplit="4" topLeftCell="B5" activePane="bottomRight" state="frozen"/>
      <selection pane="topRight" activeCell="B1" sqref="B1"/>
      <selection pane="bottomLeft" activeCell="A5" sqref="A5"/>
      <selection pane="bottomRight"/>
    </sheetView>
  </sheetViews>
  <sheetFormatPr defaultColWidth="9.42578125" defaultRowHeight="12.75" x14ac:dyDescent="0.2"/>
  <cols>
    <col min="1" max="1" width="12" style="4" customWidth="1"/>
    <col min="2" max="2" width="18.42578125" style="4" customWidth="1"/>
    <col min="3" max="3" width="52.5703125" style="4" customWidth="1"/>
    <col min="4" max="11" width="20.5703125" style="4" customWidth="1"/>
    <col min="12" max="16384" width="9.42578125" style="4"/>
  </cols>
  <sheetData>
    <row r="1" spans="2:13" ht="20.25" customHeight="1" x14ac:dyDescent="0.3">
      <c r="B1" s="135" t="s">
        <v>302</v>
      </c>
      <c r="C1" s="135"/>
      <c r="D1" s="203"/>
      <c r="E1" s="203"/>
      <c r="F1" s="203"/>
      <c r="G1" s="203"/>
      <c r="H1" s="203"/>
      <c r="I1" s="203"/>
    </row>
    <row r="2" spans="2:13" ht="20.25" customHeight="1" x14ac:dyDescent="0.45">
      <c r="B2" s="135" t="str">
        <f>IF(Tradingname=0," ",Tradingname)</f>
        <v>APA Pipelines Investments (BWP) Pty Limited</v>
      </c>
      <c r="C2" s="135"/>
      <c r="I2" s="242"/>
    </row>
    <row r="3" spans="2:13" ht="20.25" customHeight="1" x14ac:dyDescent="0.3">
      <c r="B3" s="135" t="s">
        <v>109</v>
      </c>
      <c r="C3" s="99">
        <f>IF(Yearending=0, "01/01/2000", Yearending)</f>
        <v>45838</v>
      </c>
    </row>
    <row r="4" spans="2:13" ht="20.25" x14ac:dyDescent="0.2">
      <c r="B4" s="91" t="s">
        <v>455</v>
      </c>
      <c r="C4" s="91"/>
      <c r="D4" s="248"/>
      <c r="G4" s="248"/>
    </row>
    <row r="5" spans="2:13" x14ac:dyDescent="0.2">
      <c r="B5" s="190"/>
      <c r="C5" s="190"/>
      <c r="D5" s="190"/>
      <c r="E5" s="190"/>
      <c r="F5" s="190"/>
      <c r="G5" s="190"/>
      <c r="H5" s="190"/>
      <c r="I5" s="190"/>
      <c r="J5" s="190"/>
      <c r="K5" s="190"/>
      <c r="L5" s="190"/>
      <c r="M5" s="190"/>
    </row>
    <row r="6" spans="2:13" x14ac:dyDescent="0.2">
      <c r="B6" s="190"/>
      <c r="C6" s="190"/>
      <c r="D6" s="190"/>
      <c r="E6" s="190"/>
      <c r="F6" s="190"/>
      <c r="G6" s="190"/>
      <c r="H6" s="190"/>
      <c r="I6" s="190"/>
      <c r="J6" s="190"/>
      <c r="K6" s="190"/>
      <c r="L6" s="190"/>
      <c r="M6" s="190"/>
    </row>
    <row r="7" spans="2:13" ht="15.75" x14ac:dyDescent="0.2">
      <c r="B7" s="249" t="s">
        <v>266</v>
      </c>
      <c r="C7" s="190"/>
      <c r="D7" s="190"/>
      <c r="E7" s="190"/>
      <c r="F7" s="190"/>
      <c r="G7" s="190"/>
      <c r="H7" s="190"/>
      <c r="I7" s="190"/>
      <c r="J7" s="190"/>
      <c r="K7" s="190"/>
      <c r="L7" s="190"/>
      <c r="M7" s="190"/>
    </row>
    <row r="8" spans="2:13" x14ac:dyDescent="0.2">
      <c r="B8" s="250"/>
      <c r="C8" s="251"/>
      <c r="D8" s="252"/>
      <c r="E8" s="252"/>
      <c r="F8" s="252"/>
      <c r="G8" s="252"/>
      <c r="H8" s="252"/>
      <c r="I8" s="252"/>
      <c r="J8" s="252"/>
      <c r="K8" s="252"/>
      <c r="L8" s="190"/>
      <c r="M8" s="190"/>
    </row>
    <row r="9" spans="2:13" ht="21" customHeight="1" x14ac:dyDescent="0.2">
      <c r="B9" s="253"/>
      <c r="C9" s="253"/>
      <c r="D9" s="429" t="s">
        <v>129</v>
      </c>
      <c r="E9" s="430"/>
      <c r="F9" s="430"/>
      <c r="G9" s="431"/>
      <c r="H9" s="429" t="s">
        <v>130</v>
      </c>
      <c r="I9" s="430"/>
      <c r="J9" s="430"/>
      <c r="K9" s="431"/>
      <c r="L9" s="190"/>
      <c r="M9" s="190"/>
    </row>
    <row r="10" spans="2:13" ht="51" customHeight="1" x14ac:dyDescent="0.2">
      <c r="B10" s="44" t="s">
        <v>307</v>
      </c>
      <c r="C10" s="253" t="s">
        <v>13</v>
      </c>
      <c r="D10" s="219" t="s">
        <v>240</v>
      </c>
      <c r="E10" s="219" t="s">
        <v>41</v>
      </c>
      <c r="F10" s="219" t="s">
        <v>42</v>
      </c>
      <c r="G10" s="219" t="s">
        <v>18</v>
      </c>
      <c r="H10" s="219" t="s">
        <v>240</v>
      </c>
      <c r="I10" s="219" t="s">
        <v>41</v>
      </c>
      <c r="J10" s="219" t="s">
        <v>42</v>
      </c>
      <c r="K10" s="219" t="s">
        <v>18</v>
      </c>
      <c r="L10" s="190"/>
      <c r="M10" s="190"/>
    </row>
    <row r="11" spans="2:13" ht="15.75" customHeight="1" x14ac:dyDescent="0.2">
      <c r="B11" s="44"/>
      <c r="C11" s="253"/>
      <c r="D11" s="111" t="s">
        <v>241</v>
      </c>
      <c r="E11" s="111" t="s">
        <v>110</v>
      </c>
      <c r="F11" s="111" t="s">
        <v>110</v>
      </c>
      <c r="G11" s="111" t="s">
        <v>110</v>
      </c>
      <c r="H11" s="111" t="s">
        <v>241</v>
      </c>
      <c r="I11" s="111" t="s">
        <v>110</v>
      </c>
      <c r="J11" s="111" t="s">
        <v>110</v>
      </c>
      <c r="K11" s="111" t="s">
        <v>110</v>
      </c>
      <c r="L11" s="190"/>
      <c r="M11" s="190"/>
    </row>
    <row r="12" spans="2:13" x14ac:dyDescent="0.2">
      <c r="B12" s="187"/>
      <c r="C12" s="260" t="s">
        <v>249</v>
      </c>
      <c r="D12" s="111"/>
      <c r="E12" s="111"/>
      <c r="F12" s="111"/>
      <c r="G12" s="111"/>
      <c r="H12" s="111"/>
      <c r="I12" s="111"/>
      <c r="J12" s="111"/>
      <c r="K12" s="111"/>
      <c r="L12" s="190"/>
      <c r="M12" s="190"/>
    </row>
    <row r="13" spans="2:13" x14ac:dyDescent="0.2">
      <c r="B13" s="346" t="s">
        <v>555</v>
      </c>
      <c r="C13" s="112" t="s">
        <v>363</v>
      </c>
      <c r="D13" s="72">
        <v>0.79606145276576101</v>
      </c>
      <c r="E13" s="261">
        <f t="shared" ref="E13:E22" si="0">D13*$E$23</f>
        <v>16754428.230206098</v>
      </c>
      <c r="F13" s="261">
        <f t="shared" ref="F13:F22" si="1">D13*$F$23</f>
        <v>0</v>
      </c>
      <c r="G13" s="113">
        <f t="shared" ref="G13:G22" si="2">SUM(E13:F13)</f>
        <v>16754428.230206098</v>
      </c>
      <c r="H13" s="72">
        <v>0.8505729828923122</v>
      </c>
      <c r="I13" s="261">
        <f t="shared" ref="I13:I22" si="3">H13*$I$23</f>
        <v>17585096.885148052</v>
      </c>
      <c r="J13" s="261">
        <f t="shared" ref="J13:J22" si="4">H13*$J$23</f>
        <v>0</v>
      </c>
      <c r="K13" s="113">
        <f t="shared" ref="K13:K22" si="5">SUM(I13:J13)</f>
        <v>17585096.885148052</v>
      </c>
      <c r="L13" s="190"/>
      <c r="M13" s="262"/>
    </row>
    <row r="14" spans="2:13" x14ac:dyDescent="0.2">
      <c r="B14" s="347" t="s">
        <v>555</v>
      </c>
      <c r="C14" s="112" t="s">
        <v>453</v>
      </c>
      <c r="D14" s="72">
        <v>0</v>
      </c>
      <c r="E14" s="261">
        <f t="shared" si="0"/>
        <v>0</v>
      </c>
      <c r="F14" s="261">
        <f t="shared" si="1"/>
        <v>0</v>
      </c>
      <c r="G14" s="113">
        <f t="shared" si="2"/>
        <v>0</v>
      </c>
      <c r="H14" s="72">
        <v>0</v>
      </c>
      <c r="I14" s="261">
        <f t="shared" si="3"/>
        <v>0</v>
      </c>
      <c r="J14" s="261">
        <f t="shared" si="4"/>
        <v>0</v>
      </c>
      <c r="K14" s="113">
        <f t="shared" si="5"/>
        <v>0</v>
      </c>
      <c r="L14" s="190"/>
      <c r="M14" s="262"/>
    </row>
    <row r="15" spans="2:13" x14ac:dyDescent="0.2">
      <c r="B15" s="347" t="s">
        <v>555</v>
      </c>
      <c r="C15" s="112" t="s">
        <v>365</v>
      </c>
      <c r="D15" s="72">
        <v>0.17601377394100337</v>
      </c>
      <c r="E15" s="261">
        <f t="shared" si="0"/>
        <v>3704500.6171024838</v>
      </c>
      <c r="F15" s="261">
        <f t="shared" si="1"/>
        <v>0</v>
      </c>
      <c r="G15" s="113">
        <f t="shared" si="2"/>
        <v>3704500.6171024838</v>
      </c>
      <c r="H15" s="72">
        <v>0.14717876673196179</v>
      </c>
      <c r="I15" s="261">
        <f t="shared" si="3"/>
        <v>3042834.5650214818</v>
      </c>
      <c r="J15" s="261">
        <f t="shared" si="4"/>
        <v>0</v>
      </c>
      <c r="K15" s="113">
        <f t="shared" si="5"/>
        <v>3042834.5650214818</v>
      </c>
      <c r="L15" s="190"/>
      <c r="M15" s="262"/>
    </row>
    <row r="16" spans="2:13" x14ac:dyDescent="0.2">
      <c r="B16" s="347" t="s">
        <v>555</v>
      </c>
      <c r="C16" s="112" t="s">
        <v>366</v>
      </c>
      <c r="D16" s="72">
        <v>0</v>
      </c>
      <c r="E16" s="261">
        <f t="shared" si="0"/>
        <v>0</v>
      </c>
      <c r="F16" s="261">
        <f t="shared" si="1"/>
        <v>0</v>
      </c>
      <c r="G16" s="113">
        <f t="shared" si="2"/>
        <v>0</v>
      </c>
      <c r="H16" s="72">
        <v>0</v>
      </c>
      <c r="I16" s="261">
        <f t="shared" si="3"/>
        <v>0</v>
      </c>
      <c r="J16" s="261">
        <f t="shared" si="4"/>
        <v>0</v>
      </c>
      <c r="K16" s="113">
        <f t="shared" si="5"/>
        <v>0</v>
      </c>
      <c r="L16" s="190"/>
      <c r="M16" s="262"/>
    </row>
    <row r="17" spans="2:13" x14ac:dyDescent="0.2">
      <c r="B17" s="347" t="s">
        <v>555</v>
      </c>
      <c r="C17" s="193" t="s">
        <v>367</v>
      </c>
      <c r="D17" s="72">
        <v>0</v>
      </c>
      <c r="E17" s="261">
        <f t="shared" si="0"/>
        <v>0</v>
      </c>
      <c r="F17" s="261">
        <f t="shared" si="1"/>
        <v>0</v>
      </c>
      <c r="G17" s="113">
        <f t="shared" si="2"/>
        <v>0</v>
      </c>
      <c r="H17" s="72">
        <v>0</v>
      </c>
      <c r="I17" s="261">
        <f t="shared" si="3"/>
        <v>0</v>
      </c>
      <c r="J17" s="261">
        <f t="shared" si="4"/>
        <v>0</v>
      </c>
      <c r="K17" s="113">
        <f t="shared" si="5"/>
        <v>0</v>
      </c>
      <c r="L17" s="190"/>
      <c r="M17" s="262"/>
    </row>
    <row r="18" spans="2:13" x14ac:dyDescent="0.2">
      <c r="B18" s="347" t="s">
        <v>555</v>
      </c>
      <c r="C18" s="112" t="s">
        <v>454</v>
      </c>
      <c r="D18" s="72">
        <v>0</v>
      </c>
      <c r="E18" s="261">
        <f t="shared" si="0"/>
        <v>0</v>
      </c>
      <c r="F18" s="261">
        <f t="shared" si="1"/>
        <v>0</v>
      </c>
      <c r="G18" s="113">
        <f t="shared" si="2"/>
        <v>0</v>
      </c>
      <c r="H18" s="72">
        <v>0</v>
      </c>
      <c r="I18" s="261">
        <f t="shared" si="3"/>
        <v>0</v>
      </c>
      <c r="J18" s="261">
        <f t="shared" si="4"/>
        <v>0</v>
      </c>
      <c r="K18" s="113">
        <f t="shared" si="5"/>
        <v>0</v>
      </c>
      <c r="L18" s="190"/>
      <c r="M18" s="262"/>
    </row>
    <row r="19" spans="2:13" x14ac:dyDescent="0.2">
      <c r="B19" s="347" t="s">
        <v>555</v>
      </c>
      <c r="C19" s="112" t="s">
        <v>369</v>
      </c>
      <c r="D19" s="72">
        <v>0</v>
      </c>
      <c r="E19" s="261">
        <f t="shared" si="0"/>
        <v>0</v>
      </c>
      <c r="F19" s="261">
        <f t="shared" si="1"/>
        <v>0</v>
      </c>
      <c r="G19" s="113">
        <f t="shared" si="2"/>
        <v>0</v>
      </c>
      <c r="H19" s="72">
        <v>0</v>
      </c>
      <c r="I19" s="261">
        <f t="shared" si="3"/>
        <v>0</v>
      </c>
      <c r="J19" s="261">
        <f t="shared" si="4"/>
        <v>0</v>
      </c>
      <c r="K19" s="113">
        <f t="shared" si="5"/>
        <v>0</v>
      </c>
      <c r="L19" s="190"/>
      <c r="M19" s="262"/>
    </row>
    <row r="20" spans="2:13" x14ac:dyDescent="0.2">
      <c r="B20" s="347" t="s">
        <v>555</v>
      </c>
      <c r="C20" s="112" t="s">
        <v>370</v>
      </c>
      <c r="D20" s="72">
        <v>2.8549171714647569E-4</v>
      </c>
      <c r="E20" s="261">
        <f t="shared" si="0"/>
        <v>6008.6447706146946</v>
      </c>
      <c r="F20" s="261">
        <f t="shared" si="1"/>
        <v>0</v>
      </c>
      <c r="G20" s="113">
        <f t="shared" si="2"/>
        <v>6008.6447706146946</v>
      </c>
      <c r="H20" s="72">
        <v>0</v>
      </c>
      <c r="I20" s="261">
        <f t="shared" si="3"/>
        <v>0</v>
      </c>
      <c r="J20" s="261">
        <f t="shared" si="4"/>
        <v>0</v>
      </c>
      <c r="K20" s="113">
        <f t="shared" si="5"/>
        <v>0</v>
      </c>
      <c r="L20" s="190"/>
      <c r="M20" s="262"/>
    </row>
    <row r="21" spans="2:13" x14ac:dyDescent="0.2">
      <c r="B21" s="347" t="s">
        <v>555</v>
      </c>
      <c r="C21" s="112" t="s">
        <v>371</v>
      </c>
      <c r="D21" s="72">
        <v>0</v>
      </c>
      <c r="E21" s="261">
        <f t="shared" si="0"/>
        <v>0</v>
      </c>
      <c r="F21" s="261">
        <f t="shared" si="1"/>
        <v>0</v>
      </c>
      <c r="G21" s="113">
        <f t="shared" si="2"/>
        <v>0</v>
      </c>
      <c r="H21" s="72">
        <v>5.6340316513945872E-4</v>
      </c>
      <c r="I21" s="261">
        <f t="shared" si="3"/>
        <v>11648.02955613134</v>
      </c>
      <c r="J21" s="261">
        <f t="shared" si="4"/>
        <v>0</v>
      </c>
      <c r="K21" s="113">
        <f t="shared" si="5"/>
        <v>11648.02955613134</v>
      </c>
      <c r="L21" s="190"/>
      <c r="M21" s="262"/>
    </row>
    <row r="22" spans="2:13" x14ac:dyDescent="0.2">
      <c r="B22" s="347" t="s">
        <v>555</v>
      </c>
      <c r="C22" s="112" t="s">
        <v>311</v>
      </c>
      <c r="D22" s="72">
        <v>2.7639281576089206E-2</v>
      </c>
      <c r="E22" s="261">
        <f t="shared" si="0"/>
        <v>581714.33611332579</v>
      </c>
      <c r="F22" s="261">
        <f t="shared" si="1"/>
        <v>0</v>
      </c>
      <c r="G22" s="113">
        <f t="shared" si="2"/>
        <v>581714.33611332579</v>
      </c>
      <c r="H22" s="72">
        <v>1.684847210586562E-3</v>
      </c>
      <c r="I22" s="261">
        <f t="shared" si="3"/>
        <v>34833.226578732341</v>
      </c>
      <c r="J22" s="261">
        <f t="shared" si="4"/>
        <v>0</v>
      </c>
      <c r="K22" s="113">
        <f t="shared" si="5"/>
        <v>34833.226578732341</v>
      </c>
      <c r="L22" s="190"/>
      <c r="M22" s="262"/>
    </row>
    <row r="23" spans="2:13" x14ac:dyDescent="0.2">
      <c r="B23" s="286"/>
      <c r="C23" s="185" t="s">
        <v>250</v>
      </c>
      <c r="D23" s="118">
        <f>SUM(D13:D22)</f>
        <v>1</v>
      </c>
      <c r="E23" s="114">
        <f>'2.1 Profit &amp; Loss by component'!D18-'2.1 Profit &amp; Loss by component'!D15-'2.1 Profit &amp; Loss by component'!D14</f>
        <v>21046651.828192521</v>
      </c>
      <c r="F23" s="114">
        <f>'2.1 Profit &amp; Loss by component'!E18-'2.1 Profit &amp; Loss by component'!E14</f>
        <v>0</v>
      </c>
      <c r="G23" s="114">
        <f>SUM(G13:G22)</f>
        <v>21046651.828192525</v>
      </c>
      <c r="H23" s="118">
        <f>SUM(H13:H22)</f>
        <v>1</v>
      </c>
      <c r="I23" s="114">
        <f>'2.1 Profit &amp; Loss by component'!G18-'2.1 Profit &amp; Loss by component'!G14-'2.1 Profit &amp; Loss by component'!G15</f>
        <v>20674412.706304397</v>
      </c>
      <c r="J23" s="114">
        <f>'2.1 Profit &amp; Loss by component'!H18-'2.1 Profit &amp; Loss by component'!H14-'2.1 Profit &amp; Loss by component'!H15</f>
        <v>0</v>
      </c>
      <c r="K23" s="114">
        <f>SUM(K13:K22)</f>
        <v>20674412.706304397</v>
      </c>
      <c r="L23" s="190"/>
      <c r="M23" s="190"/>
    </row>
    <row r="24" spans="2:13" x14ac:dyDescent="0.2">
      <c r="B24" s="187"/>
      <c r="C24" s="260" t="s">
        <v>242</v>
      </c>
      <c r="D24" s="111"/>
      <c r="E24" s="111"/>
      <c r="F24" s="111"/>
      <c r="G24" s="111"/>
      <c r="H24" s="111"/>
      <c r="I24" s="111"/>
      <c r="J24" s="111"/>
      <c r="K24" s="111"/>
      <c r="L24" s="190"/>
      <c r="M24" s="190"/>
    </row>
    <row r="25" spans="2:13" x14ac:dyDescent="0.2">
      <c r="B25" s="347" t="s">
        <v>555</v>
      </c>
      <c r="C25" s="112" t="s">
        <v>363</v>
      </c>
      <c r="D25" s="72">
        <v>0</v>
      </c>
      <c r="E25" s="261">
        <f t="shared" ref="E25:F34" si="6">$D25*E$35</f>
        <v>0</v>
      </c>
      <c r="F25" s="261">
        <f t="shared" si="6"/>
        <v>0</v>
      </c>
      <c r="G25" s="113">
        <f t="shared" ref="G25:G34" si="7">SUM(E25:F25)</f>
        <v>0</v>
      </c>
      <c r="H25" s="72">
        <v>0</v>
      </c>
      <c r="I25" s="261">
        <f t="shared" ref="I25:I34" si="8">H25*$I$35</f>
        <v>0</v>
      </c>
      <c r="J25" s="261">
        <f t="shared" ref="J25:J34" si="9">H25*$J$35</f>
        <v>0</v>
      </c>
      <c r="K25" s="113">
        <f t="shared" ref="K25:K34" si="10">SUM(I25:J25)</f>
        <v>0</v>
      </c>
      <c r="L25" s="190"/>
      <c r="M25" s="190"/>
    </row>
    <row r="26" spans="2:13" x14ac:dyDescent="0.2">
      <c r="B26" s="347" t="s">
        <v>555</v>
      </c>
      <c r="C26" s="112" t="s">
        <v>453</v>
      </c>
      <c r="D26" s="72">
        <v>0</v>
      </c>
      <c r="E26" s="261">
        <f t="shared" si="6"/>
        <v>0</v>
      </c>
      <c r="F26" s="261">
        <f t="shared" si="6"/>
        <v>0</v>
      </c>
      <c r="G26" s="113">
        <f t="shared" si="7"/>
        <v>0</v>
      </c>
      <c r="H26" s="72">
        <v>0</v>
      </c>
      <c r="I26" s="261">
        <f t="shared" si="8"/>
        <v>0</v>
      </c>
      <c r="J26" s="261">
        <f t="shared" si="9"/>
        <v>0</v>
      </c>
      <c r="K26" s="113">
        <f t="shared" si="10"/>
        <v>0</v>
      </c>
      <c r="L26" s="190"/>
      <c r="M26" s="190"/>
    </row>
    <row r="27" spans="2:13" x14ac:dyDescent="0.2">
      <c r="B27" s="347" t="s">
        <v>555</v>
      </c>
      <c r="C27" s="112" t="s">
        <v>365</v>
      </c>
      <c r="D27" s="72">
        <v>0</v>
      </c>
      <c r="E27" s="261">
        <f t="shared" si="6"/>
        <v>0</v>
      </c>
      <c r="F27" s="261">
        <f t="shared" si="6"/>
        <v>0</v>
      </c>
      <c r="G27" s="113">
        <f t="shared" si="7"/>
        <v>0</v>
      </c>
      <c r="H27" s="72">
        <v>0</v>
      </c>
      <c r="I27" s="261">
        <f t="shared" si="8"/>
        <v>0</v>
      </c>
      <c r="J27" s="261">
        <f t="shared" si="9"/>
        <v>0</v>
      </c>
      <c r="K27" s="113">
        <f t="shared" si="10"/>
        <v>0</v>
      </c>
      <c r="L27" s="190"/>
      <c r="M27" s="190"/>
    </row>
    <row r="28" spans="2:13" ht="12.75" customHeight="1" x14ac:dyDescent="0.2">
      <c r="B28" s="347" t="s">
        <v>555</v>
      </c>
      <c r="C28" s="112" t="s">
        <v>366</v>
      </c>
      <c r="D28" s="72">
        <v>0</v>
      </c>
      <c r="E28" s="261">
        <f t="shared" si="6"/>
        <v>0</v>
      </c>
      <c r="F28" s="261">
        <f t="shared" si="6"/>
        <v>0</v>
      </c>
      <c r="G28" s="113">
        <f t="shared" si="7"/>
        <v>0</v>
      </c>
      <c r="H28" s="72">
        <v>0</v>
      </c>
      <c r="I28" s="261">
        <f t="shared" si="8"/>
        <v>0</v>
      </c>
      <c r="J28" s="261">
        <f t="shared" si="9"/>
        <v>0</v>
      </c>
      <c r="K28" s="113">
        <f t="shared" si="10"/>
        <v>0</v>
      </c>
      <c r="L28" s="190"/>
      <c r="M28" s="190"/>
    </row>
    <row r="29" spans="2:13" ht="12.75" customHeight="1" x14ac:dyDescent="0.2">
      <c r="B29" s="347" t="s">
        <v>555</v>
      </c>
      <c r="C29" s="193" t="s">
        <v>367</v>
      </c>
      <c r="D29" s="72">
        <v>0</v>
      </c>
      <c r="E29" s="261">
        <f t="shared" si="6"/>
        <v>0</v>
      </c>
      <c r="F29" s="261">
        <f t="shared" si="6"/>
        <v>0</v>
      </c>
      <c r="G29" s="113">
        <f t="shared" si="7"/>
        <v>0</v>
      </c>
      <c r="H29" s="72">
        <v>0</v>
      </c>
      <c r="I29" s="261">
        <f t="shared" si="8"/>
        <v>0</v>
      </c>
      <c r="J29" s="261">
        <f t="shared" si="9"/>
        <v>0</v>
      </c>
      <c r="K29" s="113">
        <f t="shared" si="10"/>
        <v>0</v>
      </c>
      <c r="L29" s="190"/>
      <c r="M29" s="190"/>
    </row>
    <row r="30" spans="2:13" x14ac:dyDescent="0.2">
      <c r="B30" s="347" t="s">
        <v>555</v>
      </c>
      <c r="C30" s="112" t="s">
        <v>454</v>
      </c>
      <c r="D30" s="72">
        <v>0</v>
      </c>
      <c r="E30" s="261">
        <f t="shared" si="6"/>
        <v>0</v>
      </c>
      <c r="F30" s="261">
        <f t="shared" si="6"/>
        <v>0</v>
      </c>
      <c r="G30" s="113">
        <f t="shared" si="7"/>
        <v>0</v>
      </c>
      <c r="H30" s="72">
        <v>0</v>
      </c>
      <c r="I30" s="261">
        <f t="shared" si="8"/>
        <v>0</v>
      </c>
      <c r="J30" s="261">
        <f t="shared" si="9"/>
        <v>0</v>
      </c>
      <c r="K30" s="113">
        <f t="shared" si="10"/>
        <v>0</v>
      </c>
      <c r="L30" s="190"/>
      <c r="M30" s="190"/>
    </row>
    <row r="31" spans="2:13" x14ac:dyDescent="0.2">
      <c r="B31" s="347" t="s">
        <v>555</v>
      </c>
      <c r="C31" s="112" t="s">
        <v>369</v>
      </c>
      <c r="D31" s="72">
        <v>0</v>
      </c>
      <c r="E31" s="261">
        <f t="shared" si="6"/>
        <v>0</v>
      </c>
      <c r="F31" s="261">
        <f t="shared" si="6"/>
        <v>0</v>
      </c>
      <c r="G31" s="113">
        <f t="shared" si="7"/>
        <v>0</v>
      </c>
      <c r="H31" s="72">
        <v>0</v>
      </c>
      <c r="I31" s="261">
        <f t="shared" si="8"/>
        <v>0</v>
      </c>
      <c r="J31" s="261">
        <f t="shared" si="9"/>
        <v>0</v>
      </c>
      <c r="K31" s="113">
        <f t="shared" si="10"/>
        <v>0</v>
      </c>
      <c r="L31" s="190"/>
      <c r="M31" s="190"/>
    </row>
    <row r="32" spans="2:13" x14ac:dyDescent="0.2">
      <c r="B32" s="347" t="s">
        <v>555</v>
      </c>
      <c r="C32" s="112" t="s">
        <v>370</v>
      </c>
      <c r="D32" s="72">
        <v>0</v>
      </c>
      <c r="E32" s="261">
        <f t="shared" si="6"/>
        <v>0</v>
      </c>
      <c r="F32" s="261">
        <f t="shared" si="6"/>
        <v>0</v>
      </c>
      <c r="G32" s="113">
        <f t="shared" si="7"/>
        <v>0</v>
      </c>
      <c r="H32" s="72">
        <v>0</v>
      </c>
      <c r="I32" s="261">
        <f t="shared" si="8"/>
        <v>0</v>
      </c>
      <c r="J32" s="261">
        <f t="shared" si="9"/>
        <v>0</v>
      </c>
      <c r="K32" s="113">
        <f t="shared" si="10"/>
        <v>0</v>
      </c>
      <c r="L32" s="190"/>
      <c r="M32" s="190"/>
    </row>
    <row r="33" spans="2:13" x14ac:dyDescent="0.2">
      <c r="B33" s="347" t="s">
        <v>555</v>
      </c>
      <c r="C33" s="112" t="s">
        <v>371</v>
      </c>
      <c r="D33" s="72">
        <v>0</v>
      </c>
      <c r="E33" s="261">
        <f t="shared" si="6"/>
        <v>0</v>
      </c>
      <c r="F33" s="261">
        <f t="shared" si="6"/>
        <v>0</v>
      </c>
      <c r="G33" s="113">
        <f t="shared" si="7"/>
        <v>0</v>
      </c>
      <c r="H33" s="72">
        <v>0</v>
      </c>
      <c r="I33" s="261">
        <f t="shared" si="8"/>
        <v>0</v>
      </c>
      <c r="J33" s="261">
        <f t="shared" si="9"/>
        <v>0</v>
      </c>
      <c r="K33" s="113">
        <f t="shared" si="10"/>
        <v>0</v>
      </c>
      <c r="L33" s="190"/>
      <c r="M33" s="190"/>
    </row>
    <row r="34" spans="2:13" x14ac:dyDescent="0.2">
      <c r="B34" s="347" t="s">
        <v>555</v>
      </c>
      <c r="C34" s="112" t="s">
        <v>311</v>
      </c>
      <c r="D34" s="72">
        <v>0</v>
      </c>
      <c r="E34" s="261">
        <f t="shared" si="6"/>
        <v>0</v>
      </c>
      <c r="F34" s="261">
        <f t="shared" si="6"/>
        <v>0</v>
      </c>
      <c r="G34" s="113">
        <f t="shared" si="7"/>
        <v>0</v>
      </c>
      <c r="H34" s="72">
        <v>0</v>
      </c>
      <c r="I34" s="261">
        <f t="shared" si="8"/>
        <v>0</v>
      </c>
      <c r="J34" s="261">
        <f t="shared" si="9"/>
        <v>0</v>
      </c>
      <c r="K34" s="113">
        <f t="shared" si="10"/>
        <v>0</v>
      </c>
      <c r="L34" s="190"/>
      <c r="M34" s="190"/>
    </row>
    <row r="35" spans="2:13" x14ac:dyDescent="0.2">
      <c r="B35" s="286"/>
      <c r="C35" s="185" t="s">
        <v>243</v>
      </c>
      <c r="D35" s="118">
        <f>SUM(D25:D34)</f>
        <v>0</v>
      </c>
      <c r="E35" s="114">
        <f>'2.1 Profit &amp; Loss by component'!D14+'2.1 Profit &amp; Loss by component'!D15</f>
        <v>0</v>
      </c>
      <c r="F35" s="114">
        <f>'2.1 Profit &amp; Loss by component'!E14+'2.1 Profit &amp; Loss by component'!E15</f>
        <v>0</v>
      </c>
      <c r="G35" s="114">
        <f>SUM(G25:G34)</f>
        <v>0</v>
      </c>
      <c r="H35" s="118">
        <f>SUM(H25:H34)</f>
        <v>0</v>
      </c>
      <c r="I35" s="114">
        <f>'2.1 Profit &amp; Loss by component'!G14+'2.1 Profit &amp; Loss by component'!G15</f>
        <v>0</v>
      </c>
      <c r="J35" s="114">
        <f>'2.1 Profit &amp; Loss by component'!H14</f>
        <v>0</v>
      </c>
      <c r="K35" s="114">
        <f>SUM(K25:K34)</f>
        <v>0</v>
      </c>
      <c r="L35" s="190"/>
      <c r="M35" s="190"/>
    </row>
    <row r="36" spans="2:13" x14ac:dyDescent="0.2">
      <c r="B36" s="187"/>
      <c r="C36" s="260" t="s">
        <v>38</v>
      </c>
      <c r="D36" s="111"/>
      <c r="E36" s="111"/>
      <c r="F36" s="111"/>
      <c r="G36" s="111"/>
      <c r="H36" s="111"/>
      <c r="I36" s="111"/>
      <c r="J36" s="111"/>
      <c r="K36" s="111"/>
      <c r="L36" s="190"/>
      <c r="M36" s="190"/>
    </row>
    <row r="37" spans="2:13" x14ac:dyDescent="0.2">
      <c r="B37" s="347" t="s">
        <v>555</v>
      </c>
      <c r="C37" s="112" t="s">
        <v>363</v>
      </c>
      <c r="D37" s="72">
        <v>0</v>
      </c>
      <c r="E37" s="261">
        <f>$D37*'2.4 Indirect revenue'!$G$42</f>
        <v>0</v>
      </c>
      <c r="F37" s="261">
        <f>$D37*'2.4 Indirect revenue'!$H$42</f>
        <v>0</v>
      </c>
      <c r="G37" s="113">
        <f t="shared" ref="G37:G46" si="11">SUM(E37:F37)</f>
        <v>0</v>
      </c>
      <c r="H37" s="72">
        <v>0</v>
      </c>
      <c r="I37" s="261">
        <f t="shared" ref="I37:I46" si="12">H37*$I$47</f>
        <v>0</v>
      </c>
      <c r="J37" s="261">
        <f t="shared" ref="J37:J46" si="13">H37*$J$47</f>
        <v>0</v>
      </c>
      <c r="K37" s="113">
        <f t="shared" ref="K37:K46" si="14">SUM(I37:J37)</f>
        <v>0</v>
      </c>
      <c r="L37" s="190"/>
      <c r="M37" s="190"/>
    </row>
    <row r="38" spans="2:13" x14ac:dyDescent="0.2">
      <c r="B38" s="347" t="s">
        <v>555</v>
      </c>
      <c r="C38" s="112" t="s">
        <v>453</v>
      </c>
      <c r="D38" s="72">
        <v>0</v>
      </c>
      <c r="E38" s="261">
        <f>$D38*'2.4 Indirect revenue'!$G$42</f>
        <v>0</v>
      </c>
      <c r="F38" s="261">
        <f>$D38*'2.4 Indirect revenue'!$H$42</f>
        <v>0</v>
      </c>
      <c r="G38" s="113">
        <f t="shared" si="11"/>
        <v>0</v>
      </c>
      <c r="H38" s="72">
        <v>0</v>
      </c>
      <c r="I38" s="261">
        <f t="shared" si="12"/>
        <v>0</v>
      </c>
      <c r="J38" s="261">
        <f t="shared" si="13"/>
        <v>0</v>
      </c>
      <c r="K38" s="113">
        <f t="shared" si="14"/>
        <v>0</v>
      </c>
      <c r="L38" s="190"/>
      <c r="M38" s="190"/>
    </row>
    <row r="39" spans="2:13" x14ac:dyDescent="0.2">
      <c r="B39" s="347" t="s">
        <v>555</v>
      </c>
      <c r="C39" s="112" t="s">
        <v>365</v>
      </c>
      <c r="D39" s="72">
        <v>0</v>
      </c>
      <c r="E39" s="261">
        <f>$D39*'2.4 Indirect revenue'!$G$42</f>
        <v>0</v>
      </c>
      <c r="F39" s="261">
        <f>$D39*'2.4 Indirect revenue'!$H$42</f>
        <v>0</v>
      </c>
      <c r="G39" s="113">
        <f t="shared" si="11"/>
        <v>0</v>
      </c>
      <c r="H39" s="72">
        <v>0</v>
      </c>
      <c r="I39" s="261">
        <f t="shared" si="12"/>
        <v>0</v>
      </c>
      <c r="J39" s="261">
        <f t="shared" si="13"/>
        <v>0</v>
      </c>
      <c r="K39" s="113">
        <f t="shared" si="14"/>
        <v>0</v>
      </c>
      <c r="L39" s="190"/>
      <c r="M39" s="190"/>
    </row>
    <row r="40" spans="2:13" x14ac:dyDescent="0.2">
      <c r="B40" s="347" t="s">
        <v>555</v>
      </c>
      <c r="C40" s="112" t="s">
        <v>366</v>
      </c>
      <c r="D40" s="72">
        <v>0</v>
      </c>
      <c r="E40" s="261">
        <f>$D40*'2.4 Indirect revenue'!$G$42</f>
        <v>0</v>
      </c>
      <c r="F40" s="261">
        <f>$D40*'2.4 Indirect revenue'!$H$42</f>
        <v>0</v>
      </c>
      <c r="G40" s="113">
        <f t="shared" si="11"/>
        <v>0</v>
      </c>
      <c r="H40" s="72">
        <v>0</v>
      </c>
      <c r="I40" s="261">
        <f t="shared" si="12"/>
        <v>0</v>
      </c>
      <c r="J40" s="261">
        <f t="shared" si="13"/>
        <v>0</v>
      </c>
      <c r="K40" s="113">
        <f t="shared" si="14"/>
        <v>0</v>
      </c>
      <c r="L40" s="190"/>
      <c r="M40" s="190"/>
    </row>
    <row r="41" spans="2:13" x14ac:dyDescent="0.2">
      <c r="B41" s="347" t="s">
        <v>555</v>
      </c>
      <c r="C41" s="193" t="s">
        <v>367</v>
      </c>
      <c r="D41" s="72">
        <v>0</v>
      </c>
      <c r="E41" s="261">
        <f>$D41*'2.4 Indirect revenue'!$G$42</f>
        <v>0</v>
      </c>
      <c r="F41" s="261">
        <f>$D41*'2.4 Indirect revenue'!$H$42</f>
        <v>0</v>
      </c>
      <c r="G41" s="113">
        <f t="shared" si="11"/>
        <v>0</v>
      </c>
      <c r="H41" s="72">
        <v>0</v>
      </c>
      <c r="I41" s="261">
        <f t="shared" si="12"/>
        <v>0</v>
      </c>
      <c r="J41" s="261">
        <f t="shared" si="13"/>
        <v>0</v>
      </c>
      <c r="K41" s="113">
        <f t="shared" si="14"/>
        <v>0</v>
      </c>
      <c r="L41" s="190"/>
      <c r="M41" s="190"/>
    </row>
    <row r="42" spans="2:13" x14ac:dyDescent="0.2">
      <c r="B42" s="347" t="s">
        <v>555</v>
      </c>
      <c r="C42" s="112" t="s">
        <v>454</v>
      </c>
      <c r="D42" s="72">
        <v>0</v>
      </c>
      <c r="E42" s="261">
        <f>$D42*'2.4 Indirect revenue'!$G$42</f>
        <v>0</v>
      </c>
      <c r="F42" s="261">
        <f>$D42*'2.4 Indirect revenue'!$H$42</f>
        <v>0</v>
      </c>
      <c r="G42" s="113">
        <f t="shared" si="11"/>
        <v>0</v>
      </c>
      <c r="H42" s="72">
        <v>0</v>
      </c>
      <c r="I42" s="261">
        <f t="shared" si="12"/>
        <v>0</v>
      </c>
      <c r="J42" s="261">
        <f t="shared" si="13"/>
        <v>0</v>
      </c>
      <c r="K42" s="113">
        <f t="shared" si="14"/>
        <v>0</v>
      </c>
      <c r="L42" s="190"/>
      <c r="M42" s="190"/>
    </row>
    <row r="43" spans="2:13" x14ac:dyDescent="0.2">
      <c r="B43" s="347" t="s">
        <v>555</v>
      </c>
      <c r="C43" s="112" t="s">
        <v>369</v>
      </c>
      <c r="D43" s="72">
        <v>0</v>
      </c>
      <c r="E43" s="261">
        <f>$D43*'2.4 Indirect revenue'!$G$42</f>
        <v>0</v>
      </c>
      <c r="F43" s="261">
        <f>$D43*'2.4 Indirect revenue'!$H$42</f>
        <v>0</v>
      </c>
      <c r="G43" s="113">
        <f t="shared" si="11"/>
        <v>0</v>
      </c>
      <c r="H43" s="72">
        <v>0</v>
      </c>
      <c r="I43" s="261">
        <f t="shared" si="12"/>
        <v>0</v>
      </c>
      <c r="J43" s="261">
        <f t="shared" si="13"/>
        <v>0</v>
      </c>
      <c r="K43" s="113">
        <f t="shared" si="14"/>
        <v>0</v>
      </c>
      <c r="L43" s="190"/>
      <c r="M43" s="190"/>
    </row>
    <row r="44" spans="2:13" x14ac:dyDescent="0.2">
      <c r="B44" s="347" t="s">
        <v>555</v>
      </c>
      <c r="C44" s="112" t="s">
        <v>370</v>
      </c>
      <c r="D44" s="72">
        <v>0</v>
      </c>
      <c r="E44" s="261">
        <f>$D44*'2.4 Indirect revenue'!$G$42</f>
        <v>0</v>
      </c>
      <c r="F44" s="261">
        <f>$D44*'2.4 Indirect revenue'!$H$42</f>
        <v>0</v>
      </c>
      <c r="G44" s="113">
        <f t="shared" si="11"/>
        <v>0</v>
      </c>
      <c r="H44" s="72">
        <v>0</v>
      </c>
      <c r="I44" s="261">
        <f t="shared" si="12"/>
        <v>0</v>
      </c>
      <c r="J44" s="261">
        <f t="shared" si="13"/>
        <v>0</v>
      </c>
      <c r="K44" s="113">
        <f t="shared" si="14"/>
        <v>0</v>
      </c>
      <c r="L44" s="190"/>
      <c r="M44" s="190"/>
    </row>
    <row r="45" spans="2:13" x14ac:dyDescent="0.2">
      <c r="B45" s="347" t="s">
        <v>555</v>
      </c>
      <c r="C45" s="112" t="s">
        <v>371</v>
      </c>
      <c r="D45" s="72">
        <v>0</v>
      </c>
      <c r="E45" s="261">
        <f>$D45*'2.4 Indirect revenue'!$G$42</f>
        <v>0</v>
      </c>
      <c r="F45" s="261">
        <f>$D45*'2.4 Indirect revenue'!$H$42</f>
        <v>0</v>
      </c>
      <c r="G45" s="113">
        <f t="shared" si="11"/>
        <v>0</v>
      </c>
      <c r="H45" s="72">
        <v>0</v>
      </c>
      <c r="I45" s="261">
        <f t="shared" si="12"/>
        <v>0</v>
      </c>
      <c r="J45" s="261">
        <f t="shared" si="13"/>
        <v>0</v>
      </c>
      <c r="K45" s="113">
        <f t="shared" si="14"/>
        <v>0</v>
      </c>
      <c r="L45" s="190"/>
      <c r="M45" s="190"/>
    </row>
    <row r="46" spans="2:13" x14ac:dyDescent="0.2">
      <c r="B46" s="347" t="s">
        <v>555</v>
      </c>
      <c r="C46" s="112" t="s">
        <v>311</v>
      </c>
      <c r="D46" s="72">
        <v>0</v>
      </c>
      <c r="E46" s="261">
        <f>$D46*'2.4 Indirect revenue'!$G$42</f>
        <v>0</v>
      </c>
      <c r="F46" s="261">
        <f>$D46*'2.4 Indirect revenue'!$H$42</f>
        <v>0</v>
      </c>
      <c r="G46" s="113">
        <f t="shared" si="11"/>
        <v>0</v>
      </c>
      <c r="H46" s="72">
        <v>0</v>
      </c>
      <c r="I46" s="261">
        <f t="shared" si="12"/>
        <v>0</v>
      </c>
      <c r="J46" s="261">
        <f t="shared" si="13"/>
        <v>0</v>
      </c>
      <c r="K46" s="113">
        <f t="shared" si="14"/>
        <v>0</v>
      </c>
      <c r="L46" s="190"/>
      <c r="M46" s="190"/>
    </row>
    <row r="47" spans="2:13" x14ac:dyDescent="0.2">
      <c r="B47" s="286"/>
      <c r="C47" s="185" t="s">
        <v>244</v>
      </c>
      <c r="D47" s="118">
        <f>SUM(D37:D46)</f>
        <v>0</v>
      </c>
      <c r="E47" s="114">
        <f>'2.1 Profit &amp; Loss by component'!D21</f>
        <v>0</v>
      </c>
      <c r="F47" s="114">
        <f>'2.1 Profit &amp; Loss by component'!E21</f>
        <v>0</v>
      </c>
      <c r="G47" s="114">
        <f>SUM(G37:G46)</f>
        <v>0</v>
      </c>
      <c r="H47" s="118">
        <f>SUM(H37:H46)</f>
        <v>0</v>
      </c>
      <c r="I47" s="114">
        <f>'2.1 Profit &amp; Loss by component'!G21</f>
        <v>0</v>
      </c>
      <c r="J47" s="114">
        <f>'2.1 Profit &amp; Loss by component'!H21</f>
        <v>0</v>
      </c>
      <c r="K47" s="114">
        <f>SUM(K37:K46)</f>
        <v>0</v>
      </c>
      <c r="L47" s="190"/>
      <c r="M47" s="190"/>
    </row>
    <row r="48" spans="2:13" ht="14.25" x14ac:dyDescent="0.2">
      <c r="B48" s="286"/>
      <c r="C48" s="185" t="s">
        <v>15</v>
      </c>
      <c r="D48" s="263"/>
      <c r="E48" s="114">
        <f>E47+E35+E23</f>
        <v>21046651.828192521</v>
      </c>
      <c r="F48" s="114">
        <f>F47+F35+F23</f>
        <v>0</v>
      </c>
      <c r="G48" s="114">
        <f>G47+G35+G23</f>
        <v>21046651.828192525</v>
      </c>
      <c r="H48" s="263"/>
      <c r="I48" s="114">
        <f>I47+I35+I23</f>
        <v>20674412.706304397</v>
      </c>
      <c r="J48" s="114">
        <f>J47+J35+J23</f>
        <v>0</v>
      </c>
      <c r="K48" s="114">
        <f>K47+K35+K23</f>
        <v>20674412.706304397</v>
      </c>
      <c r="L48" s="190"/>
      <c r="M48" s="190"/>
    </row>
    <row r="49" spans="2:13" x14ac:dyDescent="0.2">
      <c r="B49" s="190"/>
      <c r="C49" s="190"/>
      <c r="D49" s="190"/>
      <c r="E49" s="190"/>
      <c r="F49" s="190"/>
      <c r="G49" s="190"/>
      <c r="H49" s="190"/>
      <c r="I49" s="190"/>
      <c r="J49" s="190"/>
      <c r="K49" s="190"/>
      <c r="L49" s="190"/>
      <c r="M49" s="190"/>
    </row>
    <row r="50" spans="2:13" ht="15.75" x14ac:dyDescent="0.2">
      <c r="B50" s="249" t="s">
        <v>267</v>
      </c>
      <c r="C50" s="190"/>
      <c r="D50" s="190"/>
      <c r="E50" s="190"/>
      <c r="F50" s="190"/>
      <c r="G50" s="190"/>
      <c r="H50" s="190"/>
      <c r="I50" s="190"/>
      <c r="J50" s="190"/>
      <c r="K50" s="190"/>
      <c r="L50" s="190"/>
      <c r="M50" s="190"/>
    </row>
    <row r="51" spans="2:13" x14ac:dyDescent="0.2">
      <c r="B51" s="250"/>
      <c r="C51" s="251"/>
      <c r="D51" s="252"/>
      <c r="E51" s="252"/>
      <c r="F51" s="252"/>
      <c r="G51" s="252"/>
      <c r="H51" s="252"/>
      <c r="I51" s="252"/>
      <c r="J51" s="252"/>
      <c r="K51" s="252"/>
      <c r="L51" s="190"/>
      <c r="M51" s="190"/>
    </row>
    <row r="52" spans="2:13" x14ac:dyDescent="0.2">
      <c r="B52" s="253"/>
      <c r="C52" s="253"/>
      <c r="D52" s="429" t="s">
        <v>129</v>
      </c>
      <c r="E52" s="430"/>
      <c r="F52" s="430"/>
      <c r="G52" s="431"/>
      <c r="H52" s="429" t="s">
        <v>130</v>
      </c>
      <c r="I52" s="430"/>
      <c r="J52" s="430"/>
      <c r="K52" s="431"/>
      <c r="L52" s="190"/>
      <c r="M52" s="190"/>
    </row>
    <row r="53" spans="2:13" ht="38.25" x14ac:dyDescent="0.2">
      <c r="B53" s="44" t="s">
        <v>307</v>
      </c>
      <c r="C53" s="253" t="s">
        <v>13</v>
      </c>
      <c r="D53" s="219" t="s">
        <v>240</v>
      </c>
      <c r="E53" s="219" t="s">
        <v>41</v>
      </c>
      <c r="F53" s="219" t="s">
        <v>42</v>
      </c>
      <c r="G53" s="219" t="s">
        <v>18</v>
      </c>
      <c r="H53" s="219" t="s">
        <v>240</v>
      </c>
      <c r="I53" s="219" t="s">
        <v>41</v>
      </c>
      <c r="J53" s="219" t="s">
        <v>42</v>
      </c>
      <c r="K53" s="219" t="s">
        <v>18</v>
      </c>
      <c r="L53" s="190"/>
      <c r="M53" s="190"/>
    </row>
    <row r="54" spans="2:13" x14ac:dyDescent="0.2">
      <c r="B54" s="44"/>
      <c r="C54" s="253"/>
      <c r="D54" s="111" t="s">
        <v>241</v>
      </c>
      <c r="E54" s="111" t="s">
        <v>110</v>
      </c>
      <c r="F54" s="111" t="s">
        <v>110</v>
      </c>
      <c r="G54" s="111" t="s">
        <v>110</v>
      </c>
      <c r="H54" s="111" t="s">
        <v>241</v>
      </c>
      <c r="I54" s="111" t="s">
        <v>110</v>
      </c>
      <c r="J54" s="111" t="s">
        <v>110</v>
      </c>
      <c r="K54" s="111" t="s">
        <v>110</v>
      </c>
      <c r="L54" s="190"/>
      <c r="M54" s="190"/>
    </row>
    <row r="55" spans="2:13" x14ac:dyDescent="0.2">
      <c r="B55" s="187"/>
      <c r="C55" s="260" t="s">
        <v>259</v>
      </c>
      <c r="D55" s="111"/>
      <c r="E55" s="111"/>
      <c r="F55" s="111"/>
      <c r="G55" s="111"/>
      <c r="H55" s="111"/>
      <c r="I55" s="111"/>
      <c r="J55" s="111"/>
      <c r="K55" s="111"/>
      <c r="L55" s="190"/>
      <c r="M55" s="190"/>
    </row>
    <row r="56" spans="2:13" x14ac:dyDescent="0.2">
      <c r="B56" s="347" t="s">
        <v>555</v>
      </c>
      <c r="C56" s="112" t="s">
        <v>363</v>
      </c>
      <c r="D56" s="72">
        <v>0.79606145276576101</v>
      </c>
      <c r="E56" s="261">
        <f t="shared" ref="E56:E65" si="15">D56*$E$66</f>
        <v>1380543.3442341529</v>
      </c>
      <c r="F56" s="261">
        <f t="shared" ref="F56:F65" si="16">D56*$F$66</f>
        <v>0</v>
      </c>
      <c r="G56" s="113">
        <f t="shared" ref="G56:G65" si="17">SUM(E56:F56)</f>
        <v>1380543.3442341529</v>
      </c>
      <c r="H56" s="72">
        <v>0.8505729828923122</v>
      </c>
      <c r="I56" s="261">
        <f t="shared" ref="I56:I65" si="18">H56*$I$66</f>
        <v>1322567.0742856152</v>
      </c>
      <c r="J56" s="261">
        <f t="shared" ref="J56:J65" si="19">H56*$J$66</f>
        <v>0</v>
      </c>
      <c r="K56" s="113">
        <f t="shared" ref="K56:K65" si="20">SUM(I56:J56)</f>
        <v>1322567.0742856152</v>
      </c>
      <c r="L56" s="190"/>
      <c r="M56" s="190"/>
    </row>
    <row r="57" spans="2:13" x14ac:dyDescent="0.2">
      <c r="B57" s="347" t="s">
        <v>555</v>
      </c>
      <c r="C57" s="112" t="s">
        <v>453</v>
      </c>
      <c r="D57" s="72">
        <v>0</v>
      </c>
      <c r="E57" s="261">
        <f t="shared" si="15"/>
        <v>0</v>
      </c>
      <c r="F57" s="261">
        <f t="shared" si="16"/>
        <v>0</v>
      </c>
      <c r="G57" s="113">
        <f t="shared" si="17"/>
        <v>0</v>
      </c>
      <c r="H57" s="72">
        <v>0</v>
      </c>
      <c r="I57" s="261">
        <f t="shared" si="18"/>
        <v>0</v>
      </c>
      <c r="J57" s="261">
        <f t="shared" si="19"/>
        <v>0</v>
      </c>
      <c r="K57" s="113">
        <f t="shared" si="20"/>
        <v>0</v>
      </c>
      <c r="L57" s="190"/>
      <c r="M57" s="190"/>
    </row>
    <row r="58" spans="2:13" x14ac:dyDescent="0.2">
      <c r="B58" s="347" t="s">
        <v>555</v>
      </c>
      <c r="C58" s="112" t="s">
        <v>365</v>
      </c>
      <c r="D58" s="72">
        <v>0.17601377394100337</v>
      </c>
      <c r="E58" s="261">
        <f t="shared" si="15"/>
        <v>305246.08780333388</v>
      </c>
      <c r="F58" s="261">
        <f t="shared" si="16"/>
        <v>0</v>
      </c>
      <c r="G58" s="113">
        <f t="shared" si="17"/>
        <v>305246.08780333388</v>
      </c>
      <c r="H58" s="72">
        <v>0.14717876673196179</v>
      </c>
      <c r="I58" s="261">
        <f t="shared" si="18"/>
        <v>228850.19255108424</v>
      </c>
      <c r="J58" s="261">
        <f t="shared" si="19"/>
        <v>0</v>
      </c>
      <c r="K58" s="113">
        <f t="shared" si="20"/>
        <v>228850.19255108424</v>
      </c>
      <c r="L58" s="190"/>
      <c r="M58" s="190"/>
    </row>
    <row r="59" spans="2:13" x14ac:dyDescent="0.2">
      <c r="B59" s="347" t="s">
        <v>555</v>
      </c>
      <c r="C59" s="112" t="s">
        <v>366</v>
      </c>
      <c r="D59" s="72">
        <v>0</v>
      </c>
      <c r="E59" s="261">
        <f t="shared" si="15"/>
        <v>0</v>
      </c>
      <c r="F59" s="261">
        <f t="shared" si="16"/>
        <v>0</v>
      </c>
      <c r="G59" s="113">
        <f t="shared" si="17"/>
        <v>0</v>
      </c>
      <c r="H59" s="72">
        <v>0</v>
      </c>
      <c r="I59" s="261">
        <f t="shared" si="18"/>
        <v>0</v>
      </c>
      <c r="J59" s="261">
        <f t="shared" si="19"/>
        <v>0</v>
      </c>
      <c r="K59" s="113">
        <f t="shared" si="20"/>
        <v>0</v>
      </c>
      <c r="L59" s="190"/>
      <c r="M59" s="190"/>
    </row>
    <row r="60" spans="2:13" x14ac:dyDescent="0.2">
      <c r="B60" s="347" t="s">
        <v>555</v>
      </c>
      <c r="C60" s="193" t="s">
        <v>367</v>
      </c>
      <c r="D60" s="72">
        <v>0</v>
      </c>
      <c r="E60" s="261">
        <f t="shared" si="15"/>
        <v>0</v>
      </c>
      <c r="F60" s="261">
        <f t="shared" si="16"/>
        <v>0</v>
      </c>
      <c r="G60" s="113">
        <f t="shared" si="17"/>
        <v>0</v>
      </c>
      <c r="H60" s="72">
        <v>0</v>
      </c>
      <c r="I60" s="261">
        <f t="shared" si="18"/>
        <v>0</v>
      </c>
      <c r="J60" s="261">
        <f t="shared" si="19"/>
        <v>0</v>
      </c>
      <c r="K60" s="113">
        <f t="shared" si="20"/>
        <v>0</v>
      </c>
      <c r="L60" s="190"/>
      <c r="M60" s="190"/>
    </row>
    <row r="61" spans="2:13" x14ac:dyDescent="0.2">
      <c r="B61" s="347" t="s">
        <v>555</v>
      </c>
      <c r="C61" s="112" t="s">
        <v>454</v>
      </c>
      <c r="D61" s="72">
        <v>0</v>
      </c>
      <c r="E61" s="261">
        <f t="shared" si="15"/>
        <v>0</v>
      </c>
      <c r="F61" s="261">
        <f t="shared" si="16"/>
        <v>0</v>
      </c>
      <c r="G61" s="113">
        <f t="shared" si="17"/>
        <v>0</v>
      </c>
      <c r="H61" s="72">
        <v>0</v>
      </c>
      <c r="I61" s="261">
        <f t="shared" si="18"/>
        <v>0</v>
      </c>
      <c r="J61" s="261">
        <f t="shared" si="19"/>
        <v>0</v>
      </c>
      <c r="K61" s="113">
        <f t="shared" si="20"/>
        <v>0</v>
      </c>
      <c r="L61" s="190"/>
      <c r="M61" s="190"/>
    </row>
    <row r="62" spans="2:13" x14ac:dyDescent="0.2">
      <c r="B62" s="347" t="s">
        <v>555</v>
      </c>
      <c r="C62" s="112" t="s">
        <v>369</v>
      </c>
      <c r="D62" s="72">
        <v>0</v>
      </c>
      <c r="E62" s="261">
        <f t="shared" si="15"/>
        <v>0</v>
      </c>
      <c r="F62" s="261">
        <f t="shared" si="16"/>
        <v>0</v>
      </c>
      <c r="G62" s="113">
        <f t="shared" si="17"/>
        <v>0</v>
      </c>
      <c r="H62" s="72">
        <v>0</v>
      </c>
      <c r="I62" s="261">
        <f t="shared" si="18"/>
        <v>0</v>
      </c>
      <c r="J62" s="261">
        <f t="shared" si="19"/>
        <v>0</v>
      </c>
      <c r="K62" s="113">
        <f t="shared" si="20"/>
        <v>0</v>
      </c>
      <c r="L62" s="190"/>
      <c r="M62" s="190"/>
    </row>
    <row r="63" spans="2:13" x14ac:dyDescent="0.2">
      <c r="B63" s="347" t="s">
        <v>555</v>
      </c>
      <c r="C63" s="112" t="s">
        <v>370</v>
      </c>
      <c r="D63" s="72">
        <v>2.8549171714647569E-4</v>
      </c>
      <c r="E63" s="261">
        <f t="shared" si="15"/>
        <v>495.10460350919573</v>
      </c>
      <c r="F63" s="261">
        <f t="shared" si="16"/>
        <v>0</v>
      </c>
      <c r="G63" s="113">
        <f t="shared" si="17"/>
        <v>495.10460350919573</v>
      </c>
      <c r="H63" s="72">
        <v>0</v>
      </c>
      <c r="I63" s="261">
        <f t="shared" si="18"/>
        <v>0</v>
      </c>
      <c r="J63" s="261">
        <f t="shared" si="19"/>
        <v>0</v>
      </c>
      <c r="K63" s="113">
        <f t="shared" si="20"/>
        <v>0</v>
      </c>
      <c r="L63" s="190"/>
      <c r="M63" s="190"/>
    </row>
    <row r="64" spans="2:13" x14ac:dyDescent="0.2">
      <c r="B64" s="347" t="s">
        <v>555</v>
      </c>
      <c r="C64" s="112" t="s">
        <v>371</v>
      </c>
      <c r="D64" s="72">
        <v>0</v>
      </c>
      <c r="E64" s="261">
        <f t="shared" si="15"/>
        <v>0</v>
      </c>
      <c r="F64" s="261">
        <f t="shared" si="16"/>
        <v>0</v>
      </c>
      <c r="G64" s="113">
        <f t="shared" si="17"/>
        <v>0</v>
      </c>
      <c r="H64" s="72">
        <v>5.6340316513945872E-4</v>
      </c>
      <c r="I64" s="261">
        <f t="shared" si="18"/>
        <v>876.04296250741402</v>
      </c>
      <c r="J64" s="261">
        <f t="shared" si="19"/>
        <v>0</v>
      </c>
      <c r="K64" s="113">
        <f t="shared" si="20"/>
        <v>876.04296250741402</v>
      </c>
      <c r="L64" s="190"/>
      <c r="M64" s="190"/>
    </row>
    <row r="65" spans="2:13" x14ac:dyDescent="0.2">
      <c r="B65" s="347" t="s">
        <v>555</v>
      </c>
      <c r="C65" s="112" t="s">
        <v>311</v>
      </c>
      <c r="D65" s="72">
        <v>2.7639281576089206E-2</v>
      </c>
      <c r="E65" s="261">
        <f t="shared" si="15"/>
        <v>47932.513359004792</v>
      </c>
      <c r="F65" s="261">
        <f t="shared" si="16"/>
        <v>0</v>
      </c>
      <c r="G65" s="113">
        <f t="shared" si="17"/>
        <v>47932.513359004792</v>
      </c>
      <c r="H65" s="72">
        <v>1.684847210586562E-3</v>
      </c>
      <c r="I65" s="261">
        <f t="shared" si="18"/>
        <v>2619.7910005870344</v>
      </c>
      <c r="J65" s="261">
        <f t="shared" si="19"/>
        <v>0</v>
      </c>
      <c r="K65" s="113">
        <f t="shared" si="20"/>
        <v>2619.7910005870344</v>
      </c>
      <c r="L65" s="190"/>
      <c r="M65" s="190"/>
    </row>
    <row r="66" spans="2:13" x14ac:dyDescent="0.2">
      <c r="B66" s="286"/>
      <c r="C66" s="185" t="s">
        <v>260</v>
      </c>
      <c r="D66" s="118">
        <f>SUM(D56:D65)</f>
        <v>1</v>
      </c>
      <c r="E66" s="114">
        <f>'2.1 Profit &amp; Loss by component'!D32-'2.1 Profit &amp; Loss by component'!D26</f>
        <v>1734217.0500000007</v>
      </c>
      <c r="F66" s="114">
        <f>'2.1 Profit &amp; Loss by component'!E32-'2.1 Profit &amp; Loss by component'!E26</f>
        <v>0</v>
      </c>
      <c r="G66" s="114">
        <f>SUM(G56:G65)</f>
        <v>1734217.0500000007</v>
      </c>
      <c r="H66" s="118">
        <f>SUM(H56:H65)</f>
        <v>1</v>
      </c>
      <c r="I66" s="114">
        <f>'2.1 Profit &amp; Loss by component'!G32-'2.1 Profit &amp; Loss by component'!G26</f>
        <v>1554913.1007997938</v>
      </c>
      <c r="J66" s="114">
        <f>'2.1 Profit &amp; Loss by component'!H32-'2.1 Profit &amp; Loss by component'!H26</f>
        <v>0</v>
      </c>
      <c r="K66" s="114">
        <f>SUM(K56:K65)</f>
        <v>1554913.1007997938</v>
      </c>
      <c r="L66" s="190"/>
      <c r="M66" s="190"/>
    </row>
    <row r="67" spans="2:13" x14ac:dyDescent="0.2">
      <c r="B67" s="187"/>
      <c r="C67" s="260" t="s">
        <v>157</v>
      </c>
      <c r="D67" s="111"/>
      <c r="E67" s="111"/>
      <c r="F67" s="111"/>
      <c r="G67" s="111"/>
      <c r="H67" s="111"/>
      <c r="I67" s="111"/>
      <c r="J67" s="111"/>
      <c r="K67" s="111"/>
      <c r="L67" s="190"/>
      <c r="M67" s="190"/>
    </row>
    <row r="68" spans="2:13" x14ac:dyDescent="0.2">
      <c r="B68" s="347" t="s">
        <v>555</v>
      </c>
      <c r="C68" s="112" t="s">
        <v>363</v>
      </c>
      <c r="D68" s="72">
        <v>0.79606145276576101</v>
      </c>
      <c r="E68" s="261">
        <f t="shared" ref="E68:E77" si="21">D68*$E$78</f>
        <v>3866806.1157826376</v>
      </c>
      <c r="F68" s="261">
        <f t="shared" ref="F68:F77" si="22">D68*$F$78</f>
        <v>0</v>
      </c>
      <c r="G68" s="113">
        <f t="shared" ref="G68:G77" si="23">SUM(E68:F68)</f>
        <v>3866806.1157826376</v>
      </c>
      <c r="H68" s="72">
        <v>0.8505729828923122</v>
      </c>
      <c r="I68" s="261">
        <f t="shared" ref="I68:I77" si="24">H68*$I$78</f>
        <v>3555174.1793103088</v>
      </c>
      <c r="J68" s="261">
        <f t="shared" ref="J68:J77" si="25">H68*$J$78</f>
        <v>0</v>
      </c>
      <c r="K68" s="113">
        <f t="shared" ref="K68:K77" si="26">SUM(I68:J68)</f>
        <v>3555174.1793103088</v>
      </c>
      <c r="L68" s="190"/>
      <c r="M68" s="190"/>
    </row>
    <row r="69" spans="2:13" x14ac:dyDescent="0.2">
      <c r="B69" s="347" t="s">
        <v>555</v>
      </c>
      <c r="C69" s="112" t="s">
        <v>453</v>
      </c>
      <c r="D69" s="72">
        <v>0</v>
      </c>
      <c r="E69" s="261">
        <f t="shared" si="21"/>
        <v>0</v>
      </c>
      <c r="F69" s="261">
        <f t="shared" si="22"/>
        <v>0</v>
      </c>
      <c r="G69" s="113">
        <f t="shared" si="23"/>
        <v>0</v>
      </c>
      <c r="H69" s="72">
        <v>0</v>
      </c>
      <c r="I69" s="261">
        <f t="shared" si="24"/>
        <v>0</v>
      </c>
      <c r="J69" s="261">
        <f t="shared" si="25"/>
        <v>0</v>
      </c>
      <c r="K69" s="113">
        <f t="shared" si="26"/>
        <v>0</v>
      </c>
      <c r="L69" s="190"/>
      <c r="M69" s="190"/>
    </row>
    <row r="70" spans="2:13" x14ac:dyDescent="0.2">
      <c r="B70" s="347" t="s">
        <v>555</v>
      </c>
      <c r="C70" s="112" t="s">
        <v>365</v>
      </c>
      <c r="D70" s="72">
        <v>0.17601377394100337</v>
      </c>
      <c r="E70" s="261">
        <f t="shared" si="21"/>
        <v>854973.11190286023</v>
      </c>
      <c r="F70" s="261">
        <f t="shared" si="22"/>
        <v>0</v>
      </c>
      <c r="G70" s="113">
        <f t="shared" si="23"/>
        <v>854973.11190286023</v>
      </c>
      <c r="H70" s="72">
        <v>0.14717876673196179</v>
      </c>
      <c r="I70" s="261">
        <f t="shared" si="24"/>
        <v>615169.02341401053</v>
      </c>
      <c r="J70" s="261">
        <f t="shared" si="25"/>
        <v>0</v>
      </c>
      <c r="K70" s="113">
        <f t="shared" si="26"/>
        <v>615169.02341401053</v>
      </c>
      <c r="L70" s="190"/>
      <c r="M70" s="190"/>
    </row>
    <row r="71" spans="2:13" x14ac:dyDescent="0.2">
      <c r="B71" s="347" t="s">
        <v>555</v>
      </c>
      <c r="C71" s="112" t="s">
        <v>366</v>
      </c>
      <c r="D71" s="72">
        <v>0</v>
      </c>
      <c r="E71" s="261">
        <f t="shared" si="21"/>
        <v>0</v>
      </c>
      <c r="F71" s="261">
        <f t="shared" si="22"/>
        <v>0</v>
      </c>
      <c r="G71" s="113">
        <f t="shared" si="23"/>
        <v>0</v>
      </c>
      <c r="H71" s="72">
        <v>0</v>
      </c>
      <c r="I71" s="261">
        <f t="shared" si="24"/>
        <v>0</v>
      </c>
      <c r="J71" s="261">
        <f t="shared" si="25"/>
        <v>0</v>
      </c>
      <c r="K71" s="113">
        <f t="shared" si="26"/>
        <v>0</v>
      </c>
      <c r="L71" s="190"/>
      <c r="M71" s="190"/>
    </row>
    <row r="72" spans="2:13" x14ac:dyDescent="0.2">
      <c r="B72" s="347" t="s">
        <v>555</v>
      </c>
      <c r="C72" s="193" t="s">
        <v>367</v>
      </c>
      <c r="D72" s="72">
        <v>0</v>
      </c>
      <c r="E72" s="261">
        <f t="shared" si="21"/>
        <v>0</v>
      </c>
      <c r="F72" s="261">
        <f t="shared" si="22"/>
        <v>0</v>
      </c>
      <c r="G72" s="113">
        <f t="shared" si="23"/>
        <v>0</v>
      </c>
      <c r="H72" s="72">
        <v>0</v>
      </c>
      <c r="I72" s="261">
        <f t="shared" si="24"/>
        <v>0</v>
      </c>
      <c r="J72" s="261">
        <f t="shared" si="25"/>
        <v>0</v>
      </c>
      <c r="K72" s="113">
        <f t="shared" si="26"/>
        <v>0</v>
      </c>
      <c r="L72" s="190"/>
      <c r="M72" s="190"/>
    </row>
    <row r="73" spans="2:13" x14ac:dyDescent="0.2">
      <c r="B73" s="347" t="s">
        <v>555</v>
      </c>
      <c r="C73" s="112" t="s">
        <v>454</v>
      </c>
      <c r="D73" s="72">
        <v>0</v>
      </c>
      <c r="E73" s="261">
        <f t="shared" si="21"/>
        <v>0</v>
      </c>
      <c r="F73" s="261">
        <f t="shared" si="22"/>
        <v>0</v>
      </c>
      <c r="G73" s="113">
        <f t="shared" si="23"/>
        <v>0</v>
      </c>
      <c r="H73" s="72">
        <v>0</v>
      </c>
      <c r="I73" s="261">
        <f t="shared" si="24"/>
        <v>0</v>
      </c>
      <c r="J73" s="261">
        <f t="shared" si="25"/>
        <v>0</v>
      </c>
      <c r="K73" s="113">
        <f t="shared" si="26"/>
        <v>0</v>
      </c>
      <c r="L73" s="190"/>
      <c r="M73" s="190"/>
    </row>
    <row r="74" spans="2:13" x14ac:dyDescent="0.2">
      <c r="B74" s="347" t="s">
        <v>555</v>
      </c>
      <c r="C74" s="112" t="s">
        <v>369</v>
      </c>
      <c r="D74" s="72">
        <v>0</v>
      </c>
      <c r="E74" s="261">
        <f t="shared" si="21"/>
        <v>0</v>
      </c>
      <c r="F74" s="261">
        <f t="shared" si="22"/>
        <v>0</v>
      </c>
      <c r="G74" s="113">
        <f t="shared" si="23"/>
        <v>0</v>
      </c>
      <c r="H74" s="72">
        <v>0</v>
      </c>
      <c r="I74" s="261">
        <f t="shared" si="24"/>
        <v>0</v>
      </c>
      <c r="J74" s="261">
        <f t="shared" si="25"/>
        <v>0</v>
      </c>
      <c r="K74" s="113">
        <f t="shared" si="26"/>
        <v>0</v>
      </c>
      <c r="L74" s="190"/>
      <c r="M74" s="190"/>
    </row>
    <row r="75" spans="2:13" x14ac:dyDescent="0.2">
      <c r="B75" s="347" t="s">
        <v>555</v>
      </c>
      <c r="C75" s="112" t="s">
        <v>370</v>
      </c>
      <c r="D75" s="72">
        <v>2.8549171714647569E-4</v>
      </c>
      <c r="E75" s="261">
        <f t="shared" si="21"/>
        <v>1386.753640729431</v>
      </c>
      <c r="F75" s="261">
        <f t="shared" si="22"/>
        <v>0</v>
      </c>
      <c r="G75" s="113">
        <f t="shared" si="23"/>
        <v>1386.753640729431</v>
      </c>
      <c r="H75" s="72">
        <v>0</v>
      </c>
      <c r="I75" s="261">
        <f t="shared" si="24"/>
        <v>0</v>
      </c>
      <c r="J75" s="261">
        <f t="shared" si="25"/>
        <v>0</v>
      </c>
      <c r="K75" s="113">
        <f t="shared" si="26"/>
        <v>0</v>
      </c>
      <c r="L75" s="190"/>
      <c r="M75" s="190"/>
    </row>
    <row r="76" spans="2:13" x14ac:dyDescent="0.2">
      <c r="B76" s="347" t="s">
        <v>555</v>
      </c>
      <c r="C76" s="112" t="s">
        <v>371</v>
      </c>
      <c r="D76" s="72">
        <v>0</v>
      </c>
      <c r="E76" s="261">
        <f t="shared" si="21"/>
        <v>0</v>
      </c>
      <c r="F76" s="261">
        <f t="shared" si="22"/>
        <v>0</v>
      </c>
      <c r="G76" s="113">
        <f t="shared" si="23"/>
        <v>0</v>
      </c>
      <c r="H76" s="72">
        <v>5.6340316513945872E-4</v>
      </c>
      <c r="I76" s="261">
        <f t="shared" si="24"/>
        <v>2354.878917543866</v>
      </c>
      <c r="J76" s="261">
        <f t="shared" si="25"/>
        <v>0</v>
      </c>
      <c r="K76" s="113">
        <f t="shared" si="26"/>
        <v>2354.878917543866</v>
      </c>
      <c r="L76" s="190"/>
      <c r="M76" s="190"/>
    </row>
    <row r="77" spans="2:13" x14ac:dyDescent="0.2">
      <c r="B77" s="347" t="s">
        <v>555</v>
      </c>
      <c r="C77" s="112" t="s">
        <v>311</v>
      </c>
      <c r="D77" s="72">
        <v>2.7639281576089206E-2</v>
      </c>
      <c r="E77" s="261">
        <f t="shared" si="21"/>
        <v>134255.64403720479</v>
      </c>
      <c r="F77" s="261">
        <f t="shared" si="22"/>
        <v>0</v>
      </c>
      <c r="G77" s="113">
        <f t="shared" si="23"/>
        <v>134255.64403720479</v>
      </c>
      <c r="H77" s="72">
        <v>1.684847210586562E-3</v>
      </c>
      <c r="I77" s="261">
        <f t="shared" si="24"/>
        <v>7042.2237945908337</v>
      </c>
      <c r="J77" s="261">
        <f t="shared" si="25"/>
        <v>0</v>
      </c>
      <c r="K77" s="113">
        <f t="shared" si="26"/>
        <v>7042.2237945908337</v>
      </c>
      <c r="L77" s="190"/>
      <c r="M77" s="190"/>
    </row>
    <row r="78" spans="2:13" x14ac:dyDescent="0.2">
      <c r="B78" s="286"/>
      <c r="C78" s="185" t="s">
        <v>245</v>
      </c>
      <c r="D78" s="118">
        <f>SUM(D68:D77)</f>
        <v>1</v>
      </c>
      <c r="E78" s="114">
        <f>'2.1 Profit &amp; Loss by component'!D26+'2.1 Profit &amp; Loss by component'!D37</f>
        <v>4857421.6253634319</v>
      </c>
      <c r="F78" s="115">
        <f>'2.1 Profit &amp; Loss by component'!E26+'2.1 Profit &amp; Loss by component'!E37</f>
        <v>0</v>
      </c>
      <c r="G78" s="114">
        <f>SUM(G68:G77)</f>
        <v>4857421.6253634319</v>
      </c>
      <c r="H78" s="118">
        <f>SUM(H68:H77)</f>
        <v>1</v>
      </c>
      <c r="I78" s="114">
        <f>'2.1 Profit &amp; Loss by component'!G26+'2.1 Profit &amp; Loss by component'!G37</f>
        <v>4179740.3054364538</v>
      </c>
      <c r="J78" s="114">
        <f>'2.1 Profit &amp; Loss by component'!H26+'2.1 Profit &amp; Loss by component'!H37</f>
        <v>0</v>
      </c>
      <c r="K78" s="114">
        <f>SUM(K68:K77)</f>
        <v>4179740.3054364538</v>
      </c>
      <c r="L78" s="190"/>
      <c r="M78" s="190"/>
    </row>
    <row r="79" spans="2:13" x14ac:dyDescent="0.2">
      <c r="B79" s="187"/>
      <c r="C79" s="260" t="s">
        <v>261</v>
      </c>
      <c r="D79" s="111"/>
      <c r="E79" s="111"/>
      <c r="F79" s="111"/>
      <c r="G79" s="111"/>
      <c r="H79" s="111"/>
      <c r="I79" s="111"/>
      <c r="J79" s="111"/>
      <c r="K79" s="111"/>
      <c r="L79" s="190"/>
      <c r="M79" s="190"/>
    </row>
    <row r="80" spans="2:13" x14ac:dyDescent="0.2">
      <c r="B80" s="347" t="s">
        <v>555</v>
      </c>
      <c r="C80" s="112" t="s">
        <v>363</v>
      </c>
      <c r="D80" s="72">
        <v>0.79606145276576101</v>
      </c>
      <c r="E80" s="261">
        <f t="shared" ref="E80:E89" si="27">D80*$E$90</f>
        <v>1805535.4096995944</v>
      </c>
      <c r="F80" s="261">
        <f t="shared" ref="F80:F89" si="28">D80*$F$90</f>
        <v>0</v>
      </c>
      <c r="G80" s="113">
        <f t="shared" ref="G80:G89" si="29">SUM(E80:F80)</f>
        <v>1805535.4096995944</v>
      </c>
      <c r="H80" s="72">
        <v>0.8505729828923122</v>
      </c>
      <c r="I80" s="261">
        <f t="shared" ref="I80:I89" si="30">H80*$I$90</f>
        <v>2177887.3302094596</v>
      </c>
      <c r="J80" s="261">
        <f t="shared" ref="J80:J89" si="31">H80*$J$90</f>
        <v>0</v>
      </c>
      <c r="K80" s="113">
        <f t="shared" ref="K80:K89" si="32">SUM(I80:J80)</f>
        <v>2177887.3302094596</v>
      </c>
      <c r="L80" s="190"/>
      <c r="M80" s="190"/>
    </row>
    <row r="81" spans="2:13" x14ac:dyDescent="0.2">
      <c r="B81" s="347" t="s">
        <v>555</v>
      </c>
      <c r="C81" s="112" t="s">
        <v>453</v>
      </c>
      <c r="D81" s="72">
        <v>0</v>
      </c>
      <c r="E81" s="261">
        <f t="shared" si="27"/>
        <v>0</v>
      </c>
      <c r="F81" s="261">
        <f t="shared" si="28"/>
        <v>0</v>
      </c>
      <c r="G81" s="113">
        <f t="shared" si="29"/>
        <v>0</v>
      </c>
      <c r="H81" s="72">
        <v>0</v>
      </c>
      <c r="I81" s="261">
        <f t="shared" si="30"/>
        <v>0</v>
      </c>
      <c r="J81" s="261">
        <f t="shared" si="31"/>
        <v>0</v>
      </c>
      <c r="K81" s="113">
        <f t="shared" si="32"/>
        <v>0</v>
      </c>
      <c r="L81" s="190"/>
      <c r="M81" s="190"/>
    </row>
    <row r="82" spans="2:13" x14ac:dyDescent="0.2">
      <c r="B82" s="347" t="s">
        <v>555</v>
      </c>
      <c r="C82" s="112" t="s">
        <v>365</v>
      </c>
      <c r="D82" s="72">
        <v>0.17601377394100337</v>
      </c>
      <c r="E82" s="261">
        <f t="shared" si="27"/>
        <v>399214.28219041385</v>
      </c>
      <c r="F82" s="261">
        <f t="shared" si="28"/>
        <v>0</v>
      </c>
      <c r="G82" s="113">
        <f t="shared" si="29"/>
        <v>399214.28219041385</v>
      </c>
      <c r="H82" s="72">
        <v>0.14717876673196179</v>
      </c>
      <c r="I82" s="261">
        <f t="shared" si="30"/>
        <v>376850.40295004909</v>
      </c>
      <c r="J82" s="261">
        <f t="shared" si="31"/>
        <v>0</v>
      </c>
      <c r="K82" s="113">
        <f t="shared" si="32"/>
        <v>376850.40295004909</v>
      </c>
      <c r="L82" s="190"/>
      <c r="M82" s="190"/>
    </row>
    <row r="83" spans="2:13" x14ac:dyDescent="0.2">
      <c r="B83" s="347" t="s">
        <v>555</v>
      </c>
      <c r="C83" s="112" t="s">
        <v>366</v>
      </c>
      <c r="D83" s="72">
        <v>0</v>
      </c>
      <c r="E83" s="261">
        <f t="shared" si="27"/>
        <v>0</v>
      </c>
      <c r="F83" s="261">
        <f t="shared" si="28"/>
        <v>0</v>
      </c>
      <c r="G83" s="113">
        <f t="shared" si="29"/>
        <v>0</v>
      </c>
      <c r="H83" s="72">
        <v>0</v>
      </c>
      <c r="I83" s="261">
        <f t="shared" si="30"/>
        <v>0</v>
      </c>
      <c r="J83" s="261">
        <f t="shared" si="31"/>
        <v>0</v>
      </c>
      <c r="K83" s="113">
        <f t="shared" si="32"/>
        <v>0</v>
      </c>
      <c r="L83" s="190"/>
      <c r="M83" s="190"/>
    </row>
    <row r="84" spans="2:13" x14ac:dyDescent="0.2">
      <c r="B84" s="347" t="s">
        <v>555</v>
      </c>
      <c r="C84" s="193" t="s">
        <v>367</v>
      </c>
      <c r="D84" s="72">
        <v>0</v>
      </c>
      <c r="E84" s="261">
        <f t="shared" si="27"/>
        <v>0</v>
      </c>
      <c r="F84" s="261">
        <f t="shared" si="28"/>
        <v>0</v>
      </c>
      <c r="G84" s="113">
        <f t="shared" si="29"/>
        <v>0</v>
      </c>
      <c r="H84" s="72">
        <v>0</v>
      </c>
      <c r="I84" s="261">
        <f t="shared" si="30"/>
        <v>0</v>
      </c>
      <c r="J84" s="261">
        <f t="shared" si="31"/>
        <v>0</v>
      </c>
      <c r="K84" s="113">
        <f t="shared" si="32"/>
        <v>0</v>
      </c>
      <c r="L84" s="190"/>
      <c r="M84" s="190"/>
    </row>
    <row r="85" spans="2:13" x14ac:dyDescent="0.2">
      <c r="B85" s="347" t="s">
        <v>555</v>
      </c>
      <c r="C85" s="112" t="s">
        <v>454</v>
      </c>
      <c r="D85" s="72">
        <v>0</v>
      </c>
      <c r="E85" s="261">
        <f t="shared" si="27"/>
        <v>0</v>
      </c>
      <c r="F85" s="261">
        <f t="shared" si="28"/>
        <v>0</v>
      </c>
      <c r="G85" s="113">
        <f t="shared" si="29"/>
        <v>0</v>
      </c>
      <c r="H85" s="72">
        <v>0</v>
      </c>
      <c r="I85" s="261">
        <f t="shared" si="30"/>
        <v>0</v>
      </c>
      <c r="J85" s="261">
        <f t="shared" si="31"/>
        <v>0</v>
      </c>
      <c r="K85" s="113">
        <f t="shared" si="32"/>
        <v>0</v>
      </c>
      <c r="L85" s="190"/>
      <c r="M85" s="190"/>
    </row>
    <row r="86" spans="2:13" x14ac:dyDescent="0.2">
      <c r="B86" s="347" t="s">
        <v>555</v>
      </c>
      <c r="C86" s="112" t="s">
        <v>369</v>
      </c>
      <c r="D86" s="72">
        <v>0</v>
      </c>
      <c r="E86" s="261">
        <f t="shared" si="27"/>
        <v>0</v>
      </c>
      <c r="F86" s="261">
        <f t="shared" si="28"/>
        <v>0</v>
      </c>
      <c r="G86" s="113">
        <f t="shared" si="29"/>
        <v>0</v>
      </c>
      <c r="H86" s="72">
        <v>0</v>
      </c>
      <c r="I86" s="261">
        <f t="shared" si="30"/>
        <v>0</v>
      </c>
      <c r="J86" s="261">
        <f t="shared" si="31"/>
        <v>0</v>
      </c>
      <c r="K86" s="113">
        <f t="shared" si="32"/>
        <v>0</v>
      </c>
      <c r="L86" s="190"/>
      <c r="M86" s="190"/>
    </row>
    <row r="87" spans="2:13" x14ac:dyDescent="0.2">
      <c r="B87" s="347" t="s">
        <v>555</v>
      </c>
      <c r="C87" s="112" t="s">
        <v>370</v>
      </c>
      <c r="D87" s="72">
        <v>2.8549171714647569E-4</v>
      </c>
      <c r="E87" s="261">
        <f t="shared" si="27"/>
        <v>647.51961383511059</v>
      </c>
      <c r="F87" s="261">
        <f t="shared" si="28"/>
        <v>0</v>
      </c>
      <c r="G87" s="113">
        <f t="shared" si="29"/>
        <v>647.51961383511059</v>
      </c>
      <c r="H87" s="72">
        <v>0</v>
      </c>
      <c r="I87" s="261">
        <f t="shared" si="30"/>
        <v>0</v>
      </c>
      <c r="J87" s="261">
        <f t="shared" si="31"/>
        <v>0</v>
      </c>
      <c r="K87" s="113">
        <f t="shared" si="32"/>
        <v>0</v>
      </c>
      <c r="L87" s="190"/>
      <c r="M87" s="190"/>
    </row>
    <row r="88" spans="2:13" x14ac:dyDescent="0.2">
      <c r="B88" s="347" t="s">
        <v>555</v>
      </c>
      <c r="C88" s="112" t="s">
        <v>371</v>
      </c>
      <c r="D88" s="72">
        <v>0</v>
      </c>
      <c r="E88" s="261">
        <f t="shared" si="27"/>
        <v>0</v>
      </c>
      <c r="F88" s="261">
        <f t="shared" si="28"/>
        <v>0</v>
      </c>
      <c r="G88" s="113">
        <f t="shared" si="29"/>
        <v>0</v>
      </c>
      <c r="H88" s="72">
        <v>5.6340316513945872E-4</v>
      </c>
      <c r="I88" s="261">
        <f t="shared" si="30"/>
        <v>1442.5906298889397</v>
      </c>
      <c r="J88" s="261">
        <f t="shared" si="31"/>
        <v>0</v>
      </c>
      <c r="K88" s="113">
        <f t="shared" si="32"/>
        <v>1442.5906298889397</v>
      </c>
      <c r="L88" s="190"/>
      <c r="M88" s="190"/>
    </row>
    <row r="89" spans="2:13" x14ac:dyDescent="0.2">
      <c r="B89" s="347" t="s">
        <v>555</v>
      </c>
      <c r="C89" s="112" t="s">
        <v>311</v>
      </c>
      <c r="D89" s="72">
        <v>2.7639281576089206E-2</v>
      </c>
      <c r="E89" s="261">
        <f t="shared" si="27"/>
        <v>62688.252786146033</v>
      </c>
      <c r="F89" s="261">
        <f t="shared" si="28"/>
        <v>0</v>
      </c>
      <c r="G89" s="113">
        <f t="shared" si="29"/>
        <v>62688.252786146033</v>
      </c>
      <c r="H89" s="72">
        <v>1.684847210586562E-3</v>
      </c>
      <c r="I89" s="261">
        <f t="shared" si="30"/>
        <v>4314.0417895683295</v>
      </c>
      <c r="J89" s="261">
        <f t="shared" si="31"/>
        <v>0</v>
      </c>
      <c r="K89" s="113">
        <f t="shared" si="32"/>
        <v>4314.0417895683295</v>
      </c>
      <c r="L89" s="190"/>
      <c r="M89" s="190"/>
    </row>
    <row r="90" spans="2:13" x14ac:dyDescent="0.2">
      <c r="B90" s="286"/>
      <c r="C90" s="185" t="s">
        <v>262</v>
      </c>
      <c r="D90" s="118">
        <f>SUM(D80:D89)</f>
        <v>1</v>
      </c>
      <c r="E90" s="114">
        <f>'2.1 Profit &amp; Loss by component'!D43-'2.1 Profit &amp; Loss by component'!D37</f>
        <v>2268085.4642899893</v>
      </c>
      <c r="F90" s="114">
        <f>'2.1 Profit &amp; Loss by component'!E43-'2.1 Profit &amp; Loss by component'!E37</f>
        <v>0</v>
      </c>
      <c r="G90" s="114">
        <f>SUM(G80:G89)</f>
        <v>2268085.4642899893</v>
      </c>
      <c r="H90" s="118">
        <f>SUM(H80:H89)</f>
        <v>1</v>
      </c>
      <c r="I90" s="114">
        <f>'2.1 Profit &amp; Loss by component'!G43-'2.1 Profit &amp; Loss by component'!G37</f>
        <v>2560494.3655789657</v>
      </c>
      <c r="J90" s="114">
        <f>'2.1 Profit &amp; Loss by component'!H43-'2.1 Profit &amp; Loss by component'!H37</f>
        <v>0</v>
      </c>
      <c r="K90" s="114">
        <f>SUM(K80:K89)</f>
        <v>2560494.3655789662</v>
      </c>
      <c r="L90" s="190"/>
      <c r="M90" s="190"/>
    </row>
    <row r="91" spans="2:13" ht="14.25" x14ac:dyDescent="0.2">
      <c r="B91" s="286"/>
      <c r="C91" s="185" t="s">
        <v>257</v>
      </c>
      <c r="D91" s="263"/>
      <c r="E91" s="114">
        <f>E90+E78+E66</f>
        <v>8859724.1396534219</v>
      </c>
      <c r="F91" s="114">
        <f>F90+F78+F66</f>
        <v>0</v>
      </c>
      <c r="G91" s="114">
        <f>G90+G78+G66</f>
        <v>8859724.1396534219</v>
      </c>
      <c r="H91" s="263"/>
      <c r="I91" s="114">
        <f>I90+I78+I66</f>
        <v>8295147.7718152124</v>
      </c>
      <c r="J91" s="114">
        <f>J90+J78+J66</f>
        <v>0</v>
      </c>
      <c r="K91" s="114">
        <f>K90+K78+K66</f>
        <v>8295147.7718152143</v>
      </c>
      <c r="L91" s="190"/>
      <c r="M91" s="190"/>
    </row>
    <row r="92" spans="2:13" x14ac:dyDescent="0.2">
      <c r="B92" s="190"/>
      <c r="C92" s="190"/>
      <c r="D92" s="190"/>
      <c r="E92" s="190"/>
      <c r="F92" s="190"/>
      <c r="G92" s="190"/>
      <c r="H92" s="190"/>
      <c r="I92" s="190"/>
      <c r="J92" s="190"/>
      <c r="K92" s="190"/>
      <c r="L92" s="190"/>
      <c r="M92" s="190"/>
    </row>
    <row r="93" spans="2:13" x14ac:dyDescent="0.2">
      <c r="B93" s="190"/>
      <c r="C93" s="190"/>
      <c r="D93" s="190"/>
      <c r="E93" s="190"/>
      <c r="F93" s="190"/>
      <c r="G93" s="190"/>
      <c r="H93" s="190"/>
      <c r="I93" s="190"/>
      <c r="J93" s="190"/>
      <c r="K93" s="190"/>
      <c r="L93" s="190"/>
      <c r="M93" s="190"/>
    </row>
  </sheetData>
  <sheetProtection sheet="1"/>
  <mergeCells count="4">
    <mergeCell ref="D52:G52"/>
    <mergeCell ref="H52:K52"/>
    <mergeCell ref="D9:G9"/>
    <mergeCell ref="H9:K9"/>
  </mergeCells>
  <conditionalFormatting sqref="D23">
    <cfRule type="cellIs" dxfId="82" priority="23" stopIfTrue="1" operator="lessThan">
      <formula>1</formula>
    </cfRule>
    <cfRule type="cellIs" dxfId="81" priority="26" stopIfTrue="1" operator="greaterThan">
      <formula>1</formula>
    </cfRule>
  </conditionalFormatting>
  <conditionalFormatting sqref="D35">
    <cfRule type="cellIs" dxfId="80" priority="21" stopIfTrue="1" operator="lessThan">
      <formula>1</formula>
    </cfRule>
    <cfRule type="cellIs" dxfId="79" priority="22" stopIfTrue="1" operator="greaterThan">
      <formula>1</formula>
    </cfRule>
  </conditionalFormatting>
  <conditionalFormatting sqref="D47">
    <cfRule type="cellIs" dxfId="78" priority="19" stopIfTrue="1" operator="lessThan">
      <formula>1</formula>
    </cfRule>
    <cfRule type="cellIs" dxfId="77" priority="20" stopIfTrue="1" operator="greaterThan">
      <formula>1</formula>
    </cfRule>
  </conditionalFormatting>
  <conditionalFormatting sqref="D66">
    <cfRule type="cellIs" dxfId="76" priority="17" stopIfTrue="1" operator="lessThan">
      <formula>1</formula>
    </cfRule>
    <cfRule type="cellIs" dxfId="75" priority="18" stopIfTrue="1" operator="greaterThan">
      <formula>1</formula>
    </cfRule>
  </conditionalFormatting>
  <conditionalFormatting sqref="D78">
    <cfRule type="cellIs" dxfId="74" priority="15" stopIfTrue="1" operator="lessThan">
      <formula>1</formula>
    </cfRule>
    <cfRule type="cellIs" dxfId="73" priority="16" stopIfTrue="1" operator="greaterThan">
      <formula>1</formula>
    </cfRule>
  </conditionalFormatting>
  <conditionalFormatting sqref="D90">
    <cfRule type="cellIs" dxfId="72" priority="13" stopIfTrue="1" operator="lessThan">
      <formula>1</formula>
    </cfRule>
    <cfRule type="cellIs" dxfId="71" priority="14" stopIfTrue="1" operator="greaterThan">
      <formula>1</formula>
    </cfRule>
  </conditionalFormatting>
  <conditionalFormatting sqref="H23">
    <cfRule type="cellIs" dxfId="70" priority="1" stopIfTrue="1" operator="lessThan">
      <formula>1</formula>
    </cfRule>
    <cfRule type="cellIs" dxfId="69" priority="2" stopIfTrue="1" operator="greaterThan">
      <formula>1</formula>
    </cfRule>
  </conditionalFormatting>
  <conditionalFormatting sqref="H35">
    <cfRule type="cellIs" dxfId="68" priority="3" stopIfTrue="1" operator="lessThan">
      <formula>1</formula>
    </cfRule>
    <cfRule type="cellIs" dxfId="67" priority="4" stopIfTrue="1" operator="greaterThan">
      <formula>1</formula>
    </cfRule>
  </conditionalFormatting>
  <conditionalFormatting sqref="H47">
    <cfRule type="cellIs" dxfId="66" priority="5" stopIfTrue="1" operator="lessThan">
      <formula>1</formula>
    </cfRule>
    <cfRule type="cellIs" dxfId="65" priority="6" stopIfTrue="1" operator="greaterThan">
      <formula>1</formula>
    </cfRule>
  </conditionalFormatting>
  <conditionalFormatting sqref="H66">
    <cfRule type="cellIs" dxfId="64" priority="7" stopIfTrue="1" operator="lessThan">
      <formula>1</formula>
    </cfRule>
    <cfRule type="cellIs" dxfId="63" priority="8" stopIfTrue="1" operator="greaterThan">
      <formula>1</formula>
    </cfRule>
  </conditionalFormatting>
  <conditionalFormatting sqref="H78">
    <cfRule type="cellIs" dxfId="62" priority="9" stopIfTrue="1" operator="lessThan">
      <formula>1</formula>
    </cfRule>
    <cfRule type="cellIs" dxfId="61" priority="10" stopIfTrue="1" operator="greaterThan">
      <formula>1</formula>
    </cfRule>
  </conditionalFormatting>
  <conditionalFormatting sqref="H90">
    <cfRule type="cellIs" dxfId="60" priority="11" stopIfTrue="1" operator="lessThan">
      <formula>1</formula>
    </cfRule>
    <cfRule type="cellIs" dxfId="59" priority="12" stopIfTrue="1" operator="greaterThan">
      <formula>1</formula>
    </cfRule>
  </conditionalFormatting>
  <pageMargins left="0.75" right="0.75" top="1" bottom="1" header="0.5" footer="0.5"/>
  <pageSetup paperSize="9" scale="59" orientation="landscape" verticalDpi="2" r:id="rId1"/>
  <headerFooter alignWithMargins="0">
    <oddFooter>&amp;C_x000D_&amp;1#&amp;"Calibri"&amp;10&amp;K008000 APA-INTERNAL</oddFooter>
  </headerFooter>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49CED8-2AE8-41E1-A81C-5C7534EF3D16}">
  <sheetPr codeName="Sheet8">
    <tabColor rgb="FF17415D"/>
  </sheetPr>
  <dimension ref="B1:J29"/>
  <sheetViews>
    <sheetView workbookViewId="0">
      <pane xSplit="1" ySplit="4" topLeftCell="B5" activePane="bottomRight" state="frozen"/>
      <selection pane="topRight" activeCell="B1" sqref="B1"/>
      <selection pane="bottomLeft" activeCell="A5" sqref="A5"/>
      <selection pane="bottomRight"/>
    </sheetView>
  </sheetViews>
  <sheetFormatPr defaultColWidth="9.42578125" defaultRowHeight="12.75" x14ac:dyDescent="0.2"/>
  <cols>
    <col min="1" max="1" width="12" style="4" customWidth="1"/>
    <col min="2" max="2" width="37.5703125" style="4" customWidth="1"/>
    <col min="3" max="3" width="42.5703125" style="4" customWidth="1"/>
    <col min="4" max="5" width="27.42578125" style="4" customWidth="1"/>
    <col min="6" max="6" width="18.42578125" style="4" customWidth="1"/>
    <col min="7" max="7" width="6.5703125" style="4" customWidth="1"/>
    <col min="8" max="10" width="19.5703125" style="4" customWidth="1"/>
    <col min="11" max="11" width="18.42578125" style="4" customWidth="1"/>
    <col min="12" max="16384" width="9.42578125" style="4"/>
  </cols>
  <sheetData>
    <row r="1" spans="2:10" ht="20.25" customHeight="1" x14ac:dyDescent="0.3">
      <c r="B1" s="135" t="s">
        <v>302</v>
      </c>
      <c r="C1" s="135"/>
      <c r="D1" s="203"/>
      <c r="E1" s="203"/>
      <c r="F1" s="203"/>
      <c r="G1" s="203"/>
      <c r="H1" s="203"/>
      <c r="I1" s="203"/>
      <c r="J1" s="203"/>
    </row>
    <row r="2" spans="2:10" ht="20.25" customHeight="1" x14ac:dyDescent="0.2">
      <c r="B2" s="135" t="str">
        <f>IF(Tradingname=0," ",Tradingname)</f>
        <v>APA Pipelines Investments (BWP) Pty Limited</v>
      </c>
      <c r="C2" s="135"/>
    </row>
    <row r="3" spans="2:10" ht="20.25" customHeight="1" x14ac:dyDescent="0.45">
      <c r="B3" s="135" t="s">
        <v>109</v>
      </c>
      <c r="C3" s="99">
        <f>IF(Yearending=0, "01/01/2000", Yearending)</f>
        <v>45838</v>
      </c>
      <c r="F3" s="242"/>
    </row>
    <row r="4" spans="2:10" ht="20.25" x14ac:dyDescent="0.2">
      <c r="B4" s="91" t="s">
        <v>199</v>
      </c>
      <c r="C4" s="91"/>
    </row>
    <row r="6" spans="2:10" ht="20.25" x14ac:dyDescent="0.3">
      <c r="B6" s="243"/>
      <c r="G6" s="244"/>
      <c r="H6" s="245"/>
      <c r="I6" s="246"/>
      <c r="J6" s="246"/>
    </row>
    <row r="7" spans="2:10" ht="15.75" x14ac:dyDescent="0.25">
      <c r="B7" s="213" t="s">
        <v>268</v>
      </c>
    </row>
    <row r="8" spans="2:10" ht="14.1" customHeight="1" x14ac:dyDescent="0.2">
      <c r="B8" s="214"/>
      <c r="C8" s="215"/>
      <c r="D8" s="215"/>
      <c r="E8" s="215"/>
    </row>
    <row r="9" spans="2:10" ht="14.1" customHeight="1" x14ac:dyDescent="0.2">
      <c r="B9" s="35" t="s">
        <v>13</v>
      </c>
      <c r="C9" s="30" t="s">
        <v>41</v>
      </c>
      <c r="D9" s="30" t="s">
        <v>42</v>
      </c>
      <c r="E9" s="30" t="s">
        <v>18</v>
      </c>
      <c r="F9" s="215"/>
    </row>
    <row r="10" spans="2:10" ht="14.1" customHeight="1" x14ac:dyDescent="0.2">
      <c r="B10" s="29"/>
      <c r="C10" s="31" t="s">
        <v>110</v>
      </c>
      <c r="D10" s="31" t="s">
        <v>110</v>
      </c>
      <c r="E10" s="31" t="s">
        <v>110</v>
      </c>
    </row>
    <row r="11" spans="2:10" ht="14.1" customHeight="1" x14ac:dyDescent="0.2">
      <c r="B11" s="67"/>
      <c r="C11" s="68"/>
      <c r="D11" s="68"/>
      <c r="E11" s="11">
        <f t="shared" ref="E11:E17" si="0">SUM(C11:D11)</f>
        <v>0</v>
      </c>
    </row>
    <row r="12" spans="2:10" ht="14.1" customHeight="1" x14ac:dyDescent="0.2">
      <c r="B12" s="67"/>
      <c r="C12" s="68"/>
      <c r="D12" s="68"/>
      <c r="E12" s="11">
        <f t="shared" si="0"/>
        <v>0</v>
      </c>
    </row>
    <row r="13" spans="2:10" ht="14.1" customHeight="1" x14ac:dyDescent="0.2">
      <c r="B13" s="67"/>
      <c r="C13" s="68"/>
      <c r="D13" s="68"/>
      <c r="E13" s="11">
        <f t="shared" si="0"/>
        <v>0</v>
      </c>
    </row>
    <row r="14" spans="2:10" ht="14.1" customHeight="1" x14ac:dyDescent="0.2">
      <c r="B14" s="67"/>
      <c r="C14" s="68"/>
      <c r="D14" s="68"/>
      <c r="E14" s="11">
        <f t="shared" si="0"/>
        <v>0</v>
      </c>
    </row>
    <row r="15" spans="2:10" x14ac:dyDescent="0.2">
      <c r="B15" s="67"/>
      <c r="C15" s="68"/>
      <c r="D15" s="68"/>
      <c r="E15" s="11">
        <f t="shared" si="0"/>
        <v>0</v>
      </c>
    </row>
    <row r="16" spans="2:10" x14ac:dyDescent="0.2">
      <c r="B16" s="67"/>
      <c r="C16" s="68"/>
      <c r="D16" s="68"/>
      <c r="E16" s="11">
        <f t="shared" si="0"/>
        <v>0</v>
      </c>
    </row>
    <row r="17" spans="2:6" x14ac:dyDescent="0.2">
      <c r="B17" s="136" t="s">
        <v>18</v>
      </c>
      <c r="C17" s="11">
        <f>SUM(C11:C16)</f>
        <v>0</v>
      </c>
      <c r="D17" s="11">
        <f>SUM(D11:D16)</f>
        <v>0</v>
      </c>
      <c r="E17" s="11">
        <f t="shared" si="0"/>
        <v>0</v>
      </c>
    </row>
    <row r="18" spans="2:6" ht="19.5" customHeight="1" x14ac:dyDescent="0.2"/>
    <row r="19" spans="2:6" ht="15.75" x14ac:dyDescent="0.25">
      <c r="B19" s="213" t="s">
        <v>269</v>
      </c>
    </row>
    <row r="20" spans="2:6" x14ac:dyDescent="0.2">
      <c r="B20" s="214"/>
      <c r="C20" s="215"/>
      <c r="D20" s="215"/>
      <c r="E20" s="215"/>
    </row>
    <row r="21" spans="2:6" x14ac:dyDescent="0.2">
      <c r="B21" s="29" t="s">
        <v>83</v>
      </c>
      <c r="C21" s="36" t="s">
        <v>13</v>
      </c>
      <c r="D21" s="30" t="s">
        <v>18</v>
      </c>
      <c r="F21" s="215"/>
    </row>
    <row r="22" spans="2:6" x14ac:dyDescent="0.2">
      <c r="B22" s="29"/>
      <c r="C22" s="31"/>
      <c r="D22" s="31" t="s">
        <v>110</v>
      </c>
    </row>
    <row r="23" spans="2:6" x14ac:dyDescent="0.2">
      <c r="B23" s="67"/>
      <c r="C23" s="69"/>
      <c r="D23" s="68"/>
    </row>
    <row r="24" spans="2:6" x14ac:dyDescent="0.2">
      <c r="B24" s="67"/>
      <c r="C24" s="69"/>
      <c r="D24" s="68"/>
    </row>
    <row r="25" spans="2:6" x14ac:dyDescent="0.2">
      <c r="B25" s="67"/>
      <c r="C25" s="69"/>
      <c r="D25" s="68"/>
    </row>
    <row r="26" spans="2:6" x14ac:dyDescent="0.2">
      <c r="B26" s="67"/>
      <c r="C26" s="69"/>
      <c r="D26" s="68"/>
    </row>
    <row r="27" spans="2:6" x14ac:dyDescent="0.2">
      <c r="B27" s="67"/>
      <c r="C27" s="69"/>
      <c r="D27" s="68"/>
    </row>
    <row r="28" spans="2:6" x14ac:dyDescent="0.2">
      <c r="B28" s="67"/>
      <c r="C28" s="69"/>
      <c r="D28" s="68"/>
    </row>
    <row r="29" spans="2:6" x14ac:dyDescent="0.2">
      <c r="B29" s="432" t="s">
        <v>82</v>
      </c>
      <c r="C29" s="433"/>
      <c r="D29" s="11">
        <f>SUM(D23:D28)</f>
        <v>0</v>
      </c>
    </row>
  </sheetData>
  <sheetProtection sheet="1" insertRows="0"/>
  <mergeCells count="1">
    <mergeCell ref="B29:C29"/>
  </mergeCells>
  <pageMargins left="0.75" right="0.75" top="1" bottom="1" header="0.5" footer="0.5"/>
  <pageSetup paperSize="9" scale="59" orientation="landscape" r:id="rId1"/>
  <headerFooter alignWithMargins="0">
    <oddFooter>&amp;C_x000D_&amp;1#&amp;"Calibri"&amp;10&amp;K008000 APA-INTERNAL</oddFooter>
  </headerFooter>
  <colBreaks count="1" manualBreakCount="1">
    <brk id="7" max="22"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3EA10B-1952-445D-9B8F-82002764407B}">
  <sheetPr codeName="Sheet10">
    <tabColor rgb="FF17415D"/>
  </sheetPr>
  <dimension ref="B1:I42"/>
  <sheetViews>
    <sheetView zoomScale="96" zoomScaleNormal="85" workbookViewId="0">
      <pane xSplit="1" ySplit="8" topLeftCell="B9" activePane="bottomRight" state="frozen"/>
      <selection pane="topRight" activeCell="B1" sqref="B1"/>
      <selection pane="bottomLeft" activeCell="A9" sqref="A9"/>
      <selection pane="bottomRight"/>
    </sheetView>
  </sheetViews>
  <sheetFormatPr defaultColWidth="9.42578125" defaultRowHeight="12.75" x14ac:dyDescent="0.2"/>
  <cols>
    <col min="1" max="1" width="12.42578125" style="204" customWidth="1"/>
    <col min="2" max="2" width="22.5703125" style="204" customWidth="1"/>
    <col min="3" max="3" width="42.42578125" style="204" customWidth="1"/>
    <col min="4" max="4" width="26.5703125" style="204" customWidth="1"/>
    <col min="5" max="5" width="22.5703125" style="204" customWidth="1"/>
    <col min="6" max="6" width="20.5703125" style="204" customWidth="1"/>
    <col min="7" max="8" width="22.5703125" style="204" customWidth="1"/>
    <col min="9" max="9" width="35.42578125" style="204" customWidth="1"/>
    <col min="10" max="10" width="25.42578125" style="204" customWidth="1"/>
    <col min="11" max="16384" width="9.42578125" style="204"/>
  </cols>
  <sheetData>
    <row r="1" spans="2:9" ht="20.25" customHeight="1" x14ac:dyDescent="0.3">
      <c r="B1" s="135" t="s">
        <v>302</v>
      </c>
      <c r="C1" s="135"/>
      <c r="D1" s="203"/>
      <c r="E1" s="203"/>
      <c r="F1" s="203"/>
      <c r="G1" s="203"/>
      <c r="H1" s="203"/>
    </row>
    <row r="2" spans="2:9" ht="20.25" customHeight="1" x14ac:dyDescent="0.3">
      <c r="B2" s="135" t="str">
        <f>IF(Tradingname=0," ",Tradingname)</f>
        <v>APA Pipelines Investments (BWP) Pty Limited</v>
      </c>
      <c r="C2" s="135"/>
      <c r="H2" s="205"/>
    </row>
    <row r="3" spans="2:9" ht="20.25" customHeight="1" x14ac:dyDescent="0.3">
      <c r="B3" s="135" t="s">
        <v>109</v>
      </c>
      <c r="C3" s="99">
        <f>IF(Yearending=0, "01/01/2000", Yearending)</f>
        <v>45838</v>
      </c>
    </row>
    <row r="4" spans="2:9" ht="20.25" x14ac:dyDescent="0.2">
      <c r="B4" s="91" t="s">
        <v>115</v>
      </c>
      <c r="C4" s="91"/>
    </row>
    <row r="6" spans="2:9" x14ac:dyDescent="0.2">
      <c r="B6" s="434" t="s">
        <v>299</v>
      </c>
      <c r="C6" s="434"/>
      <c r="D6" s="434"/>
    </row>
    <row r="7" spans="2:9" ht="15.75" customHeight="1" x14ac:dyDescent="0.2">
      <c r="B7" s="434"/>
      <c r="C7" s="434"/>
      <c r="D7" s="434"/>
    </row>
    <row r="8" spans="2:9" ht="15.75" customHeight="1" x14ac:dyDescent="0.2">
      <c r="B8" s="434"/>
      <c r="C8" s="434"/>
      <c r="D8" s="434"/>
    </row>
    <row r="11" spans="2:9" s="264" customFormat="1" ht="15.75" x14ac:dyDescent="0.25">
      <c r="B11" s="206" t="s">
        <v>270</v>
      </c>
      <c r="C11" s="207"/>
      <c r="D11" s="207"/>
      <c r="E11" s="207"/>
      <c r="F11" s="210"/>
      <c r="G11" s="207"/>
      <c r="H11" s="207"/>
      <c r="I11" s="204"/>
    </row>
    <row r="12" spans="2:9" s="264" customFormat="1" ht="15.75" x14ac:dyDescent="0.25">
      <c r="B12" s="206"/>
      <c r="C12" s="207"/>
      <c r="D12" s="207"/>
      <c r="E12" s="207"/>
      <c r="F12" s="210"/>
      <c r="G12" s="207"/>
      <c r="H12" s="207"/>
      <c r="I12" s="204"/>
    </row>
    <row r="13" spans="2:9" ht="38.25" x14ac:dyDescent="0.2">
      <c r="B13" s="37" t="s">
        <v>307</v>
      </c>
      <c r="C13" s="37" t="s">
        <v>113</v>
      </c>
      <c r="D13" s="49" t="s">
        <v>127</v>
      </c>
      <c r="E13" s="49" t="s">
        <v>182</v>
      </c>
      <c r="F13" s="49" t="s">
        <v>47</v>
      </c>
      <c r="G13" s="49" t="s">
        <v>62</v>
      </c>
      <c r="H13" s="49" t="s">
        <v>63</v>
      </c>
      <c r="I13" s="49" t="s">
        <v>193</v>
      </c>
    </row>
    <row r="14" spans="2:9" x14ac:dyDescent="0.2">
      <c r="B14" s="89"/>
      <c r="C14" s="37" t="s">
        <v>114</v>
      </c>
      <c r="D14" s="53" t="s">
        <v>110</v>
      </c>
      <c r="E14" s="53" t="s">
        <v>110</v>
      </c>
      <c r="F14" s="53"/>
      <c r="G14" s="53" t="s">
        <v>110</v>
      </c>
      <c r="H14" s="53" t="s">
        <v>110</v>
      </c>
      <c r="I14" s="53" t="s">
        <v>110</v>
      </c>
    </row>
    <row r="15" spans="2:9" x14ac:dyDescent="0.2">
      <c r="B15" s="348" t="s">
        <v>556</v>
      </c>
      <c r="C15" s="70"/>
      <c r="D15" s="71"/>
      <c r="E15" s="71"/>
      <c r="F15" s="72"/>
      <c r="G15" s="10">
        <f>D15*F15</f>
        <v>0</v>
      </c>
      <c r="H15" s="10">
        <f t="shared" ref="H15:H41" si="0">E15*F15</f>
        <v>0</v>
      </c>
      <c r="I15" s="90">
        <f t="shared" ref="I15:I41" si="1">G15+H15</f>
        <v>0</v>
      </c>
    </row>
    <row r="16" spans="2:9" x14ac:dyDescent="0.2">
      <c r="B16" s="287"/>
      <c r="C16" s="70"/>
      <c r="D16" s="71"/>
      <c r="E16" s="71"/>
      <c r="F16" s="72"/>
      <c r="G16" s="10">
        <f>D16*F16</f>
        <v>0</v>
      </c>
      <c r="H16" s="10">
        <f t="shared" si="0"/>
        <v>0</v>
      </c>
      <c r="I16" s="90">
        <f t="shared" si="1"/>
        <v>0</v>
      </c>
    </row>
    <row r="17" spans="2:9" x14ac:dyDescent="0.2">
      <c r="B17" s="287"/>
      <c r="C17" s="70"/>
      <c r="D17" s="71"/>
      <c r="E17" s="71"/>
      <c r="F17" s="72"/>
      <c r="G17" s="10">
        <f>D17*F17</f>
        <v>0</v>
      </c>
      <c r="H17" s="10">
        <f t="shared" si="0"/>
        <v>0</v>
      </c>
      <c r="I17" s="90">
        <f t="shared" si="1"/>
        <v>0</v>
      </c>
    </row>
    <row r="18" spans="2:9" x14ac:dyDescent="0.2">
      <c r="B18" s="287"/>
      <c r="C18" s="70"/>
      <c r="D18" s="71"/>
      <c r="E18" s="71"/>
      <c r="F18" s="72"/>
      <c r="G18" s="10">
        <f>D18*F18</f>
        <v>0</v>
      </c>
      <c r="H18" s="90">
        <f t="shared" si="0"/>
        <v>0</v>
      </c>
      <c r="I18" s="90">
        <f t="shared" si="1"/>
        <v>0</v>
      </c>
    </row>
    <row r="19" spans="2:9" x14ac:dyDescent="0.2">
      <c r="B19" s="287"/>
      <c r="C19" s="70"/>
      <c r="D19" s="71"/>
      <c r="E19" s="71"/>
      <c r="F19" s="72"/>
      <c r="G19" s="10">
        <f t="shared" ref="G19:G41" si="2">D19*F19</f>
        <v>0</v>
      </c>
      <c r="H19" s="10">
        <f t="shared" si="0"/>
        <v>0</v>
      </c>
      <c r="I19" s="90">
        <f t="shared" si="1"/>
        <v>0</v>
      </c>
    </row>
    <row r="20" spans="2:9" x14ac:dyDescent="0.2">
      <c r="B20" s="287"/>
      <c r="C20" s="70"/>
      <c r="D20" s="71"/>
      <c r="E20" s="71"/>
      <c r="F20" s="72"/>
      <c r="G20" s="10">
        <f t="shared" si="2"/>
        <v>0</v>
      </c>
      <c r="H20" s="10">
        <f t="shared" si="0"/>
        <v>0</v>
      </c>
      <c r="I20" s="90">
        <f t="shared" si="1"/>
        <v>0</v>
      </c>
    </row>
    <row r="21" spans="2:9" x14ac:dyDescent="0.2">
      <c r="B21" s="287"/>
      <c r="C21" s="70"/>
      <c r="D21" s="71"/>
      <c r="E21" s="71"/>
      <c r="F21" s="72"/>
      <c r="G21" s="10">
        <f t="shared" si="2"/>
        <v>0</v>
      </c>
      <c r="H21" s="10">
        <f t="shared" si="0"/>
        <v>0</v>
      </c>
      <c r="I21" s="90">
        <f t="shared" si="1"/>
        <v>0</v>
      </c>
    </row>
    <row r="22" spans="2:9" x14ac:dyDescent="0.2">
      <c r="B22" s="287"/>
      <c r="C22" s="70"/>
      <c r="D22" s="71"/>
      <c r="E22" s="71"/>
      <c r="F22" s="72"/>
      <c r="G22" s="10">
        <f t="shared" si="2"/>
        <v>0</v>
      </c>
      <c r="H22" s="10">
        <f t="shared" si="0"/>
        <v>0</v>
      </c>
      <c r="I22" s="90">
        <f t="shared" si="1"/>
        <v>0</v>
      </c>
    </row>
    <row r="23" spans="2:9" x14ac:dyDescent="0.2">
      <c r="B23" s="287"/>
      <c r="C23" s="70"/>
      <c r="D23" s="71"/>
      <c r="E23" s="71"/>
      <c r="F23" s="72"/>
      <c r="G23" s="10">
        <f t="shared" si="2"/>
        <v>0</v>
      </c>
      <c r="H23" s="10">
        <f t="shared" si="0"/>
        <v>0</v>
      </c>
      <c r="I23" s="90">
        <f t="shared" si="1"/>
        <v>0</v>
      </c>
    </row>
    <row r="24" spans="2:9" x14ac:dyDescent="0.2">
      <c r="B24" s="287"/>
      <c r="C24" s="70"/>
      <c r="D24" s="71"/>
      <c r="E24" s="71"/>
      <c r="F24" s="72"/>
      <c r="G24" s="10">
        <f t="shared" si="2"/>
        <v>0</v>
      </c>
      <c r="H24" s="10">
        <f t="shared" si="0"/>
        <v>0</v>
      </c>
      <c r="I24" s="90">
        <f t="shared" si="1"/>
        <v>0</v>
      </c>
    </row>
    <row r="25" spans="2:9" x14ac:dyDescent="0.2">
      <c r="B25" s="287"/>
      <c r="C25" s="70"/>
      <c r="D25" s="71"/>
      <c r="E25" s="71"/>
      <c r="F25" s="72"/>
      <c r="G25" s="10">
        <f t="shared" si="2"/>
        <v>0</v>
      </c>
      <c r="H25" s="10">
        <f t="shared" si="0"/>
        <v>0</v>
      </c>
      <c r="I25" s="90">
        <f t="shared" si="1"/>
        <v>0</v>
      </c>
    </row>
    <row r="26" spans="2:9" x14ac:dyDescent="0.2">
      <c r="B26" s="287"/>
      <c r="C26" s="70"/>
      <c r="D26" s="71"/>
      <c r="E26" s="71"/>
      <c r="F26" s="72"/>
      <c r="G26" s="10">
        <f t="shared" si="2"/>
        <v>0</v>
      </c>
      <c r="H26" s="10">
        <f t="shared" si="0"/>
        <v>0</v>
      </c>
      <c r="I26" s="90">
        <f t="shared" si="1"/>
        <v>0</v>
      </c>
    </row>
    <row r="27" spans="2:9" x14ac:dyDescent="0.2">
      <c r="B27" s="287"/>
      <c r="C27" s="70"/>
      <c r="D27" s="71"/>
      <c r="E27" s="71"/>
      <c r="F27" s="72"/>
      <c r="G27" s="10">
        <f t="shared" si="2"/>
        <v>0</v>
      </c>
      <c r="H27" s="10">
        <f t="shared" si="0"/>
        <v>0</v>
      </c>
      <c r="I27" s="90">
        <f t="shared" si="1"/>
        <v>0</v>
      </c>
    </row>
    <row r="28" spans="2:9" x14ac:dyDescent="0.2">
      <c r="B28" s="287"/>
      <c r="C28" s="70"/>
      <c r="D28" s="71"/>
      <c r="E28" s="71"/>
      <c r="F28" s="72"/>
      <c r="G28" s="10">
        <f t="shared" si="2"/>
        <v>0</v>
      </c>
      <c r="H28" s="10">
        <f t="shared" si="0"/>
        <v>0</v>
      </c>
      <c r="I28" s="90">
        <f t="shared" si="1"/>
        <v>0</v>
      </c>
    </row>
    <row r="29" spans="2:9" x14ac:dyDescent="0.2">
      <c r="B29" s="287"/>
      <c r="C29" s="70"/>
      <c r="D29" s="71"/>
      <c r="E29" s="71"/>
      <c r="F29" s="72"/>
      <c r="G29" s="10">
        <f t="shared" si="2"/>
        <v>0</v>
      </c>
      <c r="H29" s="10">
        <f t="shared" si="0"/>
        <v>0</v>
      </c>
      <c r="I29" s="90">
        <f t="shared" si="1"/>
        <v>0</v>
      </c>
    </row>
    <row r="30" spans="2:9" x14ac:dyDescent="0.2">
      <c r="B30" s="287"/>
      <c r="C30" s="70"/>
      <c r="D30" s="71"/>
      <c r="E30" s="71"/>
      <c r="F30" s="72"/>
      <c r="G30" s="10">
        <f t="shared" si="2"/>
        <v>0</v>
      </c>
      <c r="H30" s="10">
        <f t="shared" si="0"/>
        <v>0</v>
      </c>
      <c r="I30" s="90">
        <f t="shared" si="1"/>
        <v>0</v>
      </c>
    </row>
    <row r="31" spans="2:9" x14ac:dyDescent="0.2">
      <c r="B31" s="287"/>
      <c r="C31" s="70"/>
      <c r="D31" s="71"/>
      <c r="E31" s="71"/>
      <c r="F31" s="72"/>
      <c r="G31" s="10">
        <f t="shared" si="2"/>
        <v>0</v>
      </c>
      <c r="H31" s="10">
        <f t="shared" si="0"/>
        <v>0</v>
      </c>
      <c r="I31" s="90">
        <f t="shared" si="1"/>
        <v>0</v>
      </c>
    </row>
    <row r="32" spans="2:9" x14ac:dyDescent="0.2">
      <c r="B32" s="287"/>
      <c r="C32" s="70"/>
      <c r="D32" s="71"/>
      <c r="E32" s="71"/>
      <c r="F32" s="72"/>
      <c r="G32" s="10">
        <f t="shared" si="2"/>
        <v>0</v>
      </c>
      <c r="H32" s="10">
        <f t="shared" si="0"/>
        <v>0</v>
      </c>
      <c r="I32" s="90">
        <f t="shared" si="1"/>
        <v>0</v>
      </c>
    </row>
    <row r="33" spans="2:9" x14ac:dyDescent="0.2">
      <c r="B33" s="287"/>
      <c r="C33" s="70"/>
      <c r="D33" s="71"/>
      <c r="E33" s="71"/>
      <c r="F33" s="72"/>
      <c r="G33" s="10">
        <f t="shared" si="2"/>
        <v>0</v>
      </c>
      <c r="H33" s="10">
        <f t="shared" si="0"/>
        <v>0</v>
      </c>
      <c r="I33" s="90">
        <f t="shared" si="1"/>
        <v>0</v>
      </c>
    </row>
    <row r="34" spans="2:9" x14ac:dyDescent="0.2">
      <c r="B34" s="287"/>
      <c r="C34" s="70"/>
      <c r="D34" s="71"/>
      <c r="E34" s="71"/>
      <c r="F34" s="72"/>
      <c r="G34" s="10">
        <f t="shared" si="2"/>
        <v>0</v>
      </c>
      <c r="H34" s="10">
        <f t="shared" si="0"/>
        <v>0</v>
      </c>
      <c r="I34" s="90">
        <f t="shared" si="1"/>
        <v>0</v>
      </c>
    </row>
    <row r="35" spans="2:9" x14ac:dyDescent="0.2">
      <c r="B35" s="287"/>
      <c r="C35" s="70"/>
      <c r="D35" s="71"/>
      <c r="E35" s="71"/>
      <c r="F35" s="72"/>
      <c r="G35" s="10">
        <f t="shared" si="2"/>
        <v>0</v>
      </c>
      <c r="H35" s="10">
        <f t="shared" si="0"/>
        <v>0</v>
      </c>
      <c r="I35" s="90">
        <f t="shared" si="1"/>
        <v>0</v>
      </c>
    </row>
    <row r="36" spans="2:9" x14ac:dyDescent="0.2">
      <c r="B36" s="287"/>
      <c r="C36" s="70"/>
      <c r="D36" s="71"/>
      <c r="E36" s="71"/>
      <c r="F36" s="72"/>
      <c r="G36" s="10">
        <f t="shared" si="2"/>
        <v>0</v>
      </c>
      <c r="H36" s="10">
        <f t="shared" si="0"/>
        <v>0</v>
      </c>
      <c r="I36" s="90">
        <f t="shared" si="1"/>
        <v>0</v>
      </c>
    </row>
    <row r="37" spans="2:9" x14ac:dyDescent="0.2">
      <c r="B37" s="287"/>
      <c r="C37" s="70"/>
      <c r="D37" s="71"/>
      <c r="E37" s="71"/>
      <c r="F37" s="72"/>
      <c r="G37" s="10">
        <f t="shared" si="2"/>
        <v>0</v>
      </c>
      <c r="H37" s="10">
        <f t="shared" si="0"/>
        <v>0</v>
      </c>
      <c r="I37" s="90">
        <f t="shared" si="1"/>
        <v>0</v>
      </c>
    </row>
    <row r="38" spans="2:9" x14ac:dyDescent="0.2">
      <c r="B38" s="287"/>
      <c r="C38" s="70"/>
      <c r="D38" s="71"/>
      <c r="E38" s="71"/>
      <c r="F38" s="72"/>
      <c r="G38" s="10">
        <f t="shared" si="2"/>
        <v>0</v>
      </c>
      <c r="H38" s="10">
        <f t="shared" si="0"/>
        <v>0</v>
      </c>
      <c r="I38" s="90">
        <f t="shared" si="1"/>
        <v>0</v>
      </c>
    </row>
    <row r="39" spans="2:9" x14ac:dyDescent="0.2">
      <c r="B39" s="287"/>
      <c r="C39" s="70"/>
      <c r="D39" s="71"/>
      <c r="E39" s="71"/>
      <c r="F39" s="72"/>
      <c r="G39" s="10">
        <f t="shared" si="2"/>
        <v>0</v>
      </c>
      <c r="H39" s="10">
        <f t="shared" si="0"/>
        <v>0</v>
      </c>
      <c r="I39" s="90">
        <f t="shared" si="1"/>
        <v>0</v>
      </c>
    </row>
    <row r="40" spans="2:9" x14ac:dyDescent="0.2">
      <c r="B40" s="287"/>
      <c r="C40" s="70"/>
      <c r="D40" s="71"/>
      <c r="E40" s="71"/>
      <c r="F40" s="72"/>
      <c r="G40" s="10">
        <f t="shared" si="2"/>
        <v>0</v>
      </c>
      <c r="H40" s="10">
        <f t="shared" si="0"/>
        <v>0</v>
      </c>
      <c r="I40" s="90">
        <f t="shared" si="1"/>
        <v>0</v>
      </c>
    </row>
    <row r="41" spans="2:9" x14ac:dyDescent="0.2">
      <c r="B41" s="287"/>
      <c r="C41" s="70"/>
      <c r="D41" s="71"/>
      <c r="E41" s="71"/>
      <c r="F41" s="72"/>
      <c r="G41" s="10">
        <f t="shared" si="2"/>
        <v>0</v>
      </c>
      <c r="H41" s="10">
        <f t="shared" si="0"/>
        <v>0</v>
      </c>
      <c r="I41" s="90">
        <f t="shared" si="1"/>
        <v>0</v>
      </c>
    </row>
    <row r="42" spans="2:9" x14ac:dyDescent="0.2">
      <c r="B42" s="288"/>
      <c r="C42" s="124" t="s">
        <v>18</v>
      </c>
      <c r="D42" s="10">
        <f>SUM(D15:D41)</f>
        <v>0</v>
      </c>
      <c r="E42" s="10">
        <f>SUM(E15:E41)</f>
        <v>0</v>
      </c>
      <c r="F42" s="12"/>
      <c r="G42" s="10">
        <f>SUM(G15:G41)</f>
        <v>0</v>
      </c>
      <c r="H42" s="10">
        <f>SUM(H15:H41)</f>
        <v>0</v>
      </c>
      <c r="I42" s="90">
        <f>SUM(I15:I41)</f>
        <v>0</v>
      </c>
    </row>
  </sheetData>
  <sheetProtection sheet="1" insertRows="0"/>
  <mergeCells count="1">
    <mergeCell ref="B6:D8"/>
  </mergeCells>
  <conditionalFormatting sqref="F15:F41">
    <cfRule type="cellIs" dxfId="58" priority="1" stopIfTrue="1" operator="greaterThan">
      <formula>1</formula>
    </cfRule>
  </conditionalFormatting>
  <pageMargins left="0.75" right="0.75" top="1" bottom="1" header="0.5" footer="0.5"/>
  <pageSetup paperSize="9" scale="30" orientation="landscape" r:id="rId1"/>
  <headerFooter alignWithMargins="0">
    <oddFooter>&amp;C_x000D_&amp;1#&amp;"Calibri"&amp;10&amp;K008000 APA-INTERNAL</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9A9797-FA7F-4011-90FF-DE7FEC2AE7E0}">
  <sheetPr codeName="Sheet11">
    <tabColor rgb="FF17415D"/>
  </sheetPr>
  <dimension ref="B1:J36"/>
  <sheetViews>
    <sheetView zoomScaleNormal="100" workbookViewId="0">
      <pane xSplit="1" ySplit="8" topLeftCell="B9" activePane="bottomRight" state="frozen"/>
      <selection pane="topRight" activeCell="B1" sqref="B1"/>
      <selection pane="bottomLeft" activeCell="A9" sqref="A9"/>
      <selection pane="bottomRight"/>
    </sheetView>
  </sheetViews>
  <sheetFormatPr defaultColWidth="9.42578125" defaultRowHeight="12.75" x14ac:dyDescent="0.2"/>
  <cols>
    <col min="1" max="1" width="11.42578125" style="204" customWidth="1"/>
    <col min="2" max="2" width="21" style="204" customWidth="1"/>
    <col min="3" max="3" width="36.42578125" style="204" customWidth="1"/>
    <col min="4" max="4" width="26.5703125" style="204" customWidth="1"/>
    <col min="5" max="5" width="23.5703125" style="204" customWidth="1"/>
    <col min="6" max="6" width="22.5703125" style="204" customWidth="1"/>
    <col min="7" max="7" width="20.5703125" style="204" customWidth="1"/>
    <col min="8" max="9" width="22.5703125" style="204" customWidth="1"/>
    <col min="10" max="10" width="35.42578125" style="204" customWidth="1"/>
    <col min="11" max="11" width="25.42578125" style="204" customWidth="1"/>
    <col min="12" max="16384" width="9.42578125" style="204"/>
  </cols>
  <sheetData>
    <row r="1" spans="2:10" ht="20.25" customHeight="1" x14ac:dyDescent="0.3">
      <c r="B1" s="135" t="s">
        <v>302</v>
      </c>
      <c r="C1" s="135"/>
      <c r="D1" s="203"/>
      <c r="E1" s="203"/>
      <c r="F1" s="203"/>
      <c r="G1" s="203"/>
      <c r="H1" s="203"/>
      <c r="I1" s="203"/>
    </row>
    <row r="2" spans="2:10" ht="20.25" customHeight="1" x14ac:dyDescent="0.3">
      <c r="B2" s="135" t="str">
        <f>IF(Tradingname=0," ",Tradingname)</f>
        <v>APA Pipelines Investments (BWP) Pty Limited</v>
      </c>
      <c r="C2" s="135"/>
      <c r="H2" s="205"/>
      <c r="I2" s="205"/>
    </row>
    <row r="3" spans="2:10" ht="20.25" customHeight="1" x14ac:dyDescent="0.3">
      <c r="B3" s="135" t="s">
        <v>109</v>
      </c>
      <c r="C3" s="99">
        <f>IF(Yearending=0, "01/01/2000", Yearending)</f>
        <v>45838</v>
      </c>
    </row>
    <row r="4" spans="2:10" ht="20.25" x14ac:dyDescent="0.2">
      <c r="B4" s="91" t="s">
        <v>255</v>
      </c>
      <c r="C4" s="91"/>
    </row>
    <row r="6" spans="2:10" x14ac:dyDescent="0.2">
      <c r="B6" s="434" t="s">
        <v>299</v>
      </c>
      <c r="C6" s="434"/>
      <c r="D6" s="434"/>
    </row>
    <row r="7" spans="2:10" ht="15.75" customHeight="1" x14ac:dyDescent="0.2">
      <c r="B7" s="434"/>
      <c r="C7" s="434"/>
      <c r="D7" s="434"/>
    </row>
    <row r="8" spans="2:10" ht="24" customHeight="1" x14ac:dyDescent="0.2">
      <c r="B8" s="434"/>
      <c r="C8" s="434"/>
      <c r="D8" s="434"/>
    </row>
    <row r="11" spans="2:10" ht="15.75" x14ac:dyDescent="0.25">
      <c r="B11" s="206" t="s">
        <v>271</v>
      </c>
      <c r="C11" s="207"/>
      <c r="D11" s="207"/>
      <c r="E11" s="207"/>
      <c r="F11" s="207"/>
      <c r="G11" s="210"/>
      <c r="H11" s="207"/>
      <c r="I11" s="207"/>
    </row>
    <row r="12" spans="2:10" ht="15.75" x14ac:dyDescent="0.25">
      <c r="B12" s="206"/>
      <c r="C12" s="207"/>
      <c r="D12" s="207"/>
      <c r="E12" s="207"/>
      <c r="F12" s="207"/>
      <c r="G12" s="210"/>
      <c r="H12" s="207"/>
      <c r="I12" s="207"/>
    </row>
    <row r="13" spans="2:10" ht="38.25" x14ac:dyDescent="0.2">
      <c r="B13" s="37" t="s">
        <v>307</v>
      </c>
      <c r="C13" s="37" t="s">
        <v>13</v>
      </c>
      <c r="D13" s="41" t="s">
        <v>48</v>
      </c>
      <c r="E13" s="38" t="s">
        <v>263</v>
      </c>
      <c r="F13" s="38" t="s">
        <v>264</v>
      </c>
      <c r="G13" s="38" t="s">
        <v>47</v>
      </c>
      <c r="H13" s="38" t="s">
        <v>62</v>
      </c>
      <c r="I13" s="38" t="s">
        <v>63</v>
      </c>
      <c r="J13" s="38" t="s">
        <v>193</v>
      </c>
    </row>
    <row r="14" spans="2:10" x14ac:dyDescent="0.2">
      <c r="B14" s="39"/>
      <c r="C14" s="39" t="s">
        <v>116</v>
      </c>
      <c r="D14" s="42"/>
      <c r="E14" s="40" t="s">
        <v>110</v>
      </c>
      <c r="F14" s="40" t="s">
        <v>110</v>
      </c>
      <c r="G14" s="40"/>
      <c r="H14" s="40" t="s">
        <v>110</v>
      </c>
      <c r="I14" s="40" t="s">
        <v>110</v>
      </c>
      <c r="J14" s="40" t="s">
        <v>110</v>
      </c>
    </row>
    <row r="15" spans="2:10" x14ac:dyDescent="0.2">
      <c r="B15" s="287"/>
      <c r="C15" s="34" t="s">
        <v>256</v>
      </c>
      <c r="D15" s="125"/>
      <c r="E15" s="71"/>
      <c r="F15" s="71"/>
      <c r="G15" s="72"/>
      <c r="H15" s="10">
        <f t="shared" ref="H15:H22" si="0">E15*G15</f>
        <v>0</v>
      </c>
      <c r="I15" s="10">
        <f t="shared" ref="I15:I22" si="1">F15*G15</f>
        <v>0</v>
      </c>
      <c r="J15" s="90">
        <f t="shared" ref="J15:J35" si="2">H15+I15</f>
        <v>0</v>
      </c>
    </row>
    <row r="16" spans="2:10" ht="25.5" x14ac:dyDescent="0.2">
      <c r="B16" s="287"/>
      <c r="C16" s="34" t="s">
        <v>43</v>
      </c>
      <c r="D16" s="125"/>
      <c r="E16" s="71"/>
      <c r="F16" s="71"/>
      <c r="G16" s="72"/>
      <c r="H16" s="10">
        <f t="shared" si="0"/>
        <v>0</v>
      </c>
      <c r="I16" s="10">
        <f t="shared" si="1"/>
        <v>0</v>
      </c>
      <c r="J16" s="90">
        <f t="shared" si="2"/>
        <v>0</v>
      </c>
    </row>
    <row r="17" spans="2:10" x14ac:dyDescent="0.2">
      <c r="B17" s="287"/>
      <c r="C17" s="43" t="s">
        <v>150</v>
      </c>
      <c r="D17" s="125"/>
      <c r="E17" s="71"/>
      <c r="F17" s="71"/>
      <c r="G17" s="72"/>
      <c r="H17" s="10">
        <f t="shared" si="0"/>
        <v>0</v>
      </c>
      <c r="I17" s="10">
        <f t="shared" si="1"/>
        <v>0</v>
      </c>
      <c r="J17" s="90">
        <f t="shared" si="2"/>
        <v>0</v>
      </c>
    </row>
    <row r="18" spans="2:10" x14ac:dyDescent="0.2">
      <c r="B18" s="354" t="s">
        <v>565</v>
      </c>
      <c r="C18" s="34" t="s">
        <v>39</v>
      </c>
      <c r="D18" s="125"/>
      <c r="E18" s="71">
        <v>55278031</v>
      </c>
      <c r="F18" s="71"/>
      <c r="G18" s="72">
        <v>1.1060784624608499E-2</v>
      </c>
      <c r="H18" s="10">
        <f t="shared" si="0"/>
        <v>611418.39536343201</v>
      </c>
      <c r="I18" s="10">
        <f t="shared" si="1"/>
        <v>0</v>
      </c>
      <c r="J18" s="90">
        <f t="shared" si="2"/>
        <v>611418.39536343201</v>
      </c>
    </row>
    <row r="19" spans="2:10" x14ac:dyDescent="0.2">
      <c r="B19" s="287"/>
      <c r="C19" s="34" t="s">
        <v>44</v>
      </c>
      <c r="D19" s="125"/>
      <c r="E19" s="71"/>
      <c r="F19" s="71"/>
      <c r="G19" s="72"/>
      <c r="H19" s="10">
        <f t="shared" si="0"/>
        <v>0</v>
      </c>
      <c r="I19" s="10">
        <f t="shared" si="1"/>
        <v>0</v>
      </c>
      <c r="J19" s="90">
        <f t="shared" si="2"/>
        <v>0</v>
      </c>
    </row>
    <row r="20" spans="2:10" x14ac:dyDescent="0.2">
      <c r="B20" s="287"/>
      <c r="C20" s="43" t="s">
        <v>81</v>
      </c>
      <c r="D20" s="125"/>
      <c r="E20" s="71"/>
      <c r="F20" s="71"/>
      <c r="G20" s="72"/>
      <c r="H20" s="10">
        <f t="shared" si="0"/>
        <v>0</v>
      </c>
      <c r="I20" s="10">
        <f t="shared" si="1"/>
        <v>0</v>
      </c>
      <c r="J20" s="90">
        <f t="shared" si="2"/>
        <v>0</v>
      </c>
    </row>
    <row r="21" spans="2:10" x14ac:dyDescent="0.2">
      <c r="B21" s="287"/>
      <c r="C21" s="43" t="s">
        <v>40</v>
      </c>
      <c r="D21" s="125"/>
      <c r="E21" s="71"/>
      <c r="F21" s="71"/>
      <c r="G21" s="72"/>
      <c r="H21" s="10">
        <f t="shared" si="0"/>
        <v>0</v>
      </c>
      <c r="I21" s="10">
        <f t="shared" si="1"/>
        <v>0</v>
      </c>
      <c r="J21" s="90">
        <f t="shared" si="2"/>
        <v>0</v>
      </c>
    </row>
    <row r="22" spans="2:10" ht="25.5" x14ac:dyDescent="0.2">
      <c r="B22" s="287"/>
      <c r="C22" s="43" t="s">
        <v>151</v>
      </c>
      <c r="D22" s="125"/>
      <c r="E22" s="71"/>
      <c r="F22" s="71"/>
      <c r="G22" s="72"/>
      <c r="H22" s="10">
        <f t="shared" si="0"/>
        <v>0</v>
      </c>
      <c r="I22" s="10">
        <f t="shared" si="1"/>
        <v>0</v>
      </c>
      <c r="J22" s="90">
        <f t="shared" si="2"/>
        <v>0</v>
      </c>
    </row>
    <row r="23" spans="2:10" x14ac:dyDescent="0.2">
      <c r="B23" s="287"/>
      <c r="C23" s="34" t="s">
        <v>258</v>
      </c>
      <c r="D23" s="125"/>
      <c r="E23" s="126">
        <f>SUM(E24:E35)</f>
        <v>205056471.24199873</v>
      </c>
      <c r="F23" s="126">
        <f>SUM(F24:F35)</f>
        <v>0</v>
      </c>
      <c r="G23" s="127"/>
      <c r="H23" s="126">
        <f>SUM(H24:H35)</f>
        <v>2268085.4642899893</v>
      </c>
      <c r="I23" s="126">
        <f>SUM(I24:I35)</f>
        <v>0</v>
      </c>
      <c r="J23" s="90">
        <f t="shared" si="2"/>
        <v>2268085.4642899893</v>
      </c>
    </row>
    <row r="24" spans="2:10" x14ac:dyDescent="0.2">
      <c r="B24" s="348" t="s">
        <v>565</v>
      </c>
      <c r="C24" s="70" t="s">
        <v>544</v>
      </c>
      <c r="D24" s="125"/>
      <c r="E24" s="71">
        <v>190714348.27999875</v>
      </c>
      <c r="F24" s="71"/>
      <c r="G24" s="72">
        <v>1.106078462460857E-2</v>
      </c>
      <c r="H24" s="10">
        <f>E24*G24</f>
        <v>2109450.331147654</v>
      </c>
      <c r="I24" s="10">
        <f t="shared" ref="I24:I35" si="3">F24*G24</f>
        <v>0</v>
      </c>
      <c r="J24" s="90">
        <f t="shared" si="2"/>
        <v>2109450.331147654</v>
      </c>
    </row>
    <row r="25" spans="2:10" x14ac:dyDescent="0.2">
      <c r="B25" s="348" t="s">
        <v>565</v>
      </c>
      <c r="C25" s="70" t="s">
        <v>545</v>
      </c>
      <c r="D25" s="125"/>
      <c r="E25" s="71">
        <v>1942424.69</v>
      </c>
      <c r="F25" s="71"/>
      <c r="G25" s="72">
        <v>1.106078462460857E-2</v>
      </c>
      <c r="H25" s="10">
        <f>E25*G25</f>
        <v>21484.741145612068</v>
      </c>
      <c r="I25" s="10">
        <f t="shared" si="3"/>
        <v>0</v>
      </c>
      <c r="J25" s="90">
        <f t="shared" si="2"/>
        <v>21484.741145612068</v>
      </c>
    </row>
    <row r="26" spans="2:10" x14ac:dyDescent="0.2">
      <c r="B26" s="348" t="s">
        <v>565</v>
      </c>
      <c r="C26" s="70" t="s">
        <v>546</v>
      </c>
      <c r="D26" s="125"/>
      <c r="E26" s="71">
        <v>12399698.271999989</v>
      </c>
      <c r="F26" s="71"/>
      <c r="G26" s="72">
        <v>1.106078462460857E-2</v>
      </c>
      <c r="H26" s="10">
        <f t="shared" ref="H26:H35" si="4">E26*G26</f>
        <v>137150.39199672293</v>
      </c>
      <c r="I26" s="10">
        <f t="shared" si="3"/>
        <v>0</v>
      </c>
      <c r="J26" s="90">
        <f t="shared" si="2"/>
        <v>137150.39199672293</v>
      </c>
    </row>
    <row r="27" spans="2:10" x14ac:dyDescent="0.2">
      <c r="B27" s="287"/>
      <c r="C27" s="70"/>
      <c r="D27" s="125"/>
      <c r="E27" s="71"/>
      <c r="F27" s="71"/>
      <c r="G27" s="72"/>
      <c r="H27" s="10">
        <f t="shared" si="4"/>
        <v>0</v>
      </c>
      <c r="I27" s="10">
        <f t="shared" si="3"/>
        <v>0</v>
      </c>
      <c r="J27" s="90">
        <f t="shared" si="2"/>
        <v>0</v>
      </c>
    </row>
    <row r="28" spans="2:10" x14ac:dyDescent="0.2">
      <c r="B28" s="287"/>
      <c r="C28" s="70"/>
      <c r="D28" s="125"/>
      <c r="E28" s="71"/>
      <c r="F28" s="71"/>
      <c r="G28" s="72"/>
      <c r="H28" s="10">
        <f t="shared" si="4"/>
        <v>0</v>
      </c>
      <c r="I28" s="10">
        <f t="shared" si="3"/>
        <v>0</v>
      </c>
      <c r="J28" s="90">
        <f t="shared" si="2"/>
        <v>0</v>
      </c>
    </row>
    <row r="29" spans="2:10" x14ac:dyDescent="0.2">
      <c r="B29" s="287"/>
      <c r="C29" s="70"/>
      <c r="D29" s="125"/>
      <c r="E29" s="71"/>
      <c r="F29" s="71"/>
      <c r="G29" s="72"/>
      <c r="H29" s="10">
        <f t="shared" si="4"/>
        <v>0</v>
      </c>
      <c r="I29" s="10">
        <f t="shared" si="3"/>
        <v>0</v>
      </c>
      <c r="J29" s="90">
        <f t="shared" si="2"/>
        <v>0</v>
      </c>
    </row>
    <row r="30" spans="2:10" x14ac:dyDescent="0.2">
      <c r="B30" s="287"/>
      <c r="C30" s="70"/>
      <c r="D30" s="125"/>
      <c r="E30" s="71"/>
      <c r="F30" s="71"/>
      <c r="G30" s="72"/>
      <c r="H30" s="10">
        <f t="shared" si="4"/>
        <v>0</v>
      </c>
      <c r="I30" s="10">
        <f t="shared" si="3"/>
        <v>0</v>
      </c>
      <c r="J30" s="90">
        <f t="shared" si="2"/>
        <v>0</v>
      </c>
    </row>
    <row r="31" spans="2:10" x14ac:dyDescent="0.2">
      <c r="B31" s="287"/>
      <c r="C31" s="70"/>
      <c r="D31" s="125"/>
      <c r="E31" s="71"/>
      <c r="F31" s="71"/>
      <c r="G31" s="72"/>
      <c r="H31" s="10">
        <f t="shared" si="4"/>
        <v>0</v>
      </c>
      <c r="I31" s="10">
        <f t="shared" si="3"/>
        <v>0</v>
      </c>
      <c r="J31" s="90">
        <f t="shared" si="2"/>
        <v>0</v>
      </c>
    </row>
    <row r="32" spans="2:10" x14ac:dyDescent="0.2">
      <c r="B32" s="287"/>
      <c r="C32" s="70"/>
      <c r="D32" s="125"/>
      <c r="E32" s="71"/>
      <c r="F32" s="71"/>
      <c r="G32" s="72"/>
      <c r="H32" s="10">
        <f t="shared" si="4"/>
        <v>0</v>
      </c>
      <c r="I32" s="10">
        <f t="shared" si="3"/>
        <v>0</v>
      </c>
      <c r="J32" s="90">
        <f t="shared" si="2"/>
        <v>0</v>
      </c>
    </row>
    <row r="33" spans="2:10" x14ac:dyDescent="0.2">
      <c r="B33" s="287"/>
      <c r="C33" s="70"/>
      <c r="D33" s="125"/>
      <c r="E33" s="71"/>
      <c r="F33" s="71"/>
      <c r="G33" s="72"/>
      <c r="H33" s="10">
        <f t="shared" si="4"/>
        <v>0</v>
      </c>
      <c r="I33" s="10">
        <f t="shared" si="3"/>
        <v>0</v>
      </c>
      <c r="J33" s="90">
        <f t="shared" si="2"/>
        <v>0</v>
      </c>
    </row>
    <row r="34" spans="2:10" x14ac:dyDescent="0.2">
      <c r="B34" s="287"/>
      <c r="C34" s="70"/>
      <c r="D34" s="125"/>
      <c r="E34" s="71"/>
      <c r="F34" s="71"/>
      <c r="G34" s="72"/>
      <c r="H34" s="10">
        <f t="shared" si="4"/>
        <v>0</v>
      </c>
      <c r="I34" s="10">
        <f t="shared" si="3"/>
        <v>0</v>
      </c>
      <c r="J34" s="90">
        <f t="shared" si="2"/>
        <v>0</v>
      </c>
    </row>
    <row r="35" spans="2:10" x14ac:dyDescent="0.2">
      <c r="B35" s="287"/>
      <c r="C35" s="70"/>
      <c r="D35" s="125"/>
      <c r="E35" s="71"/>
      <c r="F35" s="71"/>
      <c r="G35" s="72"/>
      <c r="H35" s="10">
        <f t="shared" si="4"/>
        <v>0</v>
      </c>
      <c r="I35" s="10">
        <f t="shared" si="3"/>
        <v>0</v>
      </c>
      <c r="J35" s="90">
        <f t="shared" si="2"/>
        <v>0</v>
      </c>
    </row>
    <row r="36" spans="2:10" x14ac:dyDescent="0.2">
      <c r="B36" s="288"/>
      <c r="C36" s="435" t="s">
        <v>82</v>
      </c>
      <c r="D36" s="436"/>
      <c r="E36" s="10">
        <f>SUM(E15:E23)</f>
        <v>260334502.24199873</v>
      </c>
      <c r="F36" s="10">
        <f>SUM(F15:F23)</f>
        <v>0</v>
      </c>
      <c r="G36" s="128"/>
      <c r="H36" s="10">
        <f>SUM(H15:H23)</f>
        <v>2879503.8596534212</v>
      </c>
      <c r="I36" s="10">
        <f>SUM(I15:I23)</f>
        <v>0</v>
      </c>
      <c r="J36" s="90">
        <f>SUM(J15:J23)</f>
        <v>2879503.8596534212</v>
      </c>
    </row>
  </sheetData>
  <sheetProtection sheet="1"/>
  <mergeCells count="2">
    <mergeCell ref="B6:D8"/>
    <mergeCell ref="C36:D36"/>
  </mergeCells>
  <phoneticPr fontId="30" type="noConversion"/>
  <pageMargins left="0.75" right="0.75" top="1" bottom="1" header="0.5" footer="0.5"/>
  <pageSetup paperSize="9" scale="30" orientation="landscape" r:id="rId1"/>
  <headerFooter alignWithMargins="0">
    <oddFooter>&amp;C_x000D_&amp;1#&amp;"Calibri"&amp;10&amp;K008000 APA-INTERNAL</oddFooter>
  </headerFooter>
  <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2CF6EA-E37A-4E69-9E35-112801BE625C}">
  <sheetPr codeName="Sheet3">
    <tabColor rgb="FF17415D"/>
    <pageSetUpPr fitToPage="1"/>
  </sheetPr>
  <dimension ref="B1:H132"/>
  <sheetViews>
    <sheetView zoomScale="96" zoomScaleNormal="130" workbookViewId="0">
      <pane xSplit="1" ySplit="10" topLeftCell="B11" activePane="bottomRight" state="frozen"/>
      <selection pane="topRight" activeCell="B1" sqref="B1"/>
      <selection pane="bottomLeft" activeCell="A11" sqref="A11"/>
      <selection pane="bottomRight"/>
    </sheetView>
  </sheetViews>
  <sheetFormatPr defaultColWidth="9.42578125" defaultRowHeight="12.75" x14ac:dyDescent="0.2"/>
  <cols>
    <col min="1" max="1" width="12" style="4" customWidth="1"/>
    <col min="2" max="2" width="18.5703125" style="4" customWidth="1"/>
    <col min="3" max="3" width="67.42578125" style="4" customWidth="1"/>
    <col min="4" max="5" width="20.5703125" style="4" customWidth="1"/>
    <col min="6" max="6" width="9.42578125" style="4"/>
    <col min="7" max="7" width="13.42578125" style="4" customWidth="1"/>
    <col min="8" max="8" width="15.42578125" style="4" customWidth="1"/>
    <col min="9" max="16384" width="9.42578125" style="4"/>
  </cols>
  <sheetData>
    <row r="1" spans="2:6" ht="20.25" x14ac:dyDescent="0.2">
      <c r="B1" s="135" t="s">
        <v>302</v>
      </c>
      <c r="C1" s="135"/>
    </row>
    <row r="2" spans="2:6" ht="20.25" x14ac:dyDescent="0.2">
      <c r="B2" s="135" t="str">
        <f>IF(Tradingname=0," ",Tradingname)</f>
        <v>APA Pipelines Investments (BWP) Pty Limited</v>
      </c>
      <c r="C2" s="135"/>
      <c r="E2" s="265"/>
    </row>
    <row r="3" spans="2:6" ht="20.25" x14ac:dyDescent="0.3">
      <c r="B3" s="135" t="s">
        <v>109</v>
      </c>
      <c r="C3" s="99">
        <f>IF(Yearending=0, "01/01/2000", Yearending)</f>
        <v>45838</v>
      </c>
    </row>
    <row r="4" spans="2:6" ht="45" customHeight="1" x14ac:dyDescent="0.2">
      <c r="B4" s="438" t="s">
        <v>447</v>
      </c>
      <c r="C4" s="438"/>
      <c r="D4" s="248"/>
    </row>
    <row r="5" spans="2:6" x14ac:dyDescent="0.2">
      <c r="D5" s="266"/>
    </row>
    <row r="6" spans="2:6" ht="12.75" customHeight="1" x14ac:dyDescent="0.2">
      <c r="B6" s="434" t="s">
        <v>476</v>
      </c>
      <c r="C6" s="434"/>
      <c r="D6" s="434"/>
      <c r="E6" s="434"/>
      <c r="F6" s="434"/>
    </row>
    <row r="7" spans="2:6" ht="12.75" customHeight="1" x14ac:dyDescent="0.2">
      <c r="B7" s="434"/>
      <c r="C7" s="434"/>
      <c r="D7" s="434"/>
      <c r="E7" s="434"/>
      <c r="F7" s="434"/>
    </row>
    <row r="8" spans="2:6" ht="12.75" customHeight="1" x14ac:dyDescent="0.2">
      <c r="B8" s="434"/>
      <c r="C8" s="434"/>
      <c r="D8" s="434"/>
      <c r="E8" s="434"/>
      <c r="F8" s="434"/>
    </row>
    <row r="9" spans="2:6" ht="12.75" customHeight="1" x14ac:dyDescent="0.2">
      <c r="B9" s="434"/>
      <c r="C9" s="434"/>
      <c r="D9" s="434"/>
      <c r="E9" s="434"/>
      <c r="F9" s="434"/>
    </row>
    <row r="10" spans="2:6" ht="12.75" customHeight="1" x14ac:dyDescent="0.2">
      <c r="B10" s="434"/>
      <c r="C10" s="434"/>
      <c r="D10" s="434"/>
      <c r="E10" s="434"/>
      <c r="F10" s="434"/>
    </row>
    <row r="11" spans="2:6" x14ac:dyDescent="0.2">
      <c r="D11" s="266"/>
    </row>
    <row r="12" spans="2:6" x14ac:dyDescent="0.2">
      <c r="D12" s="266"/>
    </row>
    <row r="13" spans="2:6" ht="15.75" x14ac:dyDescent="0.2">
      <c r="B13" s="437" t="s">
        <v>373</v>
      </c>
      <c r="C13" s="437"/>
      <c r="D13" s="266"/>
    </row>
    <row r="15" spans="2:6" ht="25.5" x14ac:dyDescent="0.2">
      <c r="B15" s="44" t="s">
        <v>307</v>
      </c>
      <c r="C15" s="45" t="s">
        <v>13</v>
      </c>
      <c r="D15" s="45" t="s">
        <v>129</v>
      </c>
      <c r="E15" s="219" t="s">
        <v>130</v>
      </c>
    </row>
    <row r="16" spans="2:6" x14ac:dyDescent="0.2">
      <c r="B16" s="44"/>
      <c r="C16" s="46" t="s">
        <v>46</v>
      </c>
      <c r="D16" s="219"/>
      <c r="E16" s="219"/>
    </row>
    <row r="17" spans="2:7" x14ac:dyDescent="0.2">
      <c r="B17" s="289"/>
      <c r="C17" s="48" t="s">
        <v>340</v>
      </c>
      <c r="D17" s="45"/>
      <c r="E17" s="219"/>
    </row>
    <row r="18" spans="2:7" x14ac:dyDescent="0.2">
      <c r="B18" s="344" t="s">
        <v>557</v>
      </c>
      <c r="C18" s="47" t="s">
        <v>377</v>
      </c>
      <c r="D18" s="129">
        <f>IF(Cover!C23="Scheme pipeline","-",SUMIF('3.5 Depreciation amortisation'!$D$15:$D$58,'3.1 Depreciated Book Value'!C17,'3.5 Depreciation amortisation'!$H$15:$H$58))</f>
        <v>92449755.650000021</v>
      </c>
      <c r="E18" s="66">
        <v>90625311.310000017</v>
      </c>
    </row>
    <row r="19" spans="2:7" x14ac:dyDescent="0.2">
      <c r="B19" s="344" t="s">
        <v>557</v>
      </c>
      <c r="C19" s="47" t="s">
        <v>52</v>
      </c>
      <c r="D19" s="129">
        <f>IF(Cover!C23="Scheme pipeline","-",SUMIF('3.5 Depreciation amortisation'!$D$15:$D$58,'3.1 Depreciated Book Value'!C17,'3.5 Depreciation amortisation'!$I$15:$I$58))</f>
        <v>1</v>
      </c>
      <c r="E19" s="66">
        <v>1824444.34</v>
      </c>
    </row>
    <row r="20" spans="2:7" x14ac:dyDescent="0.2">
      <c r="B20" s="344" t="s">
        <v>557</v>
      </c>
      <c r="C20" s="47" t="s">
        <v>156</v>
      </c>
      <c r="D20" s="129">
        <f>IF(Cover!C23="Scheme pipeline","-",SUMIF('3.5 Depreciation amortisation'!$D$15:$D$58,'3.1 Depreciated Book Value'!C17,'3.5 Depreciation amortisation'!$J$15:$J$58))</f>
        <v>0</v>
      </c>
      <c r="E20" s="66">
        <v>0</v>
      </c>
    </row>
    <row r="21" spans="2:7" x14ac:dyDescent="0.2">
      <c r="B21" s="349"/>
      <c r="C21" s="84" t="s">
        <v>87</v>
      </c>
      <c r="D21" s="129">
        <f>IF(Cover!C23="Scheme pipeline","-",SUM(D18:D20))</f>
        <v>92449756.650000021</v>
      </c>
      <c r="E21" s="129">
        <f>SUM(E18:E20)</f>
        <v>92449755.650000021</v>
      </c>
    </row>
    <row r="22" spans="2:7" x14ac:dyDescent="0.2">
      <c r="B22" s="344" t="s">
        <v>557</v>
      </c>
      <c r="C22" s="47" t="s">
        <v>356</v>
      </c>
      <c r="D22" s="129">
        <f>IF(Cover!C23="Scheme pipeline","-",-ABS(SUMIF('3.5 Depreciation amortisation'!$D$15:$D$58,'3.1 Depreciated Book Value'!C17,'3.5 Depreciation amortisation'!$O$15:$O$58)+SUMIF('3.5 Depreciation amortisation'!$D$15:$D$58,'3.1 Depreciated Book Value'!C17,'3.5 Depreciation amortisation'!$P$15:$P$58))-D23)</f>
        <v>-46051805.290000014</v>
      </c>
      <c r="E22" s="66">
        <v>-41841013.230000012</v>
      </c>
    </row>
    <row r="23" spans="2:7" x14ac:dyDescent="0.2">
      <c r="B23" s="344" t="s">
        <v>557</v>
      </c>
      <c r="C23" s="47" t="s">
        <v>357</v>
      </c>
      <c r="D23" s="129">
        <f>IF(Cover!C23="Scheme pipeline","-",-ABS(SUMIF('3.4 Asset impairment'!$C$10:$C$24,'3.1 Depreciated Book Value'!C17,'3.4 Asset impairment'!$D$10:$D$24))+SUMIF('3.4 Asset impairment'!$C$30:$C$56,'3.1 Depreciated Book Value'!C17,'3.4 Asset impairment'!$G$30:$G$56))</f>
        <v>0</v>
      </c>
      <c r="E23" s="66">
        <v>0</v>
      </c>
    </row>
    <row r="24" spans="2:7" x14ac:dyDescent="0.2">
      <c r="B24" s="344" t="s">
        <v>557</v>
      </c>
      <c r="C24" s="47" t="s">
        <v>165</v>
      </c>
      <c r="D24" s="129">
        <f>IF(Cover!C23="Scheme pipeline","-",SUMIF('3.5 Depreciation amortisation'!$D$15:$D$58,'3.1 Depreciated Book Value'!C17,'3.5 Depreciation amortisation'!$K$15:$K$58))</f>
        <v>0</v>
      </c>
      <c r="E24" s="66">
        <v>0</v>
      </c>
      <c r="F24" s="246"/>
    </row>
    <row r="25" spans="2:7" x14ac:dyDescent="0.2">
      <c r="B25" s="349"/>
      <c r="C25" s="84" t="s">
        <v>158</v>
      </c>
      <c r="D25" s="129">
        <f>IF(Cover!C23="Scheme pipeline","-",SUM(D21:D24))</f>
        <v>46397951.360000007</v>
      </c>
      <c r="E25" s="129">
        <f>SUM(E21:E24)</f>
        <v>50608742.420000009</v>
      </c>
    </row>
    <row r="26" spans="2:7" x14ac:dyDescent="0.2">
      <c r="B26" s="349"/>
      <c r="C26" s="48" t="s">
        <v>341</v>
      </c>
      <c r="D26" s="130"/>
      <c r="E26" s="130"/>
      <c r="G26" s="159"/>
    </row>
    <row r="27" spans="2:7" x14ac:dyDescent="0.2">
      <c r="B27" s="344" t="s">
        <v>557</v>
      </c>
      <c r="C27" s="47" t="s">
        <v>377</v>
      </c>
      <c r="D27" s="129">
        <f>IF(Cover!C23="Scheme pipeline","-",SUMIF('3.5 Depreciation amortisation'!$D$15:$D$58,'3.1 Depreciated Book Value'!C26,'3.5 Depreciation amortisation'!$H$15:$H$58))</f>
        <v>0</v>
      </c>
      <c r="E27" s="66">
        <v>0</v>
      </c>
      <c r="G27" s="159"/>
    </row>
    <row r="28" spans="2:7" x14ac:dyDescent="0.2">
      <c r="B28" s="344" t="s">
        <v>557</v>
      </c>
      <c r="C28" s="47" t="s">
        <v>52</v>
      </c>
      <c r="D28" s="129">
        <f>IF(Cover!C23="Scheme pipeline","-",SUMIF('3.5 Depreciation amortisation'!$D$15:$D$58,'3.1 Depreciated Book Value'!C26,'3.5 Depreciation amortisation'!$I$15:$I$58))</f>
        <v>0</v>
      </c>
      <c r="E28" s="66">
        <v>0</v>
      </c>
      <c r="G28" s="159"/>
    </row>
    <row r="29" spans="2:7" x14ac:dyDescent="0.2">
      <c r="B29" s="344" t="s">
        <v>557</v>
      </c>
      <c r="C29" s="47" t="s">
        <v>156</v>
      </c>
      <c r="D29" s="129">
        <f>IF(Cover!C23="Scheme pipeline","-",SUMIF('3.5 Depreciation amortisation'!$D$15:$D$58,'3.1 Depreciated Book Value'!C26,'3.5 Depreciation amortisation'!$J$15:$J$58))</f>
        <v>0</v>
      </c>
      <c r="E29" s="66">
        <v>0</v>
      </c>
      <c r="G29" s="159"/>
    </row>
    <row r="30" spans="2:7" x14ac:dyDescent="0.2">
      <c r="B30" s="344" t="s">
        <v>557</v>
      </c>
      <c r="C30" s="47" t="s">
        <v>356</v>
      </c>
      <c r="D30" s="129">
        <f>IF(Cover!C23="Scheme pipeline","-",-ABS(SUMIF('3.5 Depreciation amortisation'!$D$15:$D$58,'3.1 Depreciated Book Value'!C26,'3.5 Depreciation amortisation'!$O$15:$O$58)+SUMIF('3.5 Depreciation amortisation'!$D$15:$D$58,'3.1 Depreciated Book Value'!C26,'3.5 Depreciation amortisation'!$P$15:$P$58))-D31)</f>
        <v>0</v>
      </c>
      <c r="E30" s="66">
        <v>0</v>
      </c>
      <c r="F30" s="246"/>
      <c r="G30" s="159"/>
    </row>
    <row r="31" spans="2:7" x14ac:dyDescent="0.2">
      <c r="B31" s="344" t="s">
        <v>557</v>
      </c>
      <c r="C31" s="47" t="s">
        <v>357</v>
      </c>
      <c r="D31" s="129">
        <f>IF(Cover!C23="Scheme pipeline","-",-ABS(SUMIF('3.4 Asset impairment'!$C$10:$C$24,'3.1 Depreciated Book Value'!C26,'3.4 Asset impairment'!$D$10:$D$24))+SUMIF('3.4 Asset impairment'!$C$30:$C$56,C26,'3.4 Asset impairment'!$G$30:$G$56))</f>
        <v>0</v>
      </c>
      <c r="E31" s="66">
        <v>0</v>
      </c>
      <c r="F31" s="246"/>
      <c r="G31" s="159"/>
    </row>
    <row r="32" spans="2:7" ht="11.25" customHeight="1" x14ac:dyDescent="0.2">
      <c r="B32" s="344" t="s">
        <v>557</v>
      </c>
      <c r="C32" s="47" t="s">
        <v>165</v>
      </c>
      <c r="D32" s="129">
        <f>IF(Cover!C23="Scheme pipeline","-",SUMIF('3.5 Depreciation amortisation'!$D$15:$D$58,'3.1 Depreciated Book Value'!C26,'3.5 Depreciation amortisation'!$K$15:$K$58))</f>
        <v>0</v>
      </c>
      <c r="E32" s="66">
        <v>0</v>
      </c>
      <c r="G32" s="159"/>
    </row>
    <row r="33" spans="2:7" x14ac:dyDescent="0.2">
      <c r="B33" s="349"/>
      <c r="C33" s="84" t="s">
        <v>60</v>
      </c>
      <c r="D33" s="129">
        <f>IF(Cover!C23="Scheme pipeline","-",SUM(D27:D32))</f>
        <v>0</v>
      </c>
      <c r="E33" s="129">
        <f>SUM(E27:E32)</f>
        <v>0</v>
      </c>
      <c r="G33" s="159"/>
    </row>
    <row r="34" spans="2:7" x14ac:dyDescent="0.2">
      <c r="B34" s="349"/>
      <c r="C34" s="48" t="s">
        <v>342</v>
      </c>
      <c r="D34" s="130"/>
      <c r="E34" s="130"/>
      <c r="G34" s="158"/>
    </row>
    <row r="35" spans="2:7" x14ac:dyDescent="0.2">
      <c r="B35" s="344" t="s">
        <v>557</v>
      </c>
      <c r="C35" s="47" t="s">
        <v>377</v>
      </c>
      <c r="D35" s="129">
        <f>IF(Cover!C23="Scheme pipeline","-",SUMIF('3.5 Depreciation amortisation'!$D$15:$D$58,'3.1 Depreciated Book Value'!C34,'3.5 Depreciation amortisation'!$H$15:$H$58))</f>
        <v>182903.94</v>
      </c>
      <c r="E35" s="66">
        <v>182903.94</v>
      </c>
    </row>
    <row r="36" spans="2:7" x14ac:dyDescent="0.2">
      <c r="B36" s="344" t="s">
        <v>557</v>
      </c>
      <c r="C36" s="47" t="s">
        <v>52</v>
      </c>
      <c r="D36" s="129">
        <f>IF(Cover!C23="Scheme pipeline","-",SUMIF('3.5 Depreciation amortisation'!$D$15:$D$58,'3.1 Depreciated Book Value'!C34,'3.5 Depreciation amortisation'!$I$15:$I$58))</f>
        <v>0</v>
      </c>
      <c r="E36" s="66">
        <v>0</v>
      </c>
    </row>
    <row r="37" spans="2:7" x14ac:dyDescent="0.2">
      <c r="B37" s="344" t="s">
        <v>557</v>
      </c>
      <c r="C37" s="47" t="s">
        <v>156</v>
      </c>
      <c r="D37" s="129">
        <f>IF(Cover!C23="Scheme pipeline","-",SUMIF('3.5 Depreciation amortisation'!$D$15:$D$58,'3.1 Depreciated Book Value'!C34,'3.5 Depreciation amortisation'!$J$15:$J$58))</f>
        <v>0</v>
      </c>
      <c r="E37" s="66">
        <v>0</v>
      </c>
    </row>
    <row r="38" spans="2:7" x14ac:dyDescent="0.2">
      <c r="B38" s="344" t="s">
        <v>557</v>
      </c>
      <c r="C38" s="47" t="s">
        <v>356</v>
      </c>
      <c r="D38" s="129">
        <f>IF(Cover!C23="Scheme pipeline","-",-ABS(SUMIF('3.5 Depreciation amortisation'!$D$15:$D$58,'3.1 Depreciated Book Value'!C34,'3.5 Depreciation amortisation'!$O$15:$O$58)+SUMIF('3.5 Depreciation amortisation'!$D$15:$D$58,'3.1 Depreciated Book Value'!C34,'3.5 Depreciation amortisation'!$P$15:$P$58))-D39)</f>
        <v>-101941.01</v>
      </c>
      <c r="E38" s="66">
        <v>-95506.87</v>
      </c>
      <c r="F38" s="246"/>
    </row>
    <row r="39" spans="2:7" x14ac:dyDescent="0.2">
      <c r="B39" s="344" t="s">
        <v>557</v>
      </c>
      <c r="C39" s="47" t="s">
        <v>357</v>
      </c>
      <c r="D39" s="129">
        <f>IF(Cover!C23="Scheme pipeline","-",-ABS(SUMIF('3.4 Asset impairment'!$C$10:$C$24,'3.1 Depreciated Book Value'!C34,'3.4 Asset impairment'!$D$10:$D$24))+SUMIF('3.4 Asset impairment'!$C$30:$C$56,'3.1 Depreciated Book Value'!C34,'3.4 Asset impairment'!$G$30:$G$56))</f>
        <v>0</v>
      </c>
      <c r="E39" s="66">
        <v>0</v>
      </c>
      <c r="F39" s="246"/>
    </row>
    <row r="40" spans="2:7" ht="11.25" customHeight="1" x14ac:dyDescent="0.2">
      <c r="B40" s="344" t="s">
        <v>557</v>
      </c>
      <c r="C40" s="47" t="s">
        <v>165</v>
      </c>
      <c r="D40" s="129">
        <f>IF(Cover!C23="Scheme pipeline","-",SUMIF('3.5 Depreciation amortisation'!$D$15:$D$58,'3.1 Depreciated Book Value'!C34,'3.5 Depreciation amortisation'!$K$15:$K$58))</f>
        <v>0</v>
      </c>
      <c r="E40" s="66">
        <v>0</v>
      </c>
    </row>
    <row r="41" spans="2:7" x14ac:dyDescent="0.2">
      <c r="B41" s="349"/>
      <c r="C41" s="84" t="s">
        <v>88</v>
      </c>
      <c r="D41" s="129">
        <f>SUM(D35:D40)</f>
        <v>80962.930000000008</v>
      </c>
      <c r="E41" s="129">
        <f>SUM(E35:E40)</f>
        <v>87397.07</v>
      </c>
    </row>
    <row r="42" spans="2:7" x14ac:dyDescent="0.2">
      <c r="B42" s="349"/>
      <c r="C42" s="48" t="s">
        <v>343</v>
      </c>
      <c r="D42" s="130"/>
      <c r="E42" s="130"/>
    </row>
    <row r="43" spans="2:7" x14ac:dyDescent="0.2">
      <c r="B43" s="344" t="s">
        <v>557</v>
      </c>
      <c r="C43" s="47" t="s">
        <v>377</v>
      </c>
      <c r="D43" s="129">
        <f>IF(Cover!C23="Scheme pipeline","-",SUMIF('3.5 Depreciation amortisation'!$D$15:$D$58,'3.1 Depreciated Book Value'!C42,'3.5 Depreciation amortisation'!$H$15:$H$58))</f>
        <v>3689.35</v>
      </c>
      <c r="E43" s="66">
        <v>3689.35</v>
      </c>
    </row>
    <row r="44" spans="2:7" x14ac:dyDescent="0.2">
      <c r="B44" s="344" t="s">
        <v>557</v>
      </c>
      <c r="C44" s="47" t="s">
        <v>159</v>
      </c>
      <c r="D44" s="129">
        <f>IF(Cover!C23="Scheme pipeline","-",SUMIF('3.5 Depreciation amortisation'!$D$15:$D$58,'3.1 Depreciated Book Value'!C42,'3.5 Depreciation amortisation'!$I$15:$I$58))</f>
        <v>0</v>
      </c>
      <c r="E44" s="66">
        <v>0</v>
      </c>
    </row>
    <row r="45" spans="2:7" x14ac:dyDescent="0.2">
      <c r="B45" s="344" t="s">
        <v>557</v>
      </c>
      <c r="C45" s="47" t="s">
        <v>156</v>
      </c>
      <c r="D45" s="129">
        <f>IF(Cover!C23="Scheme pipeline","-",SUMIF('3.5 Depreciation amortisation'!$D$15:$D$58,'3.1 Depreciated Book Value'!C42,'3.5 Depreciation amortisation'!$J$15:$J$58))</f>
        <v>0</v>
      </c>
      <c r="E45" s="66">
        <v>0</v>
      </c>
    </row>
    <row r="46" spans="2:7" x14ac:dyDescent="0.2">
      <c r="B46" s="344" t="s">
        <v>557</v>
      </c>
      <c r="C46" s="47" t="s">
        <v>356</v>
      </c>
      <c r="D46" s="129">
        <f>IF(Cover!C23="Scheme pipeline","-",-ABS(SUMIF('3.5 Depreciation amortisation'!$D$15:$D$58,'3.1 Depreciated Book Value'!C42,'3.5 Depreciation amortisation'!$O$15:$O$58)+SUMIF('3.5 Depreciation amortisation'!$D$15:$D$58,'3.1 Depreciated Book Value'!C42,'3.5 Depreciation amortisation'!$P$15:$P$58))-D47)</f>
        <v>-3689.35</v>
      </c>
      <c r="E46" s="66">
        <v>-3689.35</v>
      </c>
      <c r="F46" s="246"/>
    </row>
    <row r="47" spans="2:7" x14ac:dyDescent="0.2">
      <c r="B47" s="344" t="s">
        <v>557</v>
      </c>
      <c r="C47" s="47" t="s">
        <v>357</v>
      </c>
      <c r="D47" s="129">
        <f>IF(Cover!C23="Scheme pipeline","-",-ABS(SUMIF('3.4 Asset impairment'!$C$10:$C$24,'3.1 Depreciated Book Value'!C42,'3.4 Asset impairment'!$D$10:$D$24))+SUMIF('3.4 Asset impairment'!$C$30:$C$56,'3.1 Depreciated Book Value'!C42,'3.4 Asset impairment'!$G$30:$G$56))</f>
        <v>0</v>
      </c>
      <c r="E47" s="66">
        <v>0</v>
      </c>
      <c r="F47" s="246"/>
    </row>
    <row r="48" spans="2:7" ht="11.25" customHeight="1" x14ac:dyDescent="0.2">
      <c r="B48" s="344" t="s">
        <v>557</v>
      </c>
      <c r="C48" s="47" t="s">
        <v>165</v>
      </c>
      <c r="D48" s="129">
        <f>IF(Cover!C23="Scheme pipeline","-",SUMIF('3.5 Depreciation amortisation'!$D$15:$D$58,'3.1 Depreciated Book Value'!C42,'3.5 Depreciation amortisation'!$K$15:$K$58))</f>
        <v>0</v>
      </c>
      <c r="E48" s="66">
        <v>0</v>
      </c>
    </row>
    <row r="49" spans="2:6" x14ac:dyDescent="0.2">
      <c r="B49" s="349"/>
      <c r="C49" s="84" t="s">
        <v>160</v>
      </c>
      <c r="D49" s="129">
        <f>SUM(D43:D48)</f>
        <v>0</v>
      </c>
      <c r="E49" s="129">
        <f>SUM(E43:E48)</f>
        <v>0</v>
      </c>
    </row>
    <row r="50" spans="2:6" x14ac:dyDescent="0.2">
      <c r="B50" s="349"/>
      <c r="C50" s="48" t="s">
        <v>344</v>
      </c>
      <c r="D50" s="130"/>
      <c r="E50" s="130"/>
    </row>
    <row r="51" spans="2:6" x14ac:dyDescent="0.2">
      <c r="B51" s="344" t="s">
        <v>557</v>
      </c>
      <c r="C51" s="47" t="s">
        <v>377</v>
      </c>
      <c r="D51" s="129">
        <f>IF(Cover!C23="Scheme pipeline","-",SUMIF('3.5 Depreciation amortisation'!$D$15:$D$58,'3.1 Depreciated Book Value'!C50,'3.5 Depreciation amortisation'!$H$15:$H$58))</f>
        <v>0</v>
      </c>
      <c r="E51" s="66">
        <v>0</v>
      </c>
    </row>
    <row r="52" spans="2:6" x14ac:dyDescent="0.2">
      <c r="B52" s="344" t="s">
        <v>557</v>
      </c>
      <c r="C52" s="47" t="s">
        <v>52</v>
      </c>
      <c r="D52" s="129">
        <f>IF(Cover!C23="Scheme pipeline","-",SUMIF('3.5 Depreciation amortisation'!$D$15:$D$58,'3.1 Depreciated Book Value'!C50,'3.5 Depreciation amortisation'!$I$15:$I$58))</f>
        <v>0</v>
      </c>
      <c r="E52" s="66">
        <v>0</v>
      </c>
    </row>
    <row r="53" spans="2:6" x14ac:dyDescent="0.2">
      <c r="B53" s="344" t="s">
        <v>557</v>
      </c>
      <c r="C53" s="47" t="s">
        <v>156</v>
      </c>
      <c r="D53" s="129">
        <f>IF(Cover!C23="Scheme pipeline","-",SUMIF('3.5 Depreciation amortisation'!$D$15:$D$58,'3.1 Depreciated Book Value'!C50,'3.5 Depreciation amortisation'!$J$15:$J$58))</f>
        <v>0</v>
      </c>
      <c r="E53" s="66">
        <v>0</v>
      </c>
    </row>
    <row r="54" spans="2:6" x14ac:dyDescent="0.2">
      <c r="B54" s="344" t="s">
        <v>557</v>
      </c>
      <c r="C54" s="47" t="s">
        <v>356</v>
      </c>
      <c r="D54" s="129">
        <f>IF(Cover!C23="Scheme pipeline","-",-ABS(SUMIF('3.5 Depreciation amortisation'!$D$15:$D$58,'3.1 Depreciated Book Value'!C50,'3.5 Depreciation amortisation'!$O$15:$O$58)+SUMIF('3.5 Depreciation amortisation'!$D$15:$D$58,'3.1 Depreciated Book Value'!C50,'3.5 Depreciation amortisation'!$P$15:$P$58))-D55)</f>
        <v>0</v>
      </c>
      <c r="E54" s="66">
        <v>0</v>
      </c>
      <c r="F54" s="246"/>
    </row>
    <row r="55" spans="2:6" x14ac:dyDescent="0.2">
      <c r="B55" s="344" t="s">
        <v>557</v>
      </c>
      <c r="C55" s="47" t="s">
        <v>357</v>
      </c>
      <c r="D55" s="129">
        <f>IF(Cover!C23="Scheme pipeline","-",-ABS(SUMIF('3.4 Asset impairment'!$C$10:$C$24,'3.1 Depreciated Book Value'!C50,'3.4 Asset impairment'!$D$10:$D$24))+SUMIF('3.4 Asset impairment'!$C$30:$C$56,'3.1 Depreciated Book Value'!C50,'3.4 Asset impairment'!$G$30:$G$56))</f>
        <v>0</v>
      </c>
      <c r="E55" s="66">
        <v>0</v>
      </c>
      <c r="F55" s="246"/>
    </row>
    <row r="56" spans="2:6" ht="11.25" customHeight="1" x14ac:dyDescent="0.2">
      <c r="B56" s="344" t="s">
        <v>557</v>
      </c>
      <c r="C56" s="47" t="s">
        <v>165</v>
      </c>
      <c r="D56" s="129">
        <f>IF(Cover!C23="Scheme pipeline","-",SUMIF('3.5 Depreciation amortisation'!$D$15:$D$58,'3.1 Depreciated Book Value'!C50,'3.5 Depreciation amortisation'!$K$15:$K$58))</f>
        <v>0</v>
      </c>
      <c r="E56" s="66">
        <v>0</v>
      </c>
    </row>
    <row r="57" spans="2:6" x14ac:dyDescent="0.2">
      <c r="B57" s="349"/>
      <c r="C57" s="84" t="s">
        <v>177</v>
      </c>
      <c r="D57" s="129">
        <f>SUM(D51:D56)</f>
        <v>0</v>
      </c>
      <c r="E57" s="129">
        <f>SUM(E51:E56)</f>
        <v>0</v>
      </c>
    </row>
    <row r="58" spans="2:6" x14ac:dyDescent="0.2">
      <c r="B58" s="349"/>
      <c r="C58" s="48" t="s">
        <v>345</v>
      </c>
      <c r="D58" s="130"/>
      <c r="E58" s="130"/>
    </row>
    <row r="59" spans="2:6" x14ac:dyDescent="0.2">
      <c r="B59" s="344" t="s">
        <v>557</v>
      </c>
      <c r="C59" s="47" t="s">
        <v>377</v>
      </c>
      <c r="D59" s="129">
        <f>IF(Cover!C23="Scheme pipeline","-",SUMIF('3.5 Depreciation amortisation'!$D$15:$D$58,'3.1 Depreciated Book Value'!C58,'3.5 Depreciation amortisation'!$H$15:$H$58))</f>
        <v>262425.46999999997</v>
      </c>
      <c r="E59" s="66">
        <v>262425.46999999997</v>
      </c>
    </row>
    <row r="60" spans="2:6" x14ac:dyDescent="0.2">
      <c r="B60" s="344" t="s">
        <v>557</v>
      </c>
      <c r="C60" s="47" t="s">
        <v>52</v>
      </c>
      <c r="D60" s="129">
        <f>IF(Cover!C23="Scheme pipeline","-",SUMIF('3.5 Depreciation amortisation'!$D$15:$D$58,'3.1 Depreciated Book Value'!C58,'3.5 Depreciation amortisation'!$I$15:$I$58))</f>
        <v>0</v>
      </c>
      <c r="E60" s="66">
        <v>0</v>
      </c>
    </row>
    <row r="61" spans="2:6" x14ac:dyDescent="0.2">
      <c r="B61" s="344" t="s">
        <v>557</v>
      </c>
      <c r="C61" s="47" t="s">
        <v>156</v>
      </c>
      <c r="D61" s="129">
        <f>IF(Cover!C23="Scheme pipeline","-",SUMIF('3.5 Depreciation amortisation'!$D$15:$D$58,'3.1 Depreciated Book Value'!C58,'3.5 Depreciation amortisation'!$J$15:$J$58))</f>
        <v>0</v>
      </c>
      <c r="E61" s="66">
        <v>0</v>
      </c>
    </row>
    <row r="62" spans="2:6" ht="11.25" customHeight="1" x14ac:dyDescent="0.2">
      <c r="B62" s="344" t="s">
        <v>557</v>
      </c>
      <c r="C62" s="47" t="s">
        <v>356</v>
      </c>
      <c r="D62" s="129">
        <f>IF(Cover!C23="Scheme pipeline","-",-ABS(SUMIF('3.5 Depreciation amortisation'!$D$15:$D$58,'3.1 Depreciated Book Value'!C58,'3.5 Depreciation amortisation'!$O$15:$O$58)+SUMIF('3.5 Depreciation amortisation'!$D$15:$D$58,'3.1 Depreciated Book Value'!C58,'3.5 Depreciation amortisation'!$P$15:$P$58))-D63)</f>
        <v>-233056.27999999997</v>
      </c>
      <c r="E62" s="66">
        <v>-207831.78999999998</v>
      </c>
      <c r="F62" s="246"/>
    </row>
    <row r="63" spans="2:6" ht="11.25" customHeight="1" x14ac:dyDescent="0.2">
      <c r="B63" s="344" t="s">
        <v>557</v>
      </c>
      <c r="C63" s="47" t="s">
        <v>357</v>
      </c>
      <c r="D63" s="129">
        <f>IF(Cover!C23="Scheme pipeline","-",-ABS(SUMIF('3.4 Asset impairment'!$C$10:$C$24,'3.1 Depreciated Book Value'!C58,'3.4 Asset impairment'!$D$10:$D$24))+SUMIF('3.4 Asset impairment'!$C$30:$C$56,'3.1 Depreciated Book Value'!C58,'3.4 Asset impairment'!$G$30:$G$56))</f>
        <v>0</v>
      </c>
      <c r="E63" s="66">
        <v>0</v>
      </c>
      <c r="F63" s="246"/>
    </row>
    <row r="64" spans="2:6" ht="11.25" customHeight="1" x14ac:dyDescent="0.2">
      <c r="B64" s="344" t="s">
        <v>557</v>
      </c>
      <c r="C64" s="47" t="s">
        <v>165</v>
      </c>
      <c r="D64" s="129">
        <f>IF(Cover!C23="Scheme pipeline","-",SUMIF('3.5 Depreciation amortisation'!$D$15:$D$58,'3.1 Depreciated Book Value'!C58,'3.5 Depreciation amortisation'!$K$15:$K$58))</f>
        <v>0</v>
      </c>
      <c r="E64" s="66">
        <v>0</v>
      </c>
    </row>
    <row r="65" spans="2:6" x14ac:dyDescent="0.2">
      <c r="B65" s="349"/>
      <c r="C65" s="84" t="s">
        <v>89</v>
      </c>
      <c r="D65" s="129">
        <f>SUM(D59:D64)</f>
        <v>29369.190000000002</v>
      </c>
      <c r="E65" s="129">
        <f>SUM(E59:E64)</f>
        <v>54593.679999999993</v>
      </c>
    </row>
    <row r="66" spans="2:6" x14ac:dyDescent="0.2">
      <c r="B66" s="349"/>
      <c r="C66" s="48" t="s">
        <v>346</v>
      </c>
      <c r="D66" s="130"/>
      <c r="E66" s="130"/>
    </row>
    <row r="67" spans="2:6" x14ac:dyDescent="0.2">
      <c r="B67" s="344" t="s">
        <v>557</v>
      </c>
      <c r="C67" s="47" t="s">
        <v>377</v>
      </c>
      <c r="D67" s="129">
        <f>IF(Cover!C23="Scheme pipeline","-",SUMIF('3.5 Depreciation amortisation'!$D$15:$D$58,'3.1 Depreciated Book Value'!C66,'3.5 Depreciation amortisation'!$H$15:$H$58))</f>
        <v>70000</v>
      </c>
      <c r="E67" s="66">
        <v>70000</v>
      </c>
    </row>
    <row r="68" spans="2:6" x14ac:dyDescent="0.2">
      <c r="B68" s="344" t="s">
        <v>557</v>
      </c>
      <c r="C68" s="47" t="s">
        <v>52</v>
      </c>
      <c r="D68" s="129">
        <f>IF(Cover!C23="Scheme pipeline","-",SUMIF('3.5 Depreciation amortisation'!$D$15:$D$58,'3.1 Depreciated Book Value'!C66,'3.5 Depreciation amortisation'!$I$15:$I$58))</f>
        <v>0</v>
      </c>
      <c r="E68" s="66">
        <v>0</v>
      </c>
    </row>
    <row r="69" spans="2:6" x14ac:dyDescent="0.2">
      <c r="B69" s="344" t="s">
        <v>557</v>
      </c>
      <c r="C69" s="47" t="s">
        <v>156</v>
      </c>
      <c r="D69" s="129">
        <f>IF(Cover!C23="Scheme pipeline","-",SUMIF('3.5 Depreciation amortisation'!$D$15:$D$58,'3.1 Depreciated Book Value'!C66,'3.5 Depreciation amortisation'!$J$15:$J$58))</f>
        <v>0</v>
      </c>
      <c r="E69" s="66">
        <v>0</v>
      </c>
    </row>
    <row r="70" spans="2:6" x14ac:dyDescent="0.2">
      <c r="B70" s="344" t="s">
        <v>557</v>
      </c>
      <c r="C70" s="47" t="s">
        <v>356</v>
      </c>
      <c r="D70" s="129">
        <f>IF(Cover!C23="Scheme pipeline","-",-ABS(SUMIF('3.5 Depreciation amortisation'!$D$15:$D$58,'3.1 Depreciated Book Value'!C66,'3.5 Depreciation amortisation'!$O$15:$O$58)+SUMIF('3.5 Depreciation amortisation'!$D$15:$D$58,'3.1 Depreciated Book Value'!C66,'3.5 Depreciation amortisation'!$P$15:$P$58))-D71)</f>
        <v>-39076.42</v>
      </c>
      <c r="E70" s="66">
        <v>-36286.32</v>
      </c>
      <c r="F70" s="246"/>
    </row>
    <row r="71" spans="2:6" x14ac:dyDescent="0.2">
      <c r="B71" s="344" t="s">
        <v>557</v>
      </c>
      <c r="C71" s="47" t="s">
        <v>357</v>
      </c>
      <c r="D71" s="129">
        <f>IF(Cover!C23="Scheme pipeline","-",-ABS(SUMIF('3.4 Asset impairment'!$C$10:$C$24,'3.1 Depreciated Book Value'!C66,'3.4 Asset impairment'!$D$10:$D$24))+SUMIF('3.4 Asset impairment'!$C$30:$C$56,'3.1 Depreciated Book Value'!C66,'3.4 Asset impairment'!$G$30:$G$56))</f>
        <v>0</v>
      </c>
      <c r="E71" s="66">
        <v>0</v>
      </c>
      <c r="F71" s="246"/>
    </row>
    <row r="72" spans="2:6" ht="11.25" customHeight="1" x14ac:dyDescent="0.2">
      <c r="B72" s="344" t="s">
        <v>557</v>
      </c>
      <c r="C72" s="47" t="s">
        <v>165</v>
      </c>
      <c r="D72" s="129">
        <f>IF(Cover!C23="Scheme pipeline","-",SUMIF('3.5 Depreciation amortisation'!$D$15:$D$58,'3.1 Depreciated Book Value'!C66,'3.5 Depreciation amortisation'!$K$15:$K$58))</f>
        <v>0</v>
      </c>
      <c r="E72" s="66">
        <v>0</v>
      </c>
    </row>
    <row r="73" spans="2:6" x14ac:dyDescent="0.2">
      <c r="B73" s="349"/>
      <c r="C73" s="84" t="s">
        <v>61</v>
      </c>
      <c r="D73" s="129">
        <f>SUM(D67:D72)</f>
        <v>30923.58</v>
      </c>
      <c r="E73" s="129">
        <f>SUM(E67:E72)</f>
        <v>33713.68</v>
      </c>
    </row>
    <row r="74" spans="2:6" x14ac:dyDescent="0.2">
      <c r="B74" s="349"/>
      <c r="C74" s="48" t="s">
        <v>90</v>
      </c>
      <c r="D74" s="130"/>
      <c r="E74" s="130"/>
    </row>
    <row r="75" spans="2:6" x14ac:dyDescent="0.2">
      <c r="B75" s="344" t="s">
        <v>557</v>
      </c>
      <c r="C75" s="47" t="s">
        <v>377</v>
      </c>
      <c r="D75" s="129">
        <f>IF(Cover!C23="Scheme pipeline","-",SUMIF('3.5 Depreciation amortisation'!$D$15:$D$58,'3.1 Depreciated Book Value'!C74,'3.5 Depreciation amortisation'!$H$15:$H$58))</f>
        <v>123285.66</v>
      </c>
      <c r="E75" s="66">
        <v>123285.66</v>
      </c>
    </row>
    <row r="76" spans="2:6" x14ac:dyDescent="0.2">
      <c r="B76" s="344" t="s">
        <v>557</v>
      </c>
      <c r="C76" s="47" t="s">
        <v>52</v>
      </c>
      <c r="D76" s="129">
        <f>IF(Cover!C23="Scheme pipeline","-",SUMIF('3.5 Depreciation amortisation'!$D$15:$D$58,'3.1 Depreciated Book Value'!C74,'3.5 Depreciation amortisation'!$I$15:$I$58))</f>
        <v>0</v>
      </c>
      <c r="E76" s="66">
        <v>0</v>
      </c>
    </row>
    <row r="77" spans="2:6" x14ac:dyDescent="0.2">
      <c r="B77" s="344" t="s">
        <v>557</v>
      </c>
      <c r="C77" s="47" t="s">
        <v>156</v>
      </c>
      <c r="D77" s="129">
        <f>IF(Cover!C23="Scheme pipeline","-",SUMIF('3.5 Depreciation amortisation'!$D$15:$D$58,'3.1 Depreciated Book Value'!C74,'3.5 Depreciation amortisation'!$J$15:$J$58))</f>
        <v>0</v>
      </c>
      <c r="E77" s="66">
        <v>0</v>
      </c>
    </row>
    <row r="78" spans="2:6" x14ac:dyDescent="0.2">
      <c r="B78" s="344" t="s">
        <v>557</v>
      </c>
      <c r="C78" s="47" t="s">
        <v>357</v>
      </c>
      <c r="D78" s="129">
        <f>IF(Cover!C23="Scheme pipeline","-",-ABS(SUMIF('3.4 Asset impairment'!$C$10:$C$24,'3.1 Depreciated Book Value'!C74,'3.4 Asset impairment'!$D$10:$D$24))+SUMIF('3.4 Asset impairment'!$C$30:$C$56,'3.1 Depreciated Book Value'!C74,'3.4 Asset impairment'!$G$30:$G$56))</f>
        <v>0</v>
      </c>
      <c r="E78" s="66">
        <v>0</v>
      </c>
    </row>
    <row r="79" spans="2:6" ht="11.25" customHeight="1" x14ac:dyDescent="0.2">
      <c r="B79" s="344" t="s">
        <v>557</v>
      </c>
      <c r="C79" s="47" t="s">
        <v>165</v>
      </c>
      <c r="D79" s="129">
        <f>IF(Cover!C23="Scheme pipeline","-",SUMIF('3.5 Depreciation amortisation'!$D$15:$D$58,'3.1 Depreciated Book Value'!C74,'3.5 Depreciation amortisation'!$K$15:$K$58))</f>
        <v>0</v>
      </c>
      <c r="E79" s="66">
        <v>0</v>
      </c>
    </row>
    <row r="80" spans="2:6" x14ac:dyDescent="0.2">
      <c r="B80" s="349"/>
      <c r="C80" s="84" t="s">
        <v>91</v>
      </c>
      <c r="D80" s="129">
        <f>SUM(D75:D79)</f>
        <v>123285.66</v>
      </c>
      <c r="E80" s="129">
        <f>SUM(E75:E79)</f>
        <v>123285.66</v>
      </c>
    </row>
    <row r="81" spans="2:8" x14ac:dyDescent="0.2">
      <c r="B81" s="349"/>
      <c r="C81" s="48" t="s">
        <v>131</v>
      </c>
      <c r="D81" s="130"/>
      <c r="E81" s="130"/>
      <c r="G81" s="267"/>
      <c r="H81" s="267"/>
    </row>
    <row r="82" spans="2:8" s="267" customFormat="1" x14ac:dyDescent="0.2">
      <c r="B82" s="344" t="s">
        <v>557</v>
      </c>
      <c r="C82" s="47" t="s">
        <v>377</v>
      </c>
      <c r="D82" s="129">
        <f>IF(Cover!C23="Scheme pipeline","-",SUMIF('3.5 Depreciation amortisation'!$D$15:$D$58,'3.1 Depreciated Book Value'!C81,'3.5 Depreciation amortisation'!$H$15:$H$58))</f>
        <v>833247.03</v>
      </c>
      <c r="E82" s="131">
        <v>833247.03</v>
      </c>
      <c r="F82" s="268"/>
    </row>
    <row r="83" spans="2:8" s="267" customFormat="1" x14ac:dyDescent="0.2">
      <c r="B83" s="344" t="s">
        <v>557</v>
      </c>
      <c r="C83" s="47" t="s">
        <v>52</v>
      </c>
      <c r="D83" s="129">
        <f>IF(Cover!C23="Scheme pipeline","-",SUMIF('3.5 Depreciation amortisation'!$D$15:$D$58,'3.1 Depreciated Book Value'!C81,'3.5 Depreciation amortisation'!$I$15:$I$58))</f>
        <v>0</v>
      </c>
      <c r="E83" s="131">
        <v>0</v>
      </c>
      <c r="F83" s="268"/>
    </row>
    <row r="84" spans="2:8" s="267" customFormat="1" x14ac:dyDescent="0.2">
      <c r="B84" s="344" t="s">
        <v>557</v>
      </c>
      <c r="C84" s="47" t="s">
        <v>156</v>
      </c>
      <c r="D84" s="129">
        <f>IF(Cover!C23="Scheme pipeline","-",SUMIF('3.5 Depreciation amortisation'!$D$15:$D$58,'3.1 Depreciated Book Value'!C81,'3.5 Depreciation amortisation'!$J$15:$J$58))</f>
        <v>0</v>
      </c>
      <c r="E84" s="131">
        <v>0</v>
      </c>
      <c r="F84" s="268"/>
    </row>
    <row r="85" spans="2:8" s="267" customFormat="1" x14ac:dyDescent="0.2">
      <c r="B85" s="344" t="s">
        <v>557</v>
      </c>
      <c r="C85" s="47" t="s">
        <v>356</v>
      </c>
      <c r="D85" s="129">
        <f>IF(Cover!C23="Scheme pipeline","-",-ABS(SUMIF('3.5 Depreciation amortisation'!$D$15:$D$58,'3.1 Depreciated Book Value'!C81,'3.5 Depreciation amortisation'!$O$15:$O$58)+SUMIF('3.5 Depreciation amortisation'!$D$15:$D$58,'3.1 Depreciated Book Value'!C81,'3.5 Depreciation amortisation'!$P$15:$P$58))-D86)</f>
        <v>-833247</v>
      </c>
      <c r="E85" s="131">
        <v>-832484.56</v>
      </c>
      <c r="F85" s="268"/>
    </row>
    <row r="86" spans="2:8" s="267" customFormat="1" x14ac:dyDescent="0.2">
      <c r="B86" s="344" t="s">
        <v>557</v>
      </c>
      <c r="C86" s="47" t="s">
        <v>357</v>
      </c>
      <c r="D86" s="129">
        <f>IF(Cover!C23="Scheme pipeline","-",-ABS(SUMIF('3.4 Asset impairment'!$C$10:$C$24,'3.1 Depreciated Book Value'!C81,'3.4 Asset impairment'!$D$10:$D$24))+SUMIF('3.4 Asset impairment'!$C$30:$C$56,'3.1 Depreciated Book Value'!C81,'3.4 Asset impairment'!$G$30:$G$56))</f>
        <v>0</v>
      </c>
      <c r="E86" s="131">
        <v>0</v>
      </c>
      <c r="F86" s="268"/>
    </row>
    <row r="87" spans="2:8" s="267" customFormat="1" x14ac:dyDescent="0.2">
      <c r="B87" s="344" t="s">
        <v>557</v>
      </c>
      <c r="C87" s="47" t="s">
        <v>165</v>
      </c>
      <c r="D87" s="129">
        <f>IF(Cover!C23="Scheme pipeline","-",SUMIF('3.5 Depreciation amortisation'!$D$15:$D$58,'3.1 Depreciated Book Value'!C81,'3.5 Depreciation amortisation'!$K$15:$K$58))</f>
        <v>0</v>
      </c>
      <c r="E87" s="131">
        <v>0</v>
      </c>
      <c r="G87" s="4"/>
      <c r="H87" s="4"/>
    </row>
    <row r="88" spans="2:8" x14ac:dyDescent="0.2">
      <c r="B88" s="349"/>
      <c r="C88" s="84" t="s">
        <v>132</v>
      </c>
      <c r="D88" s="129">
        <f>SUM(D82:D87)</f>
        <v>3.0000000027939677E-2</v>
      </c>
      <c r="E88" s="129">
        <f>SUM(E82:E87)</f>
        <v>762.46999999997206</v>
      </c>
    </row>
    <row r="89" spans="2:8" x14ac:dyDescent="0.2">
      <c r="B89" s="349"/>
      <c r="C89" s="48" t="s">
        <v>347</v>
      </c>
      <c r="D89" s="130"/>
      <c r="E89" s="130"/>
      <c r="F89" s="100"/>
    </row>
    <row r="90" spans="2:8" x14ac:dyDescent="0.2">
      <c r="B90" s="344" t="s">
        <v>557</v>
      </c>
      <c r="C90" s="47" t="s">
        <v>377</v>
      </c>
      <c r="D90" s="129">
        <f>IF(Cover!C23="Scheme pipeline","-",SUMIF('3.5 Depreciation amortisation'!$D$15:$D$58,'3.1 Depreciated Book Value'!C89,'3.5 Depreciation amortisation'!$H$15:$H$58))</f>
        <v>0</v>
      </c>
      <c r="E90" s="66">
        <v>0</v>
      </c>
      <c r="F90" s="100"/>
    </row>
    <row r="91" spans="2:8" x14ac:dyDescent="0.2">
      <c r="B91" s="344" t="s">
        <v>557</v>
      </c>
      <c r="C91" s="47" t="s">
        <v>52</v>
      </c>
      <c r="D91" s="129">
        <f>IF(Cover!C23="Scheme pipeline","-",SUMIF('3.5 Depreciation amortisation'!$D$15:$D$58,'3.1 Depreciated Book Value'!C89,'3.5 Depreciation amortisation'!$I$15:$I$58))</f>
        <v>0</v>
      </c>
      <c r="E91" s="66">
        <v>0</v>
      </c>
      <c r="F91" s="100"/>
    </row>
    <row r="92" spans="2:8" x14ac:dyDescent="0.2">
      <c r="B92" s="344" t="s">
        <v>557</v>
      </c>
      <c r="C92" s="47" t="s">
        <v>156</v>
      </c>
      <c r="D92" s="129">
        <f>IF(Cover!C23="Scheme pipeline","-",SUMIF('3.5 Depreciation amortisation'!$D$15:$D$58,'3.1 Depreciated Book Value'!C89,'3.5 Depreciation amortisation'!$J$15:$J$58))</f>
        <v>0</v>
      </c>
      <c r="E92" s="66">
        <v>0</v>
      </c>
      <c r="F92" s="100"/>
    </row>
    <row r="93" spans="2:8" x14ac:dyDescent="0.2">
      <c r="B93" s="344" t="s">
        <v>557</v>
      </c>
      <c r="C93" s="47" t="s">
        <v>358</v>
      </c>
      <c r="D93" s="129">
        <f>IF(Cover!C23="Scheme pipeline","-",-ABS(SUMIF('3.5 Depreciation amortisation'!$D$15:$D$58,'3.1 Depreciated Book Value'!C89,'3.5 Depreciation amortisation'!$O$15:$O$58)+SUMIF('3.5 Depreciation amortisation'!$D$15:$D$58,'3.1 Depreciated Book Value'!C89,'3.5 Depreciation amortisation'!$P$15:$P$58))-D94)</f>
        <v>0</v>
      </c>
      <c r="E93" s="66">
        <v>0</v>
      </c>
      <c r="F93" s="100"/>
      <c r="G93" s="100"/>
    </row>
    <row r="94" spans="2:8" x14ac:dyDescent="0.2">
      <c r="B94" s="344" t="s">
        <v>557</v>
      </c>
      <c r="C94" s="47" t="s">
        <v>357</v>
      </c>
      <c r="D94" s="129">
        <f>IF(Cover!C23="Scheme pipeline","-",-ABS(SUMIF('3.4 Asset impairment'!$C$10:$C$24,'3.1 Depreciated Book Value'!C89,'3.4 Asset impairment'!$D$10:$D$24))+SUMIF('3.4 Asset impairment'!$C$30:$C$56,'3.1 Depreciated Book Value'!C89,'3.4 Asset impairment'!$G$30:$G$56))</f>
        <v>0</v>
      </c>
      <c r="E94" s="66">
        <v>0</v>
      </c>
      <c r="F94" s="100"/>
      <c r="G94" s="100"/>
    </row>
    <row r="95" spans="2:8" ht="11.25" customHeight="1" x14ac:dyDescent="0.2">
      <c r="B95" s="344" t="s">
        <v>557</v>
      </c>
      <c r="C95" s="47" t="s">
        <v>165</v>
      </c>
      <c r="D95" s="129">
        <f>IF(Cover!C23="Scheme pipeline","-",SUMIF('3.5 Depreciation amortisation'!$D$15:$D$58,'3.1 Depreciated Book Value'!C89,'3.5 Depreciation amortisation'!$K$15:$K$58))</f>
        <v>0</v>
      </c>
      <c r="E95" s="66">
        <v>0</v>
      </c>
      <c r="F95" s="100"/>
    </row>
    <row r="96" spans="2:8" x14ac:dyDescent="0.2">
      <c r="B96" s="349"/>
      <c r="C96" s="84" t="s">
        <v>143</v>
      </c>
      <c r="D96" s="129">
        <f>SUM(D90:D95)</f>
        <v>0</v>
      </c>
      <c r="E96" s="129">
        <f>SUM(E90:E95)</f>
        <v>0</v>
      </c>
      <c r="F96" s="100"/>
    </row>
    <row r="97" spans="2:7" x14ac:dyDescent="0.2">
      <c r="B97" s="344" t="s">
        <v>557</v>
      </c>
      <c r="C97" s="48" t="s">
        <v>92</v>
      </c>
      <c r="D97" s="130"/>
      <c r="E97" s="130"/>
    </row>
    <row r="98" spans="2:7" x14ac:dyDescent="0.2">
      <c r="B98" s="344" t="s">
        <v>557</v>
      </c>
      <c r="C98" s="47" t="s">
        <v>377</v>
      </c>
      <c r="D98" s="66">
        <v>0</v>
      </c>
      <c r="E98" s="66">
        <v>0</v>
      </c>
      <c r="F98" s="100"/>
    </row>
    <row r="99" spans="2:7" x14ac:dyDescent="0.2">
      <c r="B99" s="344" t="s">
        <v>557</v>
      </c>
      <c r="C99" s="47" t="s">
        <v>52</v>
      </c>
      <c r="D99" s="66">
        <v>0</v>
      </c>
      <c r="E99" s="66">
        <v>0</v>
      </c>
      <c r="F99" s="100"/>
    </row>
    <row r="100" spans="2:7" x14ac:dyDescent="0.2">
      <c r="B100" s="344" t="s">
        <v>557</v>
      </c>
      <c r="C100" s="47" t="s">
        <v>156</v>
      </c>
      <c r="D100" s="66">
        <v>0</v>
      </c>
      <c r="E100" s="66">
        <v>0</v>
      </c>
      <c r="F100" s="100"/>
    </row>
    <row r="101" spans="2:7" x14ac:dyDescent="0.2">
      <c r="B101" s="344" t="s">
        <v>557</v>
      </c>
      <c r="C101" s="47" t="s">
        <v>165</v>
      </c>
      <c r="D101" s="66">
        <v>0</v>
      </c>
      <c r="E101" s="66">
        <v>0</v>
      </c>
      <c r="F101" s="100"/>
      <c r="G101" s="100"/>
    </row>
    <row r="102" spans="2:7" x14ac:dyDescent="0.2">
      <c r="B102" s="349"/>
      <c r="C102" s="84" t="s">
        <v>354</v>
      </c>
      <c r="D102" s="129">
        <f>SUM(D98:D101)</f>
        <v>0</v>
      </c>
      <c r="E102" s="129">
        <f>SUM(E98:E101)</f>
        <v>0</v>
      </c>
      <c r="F102" s="100"/>
    </row>
    <row r="103" spans="2:7" x14ac:dyDescent="0.2">
      <c r="B103" s="349"/>
      <c r="C103" s="85" t="s">
        <v>56</v>
      </c>
      <c r="D103" s="129">
        <f>SUM(D25,D33,D41,D49,D57,D65,D73,D80,D88,D102,D96)</f>
        <v>46662492.75</v>
      </c>
      <c r="E103" s="129">
        <f>SUM(E25,E33,E41,E49,E57,E65,E73,E80,E88,E102,E96)</f>
        <v>50908494.980000004</v>
      </c>
      <c r="F103" s="100"/>
    </row>
    <row r="104" spans="2:7" x14ac:dyDescent="0.2">
      <c r="B104" s="349"/>
      <c r="C104" s="46" t="s">
        <v>161</v>
      </c>
      <c r="D104" s="130"/>
      <c r="E104" s="130"/>
    </row>
    <row r="105" spans="2:7" x14ac:dyDescent="0.2">
      <c r="B105" s="349"/>
      <c r="C105" s="48" t="s">
        <v>153</v>
      </c>
      <c r="D105" s="130"/>
      <c r="E105" s="130"/>
    </row>
    <row r="106" spans="2:7" x14ac:dyDescent="0.2">
      <c r="B106" s="344" t="s">
        <v>557</v>
      </c>
      <c r="C106" s="47" t="s">
        <v>377</v>
      </c>
      <c r="D106" s="129">
        <f>IF(Cover!C23="Scheme pipeline","-",SUMIF('3.5 Depreciation amortisation'!$D$66:$D$83,$C$105,'3.5 Depreciation amortisation'!$G$66:$G$83))</f>
        <v>4440433.5500092711</v>
      </c>
      <c r="E106" s="66">
        <v>4383059.7765600001</v>
      </c>
      <c r="F106" s="100"/>
    </row>
    <row r="107" spans="2:7" x14ac:dyDescent="0.2">
      <c r="B107" s="344" t="s">
        <v>557</v>
      </c>
      <c r="C107" s="47" t="s">
        <v>52</v>
      </c>
      <c r="D107" s="129">
        <f>IF(Cover!C23="Scheme pipeline","-",SUMIF('3.5 Depreciation amortisation'!$D$66:$D$83,$C$105,'3.5 Depreciation amortisation'!$H$66:$H$83))</f>
        <v>1071429.5727584129</v>
      </c>
      <c r="E107" s="66">
        <v>237779.10947446086</v>
      </c>
      <c r="F107" s="100"/>
    </row>
    <row r="108" spans="2:7" x14ac:dyDescent="0.2">
      <c r="B108" s="344" t="s">
        <v>557</v>
      </c>
      <c r="C108" s="47" t="s">
        <v>156</v>
      </c>
      <c r="D108" s="129">
        <f>IF(Cover!C23="Scheme pipeline","-",SUMIF('3.5 Depreciation amortisation'!$D$66:$D$83,$C$105,'3.5 Depreciation amortisation'!$I$66:$I$83))</f>
        <v>0</v>
      </c>
      <c r="E108" s="66"/>
    </row>
    <row r="109" spans="2:7" x14ac:dyDescent="0.2">
      <c r="B109" s="344" t="s">
        <v>557</v>
      </c>
      <c r="C109" s="47" t="s">
        <v>356</v>
      </c>
      <c r="D109" s="129">
        <f>IF(Cover!C23="Scheme pipeline","-",-ABS(SUMIF('3.5 Depreciation amortisation'!$D$66:$D$83,$C$105,'3.5 Depreciation amortisation'!$N$66:$N$83)+SUMIF('3.5 Depreciation amortisation'!$D$66:$D$83,$C$105,'3.5 Depreciation amortisation'!$O$66:$O$83))-D110)</f>
        <v>-3941205.1071884572</v>
      </c>
      <c r="E109" s="66">
        <v>-3329786.7118250253</v>
      </c>
      <c r="F109" s="100"/>
    </row>
    <row r="110" spans="2:7" x14ac:dyDescent="0.2">
      <c r="B110" s="344" t="s">
        <v>557</v>
      </c>
      <c r="C110" s="47" t="s">
        <v>357</v>
      </c>
      <c r="D110" s="129">
        <f>IF(Cover!C23="Scheme pipeline","-",-ABS(SUMIF('3.4 Asset impairment'!$C$10:$C$24,'3.1 Depreciated Book Value'!C105,'3.4 Asset impairment'!$D$10:$D$24))+SUMIF('3.4 Asset impairment'!$C$30:$C$56,'3.1 Depreciated Book Value'!C105,'3.4 Asset impairment'!$G$30:$G$56))</f>
        <v>0</v>
      </c>
      <c r="E110" s="66"/>
      <c r="F110" s="100"/>
    </row>
    <row r="111" spans="2:7" x14ac:dyDescent="0.2">
      <c r="B111" s="344" t="s">
        <v>557</v>
      </c>
      <c r="C111" s="47" t="s">
        <v>165</v>
      </c>
      <c r="D111" s="129">
        <f>IF(Cover!C23="Scheme pipeline","-",SUMIF('3.5 Depreciation amortisation'!$D$66:$D$83,$C$105,'3.5 Depreciation amortisation'!$J$66:$J$83))</f>
        <v>-11771.380640326161</v>
      </c>
      <c r="E111" s="66">
        <v>-180405.33602518961</v>
      </c>
      <c r="F111" s="100"/>
    </row>
    <row r="112" spans="2:7" x14ac:dyDescent="0.2">
      <c r="B112" s="349"/>
      <c r="C112" s="84" t="s">
        <v>164</v>
      </c>
      <c r="D112" s="129">
        <f>SUM(D106:D111)</f>
        <v>1558886.6349389008</v>
      </c>
      <c r="E112" s="129">
        <f>SUM(E106:E111)</f>
        <v>1110646.8381842459</v>
      </c>
    </row>
    <row r="113" spans="2:7" x14ac:dyDescent="0.2">
      <c r="B113" s="349"/>
      <c r="C113" s="48" t="s">
        <v>145</v>
      </c>
      <c r="D113" s="130"/>
      <c r="E113" s="130"/>
      <c r="F113" s="100"/>
    </row>
    <row r="114" spans="2:7" x14ac:dyDescent="0.2">
      <c r="B114" s="344" t="s">
        <v>557</v>
      </c>
      <c r="C114" s="47" t="s">
        <v>377</v>
      </c>
      <c r="D114" s="129">
        <f>IF(Cover!C23="Scheme pipeline","-",SUMIF('3.5 Depreciation amortisation'!$D$66:$D$83,$C$113,'3.5 Depreciation amortisation'!$G$66:$G$83))</f>
        <v>895199.41923408967</v>
      </c>
      <c r="E114" s="66">
        <v>693098.15975696419</v>
      </c>
      <c r="F114" s="100"/>
    </row>
    <row r="115" spans="2:7" x14ac:dyDescent="0.2">
      <c r="B115" s="344" t="s">
        <v>557</v>
      </c>
      <c r="C115" s="47" t="s">
        <v>52</v>
      </c>
      <c r="D115" s="129">
        <f>IF(Cover!C23="Scheme pipeline","-",SUMIF('3.5 Depreciation amortisation'!$D$66:$D$83,$C$113,'3.5 Depreciation amortisation'!$H$66:$H$83))</f>
        <v>143818.1267610543</v>
      </c>
      <c r="E115" s="66">
        <v>202101.25947712542</v>
      </c>
      <c r="F115" s="100"/>
    </row>
    <row r="116" spans="2:7" x14ac:dyDescent="0.2">
      <c r="B116" s="344" t="s">
        <v>557</v>
      </c>
      <c r="C116" s="47" t="s">
        <v>156</v>
      </c>
      <c r="D116" s="129">
        <f>IF(Cover!C23="Scheme pipeline","-",SUMIF('3.5 Depreciation amortisation'!$D$66:$D$83,$C$113,'3.5 Depreciation amortisation'!$I$66:$I$83))</f>
        <v>0</v>
      </c>
      <c r="E116" s="66">
        <v>0</v>
      </c>
      <c r="F116" s="100"/>
    </row>
    <row r="117" spans="2:7" x14ac:dyDescent="0.2">
      <c r="B117" s="344" t="s">
        <v>557</v>
      </c>
      <c r="C117" s="47" t="s">
        <v>358</v>
      </c>
      <c r="D117" s="129">
        <f>IF(Cover!C23="Scheme pipeline","-",-ABS(SUMIF('3.5 Depreciation amortisation'!$D$66:$D$83,$C$113,'3.5 Depreciation amortisation'!$N$66:$N$83)+SUMIF('3.5 Depreciation amortisation'!$D$66:$D$83,$C$113,'3.5 Depreciation amortisation'!$O$66:$O$83))-D118)</f>
        <v>-599064.93253579503</v>
      </c>
      <c r="E117" s="66">
        <v>-461914.54053907207</v>
      </c>
      <c r="F117" s="100"/>
      <c r="G117" s="100"/>
    </row>
    <row r="118" spans="2:7" x14ac:dyDescent="0.2">
      <c r="B118" s="344" t="s">
        <v>557</v>
      </c>
      <c r="C118" s="47" t="s">
        <v>357</v>
      </c>
      <c r="D118" s="129">
        <f>IF(Cover!C23="Scheme pipeline","-",-ABS(SUMIF('3.4 Asset impairment'!$C$10:$C$24,'3.1 Depreciated Book Value'!C113,'3.4 Asset impairment'!$D$10:$D$24))+SUMIF('3.4 Asset impairment'!$C$30:$C$56,'3.1 Depreciated Book Value'!C113,'3.4 Asset impairment'!$G$30:$G$56))</f>
        <v>0</v>
      </c>
      <c r="E118" s="66">
        <v>0</v>
      </c>
      <c r="F118" s="100"/>
      <c r="G118" s="100"/>
    </row>
    <row r="119" spans="2:7" ht="11.25" customHeight="1" x14ac:dyDescent="0.2">
      <c r="B119" s="344" t="s">
        <v>557</v>
      </c>
      <c r="C119" s="47" t="s">
        <v>165</v>
      </c>
      <c r="D119" s="129">
        <f>IF(Cover!C23="Scheme pipeline","-",SUMIF('3.5 Depreciation amortisation'!$D$66:$D$83,$C$113,'3.5 Depreciation amortisation'!$J$66:$J$83))</f>
        <v>-3249.5405041380545</v>
      </c>
      <c r="E119" s="66">
        <v>0</v>
      </c>
      <c r="F119" s="100"/>
    </row>
    <row r="120" spans="2:7" x14ac:dyDescent="0.2">
      <c r="B120" s="349"/>
      <c r="C120" s="84" t="s">
        <v>163</v>
      </c>
      <c r="D120" s="129">
        <f>SUM(D114:D119)</f>
        <v>436703.07295521087</v>
      </c>
      <c r="E120" s="129">
        <f>SUM(E114:E119)</f>
        <v>433284.87869501748</v>
      </c>
      <c r="F120" s="100"/>
    </row>
    <row r="121" spans="2:7" x14ac:dyDescent="0.2">
      <c r="B121" s="344" t="s">
        <v>557</v>
      </c>
      <c r="C121" s="48" t="s">
        <v>70</v>
      </c>
      <c r="D121" s="66">
        <v>0</v>
      </c>
      <c r="E121" s="66">
        <v>0</v>
      </c>
      <c r="F121" s="100"/>
    </row>
    <row r="122" spans="2:7" x14ac:dyDescent="0.2">
      <c r="B122" s="344" t="s">
        <v>557</v>
      </c>
      <c r="C122" s="48" t="s">
        <v>71</v>
      </c>
      <c r="D122" s="66">
        <v>0</v>
      </c>
      <c r="E122" s="66">
        <v>0</v>
      </c>
    </row>
    <row r="123" spans="2:7" x14ac:dyDescent="0.2">
      <c r="B123" s="344" t="s">
        <v>557</v>
      </c>
      <c r="C123" s="48" t="s">
        <v>170</v>
      </c>
      <c r="D123" s="66">
        <v>3058504.84</v>
      </c>
      <c r="E123" s="66">
        <v>1946782.94</v>
      </c>
    </row>
    <row r="124" spans="2:7" x14ac:dyDescent="0.2">
      <c r="B124" s="286"/>
      <c r="C124" s="86" t="s">
        <v>162</v>
      </c>
      <c r="D124" s="129">
        <f>SUM(D112,D120:D123)</f>
        <v>5054094.5478941118</v>
      </c>
      <c r="E124" s="129">
        <f>SUM(E112,E120:E123)</f>
        <v>3490714.656879263</v>
      </c>
      <c r="F124" s="100"/>
    </row>
    <row r="125" spans="2:7" ht="12.75" customHeight="1" x14ac:dyDescent="0.2">
      <c r="B125" s="286"/>
      <c r="C125" s="86" t="s">
        <v>17</v>
      </c>
      <c r="D125" s="132">
        <f>SUM(D103,D124)</f>
        <v>51716587.297894113</v>
      </c>
      <c r="E125" s="132">
        <f>SUM(E103,E124)</f>
        <v>54399209.636879265</v>
      </c>
    </row>
    <row r="128" spans="2:7" ht="15.75" x14ac:dyDescent="0.25">
      <c r="B128" s="213" t="s">
        <v>475</v>
      </c>
    </row>
    <row r="129" spans="2:4" ht="12.75" customHeight="1" x14ac:dyDescent="0.25">
      <c r="B129" s="213"/>
    </row>
    <row r="130" spans="2:4" ht="25.5" x14ac:dyDescent="0.2">
      <c r="B130" s="44" t="s">
        <v>307</v>
      </c>
      <c r="C130" s="45" t="s">
        <v>13</v>
      </c>
      <c r="D130" s="219" t="str">
        <f>IFERROR(VLOOKUP(C132,rInitialyears,2,FALSE),"")</f>
        <v/>
      </c>
    </row>
    <row r="131" spans="2:4" x14ac:dyDescent="0.2">
      <c r="B131" s="44"/>
      <c r="C131" s="86" t="s">
        <v>17</v>
      </c>
      <c r="D131" s="219"/>
    </row>
    <row r="132" spans="2:4" x14ac:dyDescent="0.2">
      <c r="B132" s="344" t="s">
        <v>557</v>
      </c>
      <c r="C132" s="298"/>
      <c r="D132" s="299">
        <v>87138763.000000015</v>
      </c>
    </row>
  </sheetData>
  <sheetProtection sheet="1"/>
  <mergeCells count="3">
    <mergeCell ref="B13:C13"/>
    <mergeCell ref="B4:C4"/>
    <mergeCell ref="B6:F10"/>
  </mergeCells>
  <phoneticPr fontId="30" type="noConversion"/>
  <dataValidations disablePrompts="1" count="1">
    <dataValidation type="list" allowBlank="1" showInputMessage="1" showErrorMessage="1" sqref="C132" xr:uid="{CB1D5295-E541-4CFE-BB65-BDD50B896004}">
      <formula1>rInitialcosts</formula1>
    </dataValidation>
  </dataValidations>
  <pageMargins left="0.75" right="0.75" top="1" bottom="1" header="0.5" footer="0.5"/>
  <pageSetup paperSize="9" scale="47" orientation="landscape" verticalDpi="2" r:id="rId1"/>
  <headerFooter alignWithMargins="0">
    <oddFooter>&amp;C_x000D_&amp;1#&amp;"Calibri"&amp;10&amp;K008000 APA-INTERNAL</oddFooter>
  </headerFooter>
  <drawing r:id="rId2"/>
  <legacy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2DF07F-576A-4B7A-BD4F-7D94018D95EF}">
  <sheetPr codeName="Sheet20">
    <tabColor rgb="FF17415D"/>
    <pageSetUpPr fitToPage="1"/>
  </sheetPr>
  <dimension ref="B1:L119"/>
  <sheetViews>
    <sheetView zoomScale="108" zoomScaleNormal="85" workbookViewId="0">
      <pane xSplit="1" ySplit="9" topLeftCell="B10" activePane="bottomRight" state="frozen"/>
      <selection pane="topRight" activeCell="B1" sqref="B1"/>
      <selection pane="bottomLeft" activeCell="A10" sqref="A10"/>
      <selection pane="bottomRight"/>
    </sheetView>
  </sheetViews>
  <sheetFormatPr defaultColWidth="9.42578125" defaultRowHeight="12.75" x14ac:dyDescent="0.2"/>
  <cols>
    <col min="1" max="1" width="12" style="4" customWidth="1"/>
    <col min="2" max="2" width="34.5703125" style="4" customWidth="1"/>
    <col min="3" max="3" width="70.5703125" style="4" customWidth="1"/>
    <col min="4" max="8" width="20.5703125" style="4" customWidth="1"/>
    <col min="9" max="16384" width="9.42578125" style="4"/>
  </cols>
  <sheetData>
    <row r="1" spans="2:8" ht="20.25" x14ac:dyDescent="0.2">
      <c r="B1" s="135" t="s">
        <v>302</v>
      </c>
      <c r="C1" s="135"/>
    </row>
    <row r="2" spans="2:8" ht="20.25" x14ac:dyDescent="0.2">
      <c r="B2" s="135" t="str">
        <f>IF(Tradingname=0," ",Tradingname)</f>
        <v>APA Pipelines Investments (BWP) Pty Limited</v>
      </c>
      <c r="C2" s="135"/>
      <c r="E2" s="265"/>
    </row>
    <row r="3" spans="2:8" ht="20.25" x14ac:dyDescent="0.3">
      <c r="B3" s="135" t="s">
        <v>109</v>
      </c>
      <c r="C3" s="99">
        <f>IF(Yearending=0, "01/01/2000", Yearending)</f>
        <v>45838</v>
      </c>
    </row>
    <row r="4" spans="2:8" ht="20.25" x14ac:dyDescent="0.3">
      <c r="B4" s="135" t="s">
        <v>382</v>
      </c>
      <c r="C4" s="99">
        <f>'1. Pipeline information'!C15</f>
        <v>0</v>
      </c>
    </row>
    <row r="5" spans="2:8" ht="20.25" x14ac:dyDescent="0.2">
      <c r="B5" s="91" t="s">
        <v>448</v>
      </c>
      <c r="C5" s="91"/>
      <c r="D5" s="248"/>
    </row>
    <row r="6" spans="2:8" x14ac:dyDescent="0.2">
      <c r="D6" s="266"/>
    </row>
    <row r="7" spans="2:8" x14ac:dyDescent="0.2">
      <c r="B7" s="434" t="s">
        <v>459</v>
      </c>
      <c r="C7" s="434"/>
      <c r="D7" s="434"/>
    </row>
    <row r="8" spans="2:8" x14ac:dyDescent="0.2">
      <c r="B8" s="434"/>
      <c r="C8" s="434"/>
      <c r="D8" s="434"/>
    </row>
    <row r="9" spans="2:8" x14ac:dyDescent="0.2">
      <c r="B9" s="434"/>
      <c r="C9" s="434"/>
      <c r="D9" s="434"/>
    </row>
    <row r="12" spans="2:8" ht="15.75" x14ac:dyDescent="0.2">
      <c r="B12" s="437" t="s">
        <v>374</v>
      </c>
      <c r="C12" s="437"/>
      <c r="D12" s="266"/>
    </row>
    <row r="14" spans="2:8" x14ac:dyDescent="0.2">
      <c r="B14" s="266"/>
      <c r="C14" s="266"/>
      <c r="D14" s="439" t="s">
        <v>58</v>
      </c>
      <c r="E14" s="439"/>
      <c r="F14" s="439"/>
      <c r="G14" s="439"/>
      <c r="H14" s="439"/>
    </row>
    <row r="15" spans="2:8" x14ac:dyDescent="0.2">
      <c r="B15" s="44" t="s">
        <v>307</v>
      </c>
      <c r="C15" s="219" t="s">
        <v>13</v>
      </c>
      <c r="D15" s="219" t="str">
        <f>YEAR(Yearstart)-4&amp;"-"&amp;RIGHT(YEAR(Yearstart)-3,2)</f>
        <v>2020-21</v>
      </c>
      <c r="E15" s="219" t="str">
        <f>YEAR(Yearstart)-3&amp;"-"&amp;RIGHT(YEAR(Yearstart)-2,2)</f>
        <v>2021-22</v>
      </c>
      <c r="F15" s="45" t="str">
        <f>YEAR(Yearstart)-2&amp;"-"&amp;RIGHT(YEAR(Yearstart)-1,2)</f>
        <v>2022-23</v>
      </c>
      <c r="G15" s="45" t="str">
        <f>YEAR(Yearstart)-1&amp;"-"&amp;RIGHT(YEAR(Yearstart),2)</f>
        <v>2023-24</v>
      </c>
      <c r="H15" s="219" t="str">
        <f>YEAR(Yearstart)&amp;"-"&amp;RIGHT(YEAR(Yearstart)+1,2)</f>
        <v>2024-25</v>
      </c>
    </row>
    <row r="16" spans="2:8" x14ac:dyDescent="0.2">
      <c r="B16" s="291"/>
      <c r="C16" s="45"/>
      <c r="D16" s="45"/>
      <c r="E16" s="45"/>
      <c r="F16" s="45"/>
      <c r="G16" s="45"/>
      <c r="H16" s="219"/>
    </row>
    <row r="17" spans="2:12" x14ac:dyDescent="0.2">
      <c r="B17" s="289"/>
      <c r="C17" s="48" t="s">
        <v>383</v>
      </c>
      <c r="D17" s="161" t="s">
        <v>381</v>
      </c>
      <c r="E17" s="161" t="s">
        <v>381</v>
      </c>
      <c r="F17" s="161" t="s">
        <v>381</v>
      </c>
      <c r="G17" s="161" t="s">
        <v>381</v>
      </c>
      <c r="H17" s="161" t="s">
        <v>381</v>
      </c>
    </row>
    <row r="18" spans="2:12" x14ac:dyDescent="0.2">
      <c r="B18" s="290"/>
      <c r="C18" s="162" t="s">
        <v>384</v>
      </c>
      <c r="D18" s="66"/>
      <c r="E18" s="129">
        <f>D23</f>
        <v>0</v>
      </c>
      <c r="F18" s="129">
        <f>E23</f>
        <v>0</v>
      </c>
      <c r="G18" s="129">
        <f>F23</f>
        <v>0</v>
      </c>
      <c r="H18" s="129">
        <f>G23</f>
        <v>0</v>
      </c>
    </row>
    <row r="19" spans="2:12" x14ac:dyDescent="0.2">
      <c r="B19" s="290"/>
      <c r="C19" s="162" t="s">
        <v>385</v>
      </c>
      <c r="D19" s="66"/>
      <c r="E19" s="66"/>
      <c r="F19" s="66"/>
      <c r="G19" s="66"/>
      <c r="H19" s="66"/>
    </row>
    <row r="20" spans="2:12" x14ac:dyDescent="0.2">
      <c r="B20" s="289"/>
      <c r="C20" s="84" t="s">
        <v>386</v>
      </c>
      <c r="D20" s="129">
        <f>SUM(D18:D19)</f>
        <v>0</v>
      </c>
      <c r="E20" s="129">
        <f>SUM(E18:E19)</f>
        <v>0</v>
      </c>
      <c r="F20" s="129">
        <f>SUM(F18:F19)</f>
        <v>0</v>
      </c>
      <c r="G20" s="129">
        <f>SUM(G18:G19)</f>
        <v>0</v>
      </c>
      <c r="H20" s="129">
        <f>SUM(H18:H19)</f>
        <v>0</v>
      </c>
    </row>
    <row r="21" spans="2:12" x14ac:dyDescent="0.2">
      <c r="B21" s="290"/>
      <c r="C21" s="162" t="s">
        <v>387</v>
      </c>
      <c r="D21" s="66"/>
      <c r="E21" s="66"/>
      <c r="F21" s="66"/>
      <c r="G21" s="66"/>
      <c r="H21" s="66"/>
    </row>
    <row r="22" spans="2:12" x14ac:dyDescent="0.2">
      <c r="B22" s="290"/>
      <c r="C22" s="162" t="s">
        <v>388</v>
      </c>
      <c r="D22" s="66"/>
      <c r="E22" s="66"/>
      <c r="F22" s="66"/>
      <c r="G22" s="66"/>
      <c r="H22" s="66"/>
      <c r="L22" s="9"/>
    </row>
    <row r="23" spans="2:12" x14ac:dyDescent="0.2">
      <c r="B23" s="289"/>
      <c r="C23" s="84" t="s">
        <v>389</v>
      </c>
      <c r="D23" s="129">
        <f>SUM(D20:D22)</f>
        <v>0</v>
      </c>
      <c r="E23" s="129">
        <f>SUM(E20:E22)</f>
        <v>0</v>
      </c>
      <c r="F23" s="129">
        <f>SUM(F20:F22)</f>
        <v>0</v>
      </c>
      <c r="G23" s="129">
        <f>SUM(G20:G22)</f>
        <v>0</v>
      </c>
      <c r="H23" s="129">
        <f>SUM(H20:H22)</f>
        <v>0</v>
      </c>
    </row>
    <row r="24" spans="2:12" x14ac:dyDescent="0.2">
      <c r="B24" s="289"/>
      <c r="C24" s="48" t="s">
        <v>390</v>
      </c>
      <c r="D24" s="219"/>
      <c r="E24" s="219"/>
      <c r="F24" s="219"/>
      <c r="G24" s="219"/>
      <c r="H24" s="219"/>
    </row>
    <row r="25" spans="2:12" x14ac:dyDescent="0.2">
      <c r="B25" s="290"/>
      <c r="C25" s="162" t="s">
        <v>384</v>
      </c>
      <c r="D25" s="66"/>
      <c r="E25" s="129">
        <f>D29</f>
        <v>0</v>
      </c>
      <c r="F25" s="129">
        <f>E29</f>
        <v>0</v>
      </c>
      <c r="G25" s="129">
        <f>F29</f>
        <v>0</v>
      </c>
      <c r="H25" s="129">
        <f>G29</f>
        <v>0</v>
      </c>
    </row>
    <row r="26" spans="2:12" x14ac:dyDescent="0.2">
      <c r="B26" s="290"/>
      <c r="C26" s="162" t="s">
        <v>391</v>
      </c>
      <c r="D26" s="66"/>
      <c r="E26" s="66"/>
      <c r="F26" s="66"/>
      <c r="G26" s="66"/>
      <c r="H26" s="66"/>
    </row>
    <row r="27" spans="2:12" x14ac:dyDescent="0.2">
      <c r="B27" s="290"/>
      <c r="C27" s="162" t="s">
        <v>392</v>
      </c>
      <c r="D27" s="66"/>
      <c r="E27" s="66"/>
      <c r="F27" s="66"/>
      <c r="G27" s="66"/>
      <c r="H27" s="66"/>
    </row>
    <row r="28" spans="2:12" x14ac:dyDescent="0.2">
      <c r="B28" s="290"/>
      <c r="C28" s="162" t="s">
        <v>393</v>
      </c>
      <c r="D28" s="66"/>
      <c r="E28" s="66"/>
      <c r="F28" s="66"/>
      <c r="G28" s="66"/>
      <c r="H28" s="66"/>
    </row>
    <row r="29" spans="2:12" x14ac:dyDescent="0.2">
      <c r="B29" s="289"/>
      <c r="C29" s="84" t="s">
        <v>394</v>
      </c>
      <c r="D29" s="129">
        <f>SUM(D25:D28)</f>
        <v>0</v>
      </c>
      <c r="E29" s="129">
        <f>SUM(E25:E28)</f>
        <v>0</v>
      </c>
      <c r="F29" s="129">
        <f>SUM(F25:F28)</f>
        <v>0</v>
      </c>
      <c r="G29" s="129">
        <f>SUM(G25:G28)</f>
        <v>0</v>
      </c>
      <c r="H29" s="129">
        <f>SUM(H25:H28)</f>
        <v>0</v>
      </c>
    </row>
    <row r="30" spans="2:12" x14ac:dyDescent="0.2">
      <c r="B30" s="289"/>
      <c r="C30" s="48" t="s">
        <v>395</v>
      </c>
      <c r="D30" s="219"/>
      <c r="E30" s="219"/>
      <c r="F30" s="219"/>
      <c r="G30" s="219"/>
      <c r="H30" s="219"/>
    </row>
    <row r="31" spans="2:12" x14ac:dyDescent="0.2">
      <c r="B31" s="290"/>
      <c r="C31" s="162" t="s">
        <v>384</v>
      </c>
      <c r="D31" s="66"/>
      <c r="E31" s="129">
        <f>D35</f>
        <v>0</v>
      </c>
      <c r="F31" s="129">
        <f>E35</f>
        <v>0</v>
      </c>
      <c r="G31" s="129">
        <f>F35</f>
        <v>0</v>
      </c>
      <c r="H31" s="129">
        <f>G35</f>
        <v>0</v>
      </c>
    </row>
    <row r="32" spans="2:12" x14ac:dyDescent="0.2">
      <c r="B32" s="290"/>
      <c r="C32" s="162" t="s">
        <v>396</v>
      </c>
      <c r="D32" s="66"/>
      <c r="E32" s="66"/>
      <c r="F32" s="66"/>
      <c r="G32" s="66"/>
      <c r="H32" s="66"/>
    </row>
    <row r="33" spans="2:8" ht="11.25" customHeight="1" x14ac:dyDescent="0.2">
      <c r="B33" s="290"/>
      <c r="C33" s="162" t="s">
        <v>397</v>
      </c>
      <c r="D33" s="66"/>
      <c r="E33" s="66"/>
      <c r="F33" s="66"/>
      <c r="G33" s="66"/>
      <c r="H33" s="66"/>
    </row>
    <row r="34" spans="2:8" x14ac:dyDescent="0.2">
      <c r="B34" s="290"/>
      <c r="C34" s="162" t="s">
        <v>393</v>
      </c>
      <c r="D34" s="66"/>
      <c r="E34" s="66"/>
      <c r="F34" s="66"/>
      <c r="G34" s="66"/>
      <c r="H34" s="66"/>
    </row>
    <row r="35" spans="2:8" x14ac:dyDescent="0.2">
      <c r="B35" s="289"/>
      <c r="C35" s="84" t="s">
        <v>398</v>
      </c>
      <c r="D35" s="129">
        <f>SUM(D31:D34)</f>
        <v>0</v>
      </c>
      <c r="E35" s="129">
        <f>SUM(E31:E34)</f>
        <v>0</v>
      </c>
      <c r="F35" s="129">
        <f>SUM(F31:F34)</f>
        <v>0</v>
      </c>
      <c r="G35" s="129">
        <f>SUM(G31:G34)</f>
        <v>0</v>
      </c>
      <c r="H35" s="129">
        <f>SUM(H31:H34)</f>
        <v>0</v>
      </c>
    </row>
    <row r="36" spans="2:8" x14ac:dyDescent="0.2">
      <c r="B36" s="289"/>
      <c r="C36" s="48" t="s">
        <v>399</v>
      </c>
      <c r="D36" s="219"/>
      <c r="E36" s="219"/>
      <c r="F36" s="219"/>
      <c r="G36" s="219"/>
      <c r="H36" s="219"/>
    </row>
    <row r="37" spans="2:8" x14ac:dyDescent="0.2">
      <c r="B37" s="290"/>
      <c r="C37" s="162" t="s">
        <v>384</v>
      </c>
      <c r="D37" s="66"/>
      <c r="E37" s="129">
        <f>D41</f>
        <v>0</v>
      </c>
      <c r="F37" s="129">
        <f>E41</f>
        <v>0</v>
      </c>
      <c r="G37" s="129">
        <f>F41</f>
        <v>0</v>
      </c>
      <c r="H37" s="129">
        <f>G41</f>
        <v>0</v>
      </c>
    </row>
    <row r="38" spans="2:8" x14ac:dyDescent="0.2">
      <c r="B38" s="290"/>
      <c r="C38" s="162" t="s">
        <v>391</v>
      </c>
      <c r="D38" s="66"/>
      <c r="E38" s="66"/>
      <c r="F38" s="66"/>
      <c r="G38" s="66"/>
      <c r="H38" s="66"/>
    </row>
    <row r="39" spans="2:8" x14ac:dyDescent="0.2">
      <c r="B39" s="290"/>
      <c r="C39" s="162" t="s">
        <v>400</v>
      </c>
      <c r="D39" s="66"/>
      <c r="E39" s="66"/>
      <c r="F39" s="66"/>
      <c r="G39" s="66"/>
      <c r="H39" s="66"/>
    </row>
    <row r="40" spans="2:8" x14ac:dyDescent="0.2">
      <c r="B40" s="290"/>
      <c r="C40" s="162" t="s">
        <v>393</v>
      </c>
      <c r="D40" s="66"/>
      <c r="E40" s="66"/>
      <c r="F40" s="66"/>
      <c r="G40" s="66"/>
      <c r="H40" s="66"/>
    </row>
    <row r="41" spans="2:8" ht="11.25" customHeight="1" x14ac:dyDescent="0.2">
      <c r="B41" s="289"/>
      <c r="C41" s="84" t="s">
        <v>401</v>
      </c>
      <c r="D41" s="129">
        <f>SUM(D37:D40)</f>
        <v>0</v>
      </c>
      <c r="E41" s="129">
        <f>SUM(E37:E40)</f>
        <v>0</v>
      </c>
      <c r="F41" s="129">
        <f>SUM(F37:F40)</f>
        <v>0</v>
      </c>
      <c r="G41" s="129">
        <f>SUM(G37:G40)</f>
        <v>0</v>
      </c>
      <c r="H41" s="129">
        <f>SUM(H37:H40)</f>
        <v>0</v>
      </c>
    </row>
    <row r="42" spans="2:8" x14ac:dyDescent="0.2">
      <c r="B42" s="289"/>
      <c r="C42" s="48" t="s">
        <v>429</v>
      </c>
      <c r="D42" s="219"/>
      <c r="E42" s="219"/>
      <c r="F42" s="219"/>
      <c r="G42" s="219"/>
      <c r="H42" s="219"/>
    </row>
    <row r="43" spans="2:8" x14ac:dyDescent="0.2">
      <c r="B43" s="290"/>
      <c r="C43" s="162" t="s">
        <v>384</v>
      </c>
      <c r="D43" s="66"/>
      <c r="E43" s="129">
        <f>D47</f>
        <v>0</v>
      </c>
      <c r="F43" s="129">
        <f>E47</f>
        <v>0</v>
      </c>
      <c r="G43" s="129">
        <f>F47</f>
        <v>0</v>
      </c>
      <c r="H43" s="129">
        <f>G47</f>
        <v>0</v>
      </c>
    </row>
    <row r="44" spans="2:8" x14ac:dyDescent="0.2">
      <c r="B44" s="290"/>
      <c r="C44" s="162" t="s">
        <v>391</v>
      </c>
      <c r="D44" s="66"/>
      <c r="E44" s="66"/>
      <c r="F44" s="66"/>
      <c r="G44" s="66"/>
      <c r="H44" s="66"/>
    </row>
    <row r="45" spans="2:8" x14ac:dyDescent="0.2">
      <c r="B45" s="290"/>
      <c r="C45" s="162" t="s">
        <v>402</v>
      </c>
      <c r="D45" s="66"/>
      <c r="E45" s="66"/>
      <c r="F45" s="66"/>
      <c r="G45" s="66"/>
      <c r="H45" s="66"/>
    </row>
    <row r="46" spans="2:8" x14ac:dyDescent="0.2">
      <c r="B46" s="290"/>
      <c r="C46" s="162" t="s">
        <v>393</v>
      </c>
      <c r="D46" s="66"/>
      <c r="E46" s="66"/>
      <c r="F46" s="66"/>
      <c r="G46" s="66"/>
      <c r="H46" s="66"/>
    </row>
    <row r="47" spans="2:8" x14ac:dyDescent="0.2">
      <c r="B47" s="289"/>
      <c r="C47" s="84" t="s">
        <v>403</v>
      </c>
      <c r="D47" s="129">
        <f>SUM(D43:D46)</f>
        <v>0</v>
      </c>
      <c r="E47" s="129">
        <f>SUM(E43:E46)</f>
        <v>0</v>
      </c>
      <c r="F47" s="129">
        <f>SUM(F43:F46)</f>
        <v>0</v>
      </c>
      <c r="G47" s="129">
        <f>SUM(G43:G46)</f>
        <v>0</v>
      </c>
      <c r="H47" s="129">
        <f>SUM(H43:H46)</f>
        <v>0</v>
      </c>
    </row>
    <row r="48" spans="2:8" x14ac:dyDescent="0.2">
      <c r="B48" s="289"/>
      <c r="C48" s="48" t="s">
        <v>404</v>
      </c>
      <c r="D48" s="219"/>
      <c r="E48" s="219"/>
      <c r="F48" s="219"/>
      <c r="G48" s="219"/>
      <c r="H48" s="219"/>
    </row>
    <row r="49" spans="2:8" ht="11.25" customHeight="1" x14ac:dyDescent="0.2">
      <c r="B49" s="290"/>
      <c r="C49" s="162" t="s">
        <v>384</v>
      </c>
      <c r="D49" s="66"/>
      <c r="E49" s="129">
        <f>D53</f>
        <v>0</v>
      </c>
      <c r="F49" s="129">
        <f>E53</f>
        <v>0</v>
      </c>
      <c r="G49" s="129">
        <f>F53</f>
        <v>0</v>
      </c>
      <c r="H49" s="129">
        <f>G53</f>
        <v>0</v>
      </c>
    </row>
    <row r="50" spans="2:8" x14ac:dyDescent="0.2">
      <c r="B50" s="290"/>
      <c r="C50" s="162" t="s">
        <v>391</v>
      </c>
      <c r="D50" s="66"/>
      <c r="E50" s="66"/>
      <c r="F50" s="66"/>
      <c r="G50" s="66"/>
      <c r="H50" s="66"/>
    </row>
    <row r="51" spans="2:8" x14ac:dyDescent="0.2">
      <c r="B51" s="290"/>
      <c r="C51" s="162" t="s">
        <v>405</v>
      </c>
      <c r="D51" s="66"/>
      <c r="E51" s="66"/>
      <c r="F51" s="66"/>
      <c r="G51" s="66"/>
      <c r="H51" s="66"/>
    </row>
    <row r="52" spans="2:8" x14ac:dyDescent="0.2">
      <c r="B52" s="290"/>
      <c r="C52" s="162" t="s">
        <v>393</v>
      </c>
      <c r="D52" s="66"/>
      <c r="E52" s="66"/>
      <c r="F52" s="66"/>
      <c r="G52" s="66"/>
      <c r="H52" s="66"/>
    </row>
    <row r="53" spans="2:8" x14ac:dyDescent="0.2">
      <c r="B53" s="289"/>
      <c r="C53" s="84" t="s">
        <v>406</v>
      </c>
      <c r="D53" s="129">
        <f>SUM(D49:D52)</f>
        <v>0</v>
      </c>
      <c r="E53" s="129">
        <f>SUM(E49:E52)</f>
        <v>0</v>
      </c>
      <c r="F53" s="129">
        <f>SUM(F49:F52)</f>
        <v>0</v>
      </c>
      <c r="G53" s="129">
        <f>SUM(G49:G52)</f>
        <v>0</v>
      </c>
      <c r="H53" s="129">
        <f>SUM(H49:H52)</f>
        <v>0</v>
      </c>
    </row>
    <row r="54" spans="2:8" x14ac:dyDescent="0.2">
      <c r="B54" s="289"/>
      <c r="C54" s="48" t="s">
        <v>407</v>
      </c>
      <c r="D54" s="219"/>
      <c r="E54" s="219"/>
      <c r="F54" s="219"/>
      <c r="G54" s="219"/>
      <c r="H54" s="219"/>
    </row>
    <row r="55" spans="2:8" x14ac:dyDescent="0.2">
      <c r="B55" s="290"/>
      <c r="C55" s="162" t="s">
        <v>384</v>
      </c>
      <c r="D55" s="66"/>
      <c r="E55" s="129">
        <f>D59</f>
        <v>0</v>
      </c>
      <c r="F55" s="129">
        <f>E59</f>
        <v>0</v>
      </c>
      <c r="G55" s="129">
        <f>F59</f>
        <v>0</v>
      </c>
      <c r="H55" s="129">
        <f>G59</f>
        <v>0</v>
      </c>
    </row>
    <row r="56" spans="2:8" x14ac:dyDescent="0.2">
      <c r="B56" s="290"/>
      <c r="C56" s="162" t="s">
        <v>391</v>
      </c>
      <c r="D56" s="66"/>
      <c r="E56" s="66"/>
      <c r="F56" s="66"/>
      <c r="G56" s="66"/>
      <c r="H56" s="66"/>
    </row>
    <row r="57" spans="2:8" ht="11.25" customHeight="1" x14ac:dyDescent="0.2">
      <c r="B57" s="290"/>
      <c r="C57" s="162" t="s">
        <v>408</v>
      </c>
      <c r="D57" s="66"/>
      <c r="E57" s="66"/>
      <c r="F57" s="66"/>
      <c r="G57" s="66"/>
      <c r="H57" s="66"/>
    </row>
    <row r="58" spans="2:8" x14ac:dyDescent="0.2">
      <c r="B58" s="290"/>
      <c r="C58" s="162" t="s">
        <v>393</v>
      </c>
      <c r="D58" s="66"/>
      <c r="E58" s="66"/>
      <c r="F58" s="66"/>
      <c r="G58" s="66"/>
      <c r="H58" s="66"/>
    </row>
    <row r="59" spans="2:8" x14ac:dyDescent="0.2">
      <c r="B59" s="289"/>
      <c r="C59" s="84" t="s">
        <v>409</v>
      </c>
      <c r="D59" s="129">
        <f>SUM(D55:D58)</f>
        <v>0</v>
      </c>
      <c r="E59" s="129">
        <f>SUM(E55:E58)</f>
        <v>0</v>
      </c>
      <c r="F59" s="129">
        <f>SUM(F55:F58)</f>
        <v>0</v>
      </c>
      <c r="G59" s="129">
        <f>SUM(G55:G58)</f>
        <v>0</v>
      </c>
      <c r="H59" s="129">
        <f>SUM(H55:H58)</f>
        <v>0</v>
      </c>
    </row>
    <row r="60" spans="2:8" x14ac:dyDescent="0.2">
      <c r="B60" s="289"/>
      <c r="C60" s="48" t="s">
        <v>410</v>
      </c>
      <c r="D60" s="219"/>
      <c r="E60" s="219"/>
      <c r="F60" s="219"/>
      <c r="G60" s="219"/>
      <c r="H60" s="219"/>
    </row>
    <row r="61" spans="2:8" x14ac:dyDescent="0.2">
      <c r="B61" s="290"/>
      <c r="C61" s="162" t="s">
        <v>384</v>
      </c>
      <c r="D61" s="66"/>
      <c r="E61" s="129">
        <f>D65</f>
        <v>0</v>
      </c>
      <c r="F61" s="129">
        <f>E65</f>
        <v>0</v>
      </c>
      <c r="G61" s="129">
        <f>F65</f>
        <v>0</v>
      </c>
      <c r="H61" s="129">
        <f>G65</f>
        <v>0</v>
      </c>
    </row>
    <row r="62" spans="2:8" x14ac:dyDescent="0.2">
      <c r="B62" s="290"/>
      <c r="C62" s="162" t="s">
        <v>391</v>
      </c>
      <c r="D62" s="66"/>
      <c r="E62" s="66"/>
      <c r="F62" s="66"/>
      <c r="G62" s="66"/>
      <c r="H62" s="66"/>
    </row>
    <row r="63" spans="2:8" ht="11.25" customHeight="1" x14ac:dyDescent="0.2">
      <c r="B63" s="290"/>
      <c r="C63" s="162" t="s">
        <v>411</v>
      </c>
      <c r="D63" s="66"/>
      <c r="E63" s="66"/>
      <c r="F63" s="66"/>
      <c r="G63" s="66"/>
      <c r="H63" s="66"/>
    </row>
    <row r="64" spans="2:8" ht="11.25" customHeight="1" x14ac:dyDescent="0.2">
      <c r="B64" s="290"/>
      <c r="C64" s="162" t="s">
        <v>393</v>
      </c>
      <c r="D64" s="66"/>
      <c r="E64" s="66"/>
      <c r="F64" s="66"/>
      <c r="G64" s="66"/>
      <c r="H64" s="66"/>
    </row>
    <row r="65" spans="2:8" ht="11.25" customHeight="1" x14ac:dyDescent="0.2">
      <c r="B65" s="289"/>
      <c r="C65" s="84" t="s">
        <v>412</v>
      </c>
      <c r="D65" s="129">
        <f>SUM(D61:D64)</f>
        <v>0</v>
      </c>
      <c r="E65" s="129">
        <f>SUM(E61:E64)</f>
        <v>0</v>
      </c>
      <c r="F65" s="129">
        <f>SUM(F61:F64)</f>
        <v>0</v>
      </c>
      <c r="G65" s="129">
        <f>SUM(G61:G64)</f>
        <v>0</v>
      </c>
      <c r="H65" s="129">
        <f>SUM(H61:H64)</f>
        <v>0</v>
      </c>
    </row>
    <row r="66" spans="2:8" x14ac:dyDescent="0.2">
      <c r="B66" s="289"/>
      <c r="C66" s="48" t="s">
        <v>413</v>
      </c>
      <c r="D66" s="219"/>
      <c r="E66" s="219"/>
      <c r="F66" s="219"/>
      <c r="G66" s="219"/>
      <c r="H66" s="219"/>
    </row>
    <row r="67" spans="2:8" x14ac:dyDescent="0.2">
      <c r="B67" s="290"/>
      <c r="C67" s="162" t="s">
        <v>384</v>
      </c>
      <c r="D67" s="66"/>
      <c r="E67" s="129">
        <f>D71</f>
        <v>0</v>
      </c>
      <c r="F67" s="129">
        <f>E71</f>
        <v>0</v>
      </c>
      <c r="G67" s="129">
        <f>F71</f>
        <v>0</v>
      </c>
      <c r="H67" s="129">
        <f>G71</f>
        <v>0</v>
      </c>
    </row>
    <row r="68" spans="2:8" x14ac:dyDescent="0.2">
      <c r="B68" s="290"/>
      <c r="C68" s="162" t="s">
        <v>391</v>
      </c>
      <c r="D68" s="66"/>
      <c r="E68" s="66"/>
      <c r="F68" s="66"/>
      <c r="G68" s="66"/>
      <c r="H68" s="66"/>
    </row>
    <row r="69" spans="2:8" x14ac:dyDescent="0.2">
      <c r="B69" s="290"/>
      <c r="C69" s="162" t="s">
        <v>414</v>
      </c>
      <c r="D69" s="66"/>
      <c r="E69" s="66"/>
      <c r="F69" s="66"/>
      <c r="G69" s="66"/>
      <c r="H69" s="66"/>
    </row>
    <row r="70" spans="2:8" x14ac:dyDescent="0.2">
      <c r="B70" s="290"/>
      <c r="C70" s="162" t="s">
        <v>393</v>
      </c>
      <c r="D70" s="66"/>
      <c r="E70" s="66"/>
      <c r="F70" s="66"/>
      <c r="G70" s="66"/>
      <c r="H70" s="66"/>
    </row>
    <row r="71" spans="2:8" x14ac:dyDescent="0.2">
      <c r="B71" s="289"/>
      <c r="C71" s="84" t="s">
        <v>415</v>
      </c>
      <c r="D71" s="129">
        <f>SUM(D67:D70)</f>
        <v>0</v>
      </c>
      <c r="E71" s="129">
        <f>SUM(E67:E70)</f>
        <v>0</v>
      </c>
      <c r="F71" s="129">
        <f>SUM(F67:F70)</f>
        <v>0</v>
      </c>
      <c r="G71" s="129">
        <f>SUM(G67:G70)</f>
        <v>0</v>
      </c>
      <c r="H71" s="129">
        <f>SUM(H67:H70)</f>
        <v>0</v>
      </c>
    </row>
    <row r="72" spans="2:8" x14ac:dyDescent="0.2">
      <c r="B72" s="289"/>
      <c r="C72" s="48" t="s">
        <v>416</v>
      </c>
      <c r="D72" s="219"/>
      <c r="E72" s="219"/>
      <c r="F72" s="219"/>
      <c r="G72" s="219"/>
      <c r="H72" s="219"/>
    </row>
    <row r="73" spans="2:8" ht="11.25" customHeight="1" x14ac:dyDescent="0.2">
      <c r="B73" s="290"/>
      <c r="C73" s="162" t="s">
        <v>384</v>
      </c>
      <c r="D73" s="66"/>
      <c r="E73" s="129">
        <f>D77</f>
        <v>0</v>
      </c>
      <c r="F73" s="129">
        <f>E77</f>
        <v>0</v>
      </c>
      <c r="G73" s="129">
        <f>F77</f>
        <v>0</v>
      </c>
      <c r="H73" s="129">
        <f>G77</f>
        <v>0</v>
      </c>
    </row>
    <row r="74" spans="2:8" x14ac:dyDescent="0.2">
      <c r="B74" s="290"/>
      <c r="C74" s="162" t="s">
        <v>391</v>
      </c>
      <c r="D74" s="66"/>
      <c r="E74" s="66"/>
      <c r="F74" s="66"/>
      <c r="G74" s="66"/>
      <c r="H74" s="66"/>
    </row>
    <row r="75" spans="2:8" x14ac:dyDescent="0.2">
      <c r="B75" s="290"/>
      <c r="C75" s="162" t="s">
        <v>414</v>
      </c>
      <c r="D75" s="66"/>
      <c r="E75" s="66"/>
      <c r="F75" s="66"/>
      <c r="G75" s="66"/>
      <c r="H75" s="66"/>
    </row>
    <row r="76" spans="2:8" x14ac:dyDescent="0.2">
      <c r="B76" s="290"/>
      <c r="C76" s="162" t="s">
        <v>393</v>
      </c>
      <c r="D76" s="66"/>
      <c r="E76" s="66"/>
      <c r="F76" s="66"/>
      <c r="G76" s="66"/>
      <c r="H76" s="66"/>
    </row>
    <row r="77" spans="2:8" x14ac:dyDescent="0.2">
      <c r="B77" s="289"/>
      <c r="C77" s="84" t="s">
        <v>417</v>
      </c>
      <c r="D77" s="129">
        <f>SUM(D73:D76)</f>
        <v>0</v>
      </c>
      <c r="E77" s="129">
        <f>SUM(E73:E76)</f>
        <v>0</v>
      </c>
      <c r="F77" s="129">
        <f>SUM(F73:F76)</f>
        <v>0</v>
      </c>
      <c r="G77" s="129">
        <f>SUM(G73:G76)</f>
        <v>0</v>
      </c>
      <c r="H77" s="129">
        <f>SUM(H73:H76)</f>
        <v>0</v>
      </c>
    </row>
    <row r="78" spans="2:8" x14ac:dyDescent="0.2">
      <c r="B78" s="289"/>
      <c r="C78" s="84" t="s">
        <v>418</v>
      </c>
      <c r="D78" s="129">
        <f>SUM(D23,D29,D35,D41,D47,D53,D59,D65,D71,D77)</f>
        <v>0</v>
      </c>
      <c r="E78" s="129">
        <f>SUM(E23,E29,E35,E41,E47,E53,E59,E65,E71,E77)</f>
        <v>0</v>
      </c>
      <c r="F78" s="129">
        <f>SUM(F23,F29,F35,F41,F47,F53,F59,F65,F71,F77)</f>
        <v>0</v>
      </c>
      <c r="G78" s="129">
        <f>SUM(G23,G29,G35,G41,G47,G53,G59,G65,G71,G77)</f>
        <v>0</v>
      </c>
      <c r="H78" s="129">
        <f>SUM(H23,H29,H35,H41,H47,H53,H59,H65,H71,H77)</f>
        <v>0</v>
      </c>
    </row>
    <row r="79" spans="2:8" x14ac:dyDescent="0.2">
      <c r="B79" s="289"/>
      <c r="C79" s="48" t="s">
        <v>461</v>
      </c>
      <c r="D79" s="219"/>
      <c r="E79" s="219"/>
      <c r="F79" s="219"/>
      <c r="G79" s="219"/>
      <c r="H79" s="219"/>
    </row>
    <row r="80" spans="2:8" ht="11.25" customHeight="1" x14ac:dyDescent="0.2">
      <c r="B80" s="290"/>
      <c r="C80" s="162" t="s">
        <v>384</v>
      </c>
      <c r="D80" s="66"/>
      <c r="E80" s="129">
        <f>D84</f>
        <v>0</v>
      </c>
      <c r="F80" s="129">
        <f>E84</f>
        <v>0</v>
      </c>
      <c r="G80" s="129">
        <f>F84</f>
        <v>0</v>
      </c>
      <c r="H80" s="129">
        <f>G84</f>
        <v>0</v>
      </c>
    </row>
    <row r="81" spans="2:8" x14ac:dyDescent="0.2">
      <c r="B81" s="290"/>
      <c r="C81" s="162" t="s">
        <v>391</v>
      </c>
      <c r="D81" s="66"/>
      <c r="E81" s="66"/>
      <c r="F81" s="66"/>
      <c r="G81" s="66"/>
      <c r="H81" s="66"/>
    </row>
    <row r="82" spans="2:8" x14ac:dyDescent="0.2">
      <c r="B82" s="290"/>
      <c r="C82" s="162" t="s">
        <v>419</v>
      </c>
      <c r="D82" s="66"/>
      <c r="E82" s="66"/>
      <c r="F82" s="66"/>
      <c r="G82" s="66"/>
      <c r="H82" s="66"/>
    </row>
    <row r="83" spans="2:8" s="267" customFormat="1" x14ac:dyDescent="0.2">
      <c r="B83" s="290"/>
      <c r="C83" s="162" t="s">
        <v>420</v>
      </c>
      <c r="D83" s="66"/>
      <c r="E83" s="66"/>
      <c r="F83" s="66"/>
      <c r="G83" s="66"/>
      <c r="H83" s="66"/>
    </row>
    <row r="84" spans="2:8" s="267" customFormat="1" x14ac:dyDescent="0.2">
      <c r="B84" s="289"/>
      <c r="C84" s="84" t="s">
        <v>421</v>
      </c>
      <c r="D84" s="129">
        <f>SUM(D80:D83)</f>
        <v>0</v>
      </c>
      <c r="E84" s="129">
        <f>SUM(E80:E83)</f>
        <v>0</v>
      </c>
      <c r="F84" s="129">
        <f>SUM(F80:F83)</f>
        <v>0</v>
      </c>
      <c r="G84" s="129">
        <f>SUM(G80:G83)</f>
        <v>0</v>
      </c>
      <c r="H84" s="129">
        <f>SUM(H80:H83)</f>
        <v>0</v>
      </c>
    </row>
    <row r="85" spans="2:8" s="267" customFormat="1" x14ac:dyDescent="0.2">
      <c r="B85" s="289"/>
      <c r="C85" s="48" t="s">
        <v>422</v>
      </c>
      <c r="D85" s="219"/>
      <c r="E85" s="219"/>
      <c r="F85" s="219"/>
      <c r="G85" s="219"/>
      <c r="H85" s="219"/>
    </row>
    <row r="86" spans="2:8" s="267" customFormat="1" x14ac:dyDescent="0.2">
      <c r="B86" s="290"/>
      <c r="C86" s="162" t="s">
        <v>384</v>
      </c>
      <c r="D86" s="66"/>
      <c r="E86" s="129">
        <f>D90</f>
        <v>0</v>
      </c>
      <c r="F86" s="129">
        <f>E90</f>
        <v>0</v>
      </c>
      <c r="G86" s="129">
        <f>F90</f>
        <v>0</v>
      </c>
      <c r="H86" s="129">
        <f>G90</f>
        <v>0</v>
      </c>
    </row>
    <row r="87" spans="2:8" s="267" customFormat="1" x14ac:dyDescent="0.2">
      <c r="B87" s="290"/>
      <c r="C87" s="162" t="s">
        <v>391</v>
      </c>
      <c r="D87" s="66"/>
      <c r="E87" s="66"/>
      <c r="F87" s="66"/>
      <c r="G87" s="66"/>
      <c r="H87" s="66"/>
    </row>
    <row r="88" spans="2:8" s="267" customFormat="1" x14ac:dyDescent="0.2">
      <c r="B88" s="290"/>
      <c r="C88" s="162" t="s">
        <v>414</v>
      </c>
      <c r="D88" s="66"/>
      <c r="E88" s="66"/>
      <c r="F88" s="66"/>
      <c r="G88" s="66"/>
      <c r="H88" s="66"/>
    </row>
    <row r="89" spans="2:8" x14ac:dyDescent="0.2">
      <c r="B89" s="290"/>
      <c r="C89" s="162" t="s">
        <v>393</v>
      </c>
      <c r="D89" s="66"/>
      <c r="E89" s="66"/>
      <c r="F89" s="66"/>
      <c r="G89" s="66"/>
      <c r="H89" s="66"/>
    </row>
    <row r="90" spans="2:8" x14ac:dyDescent="0.2">
      <c r="B90" s="289"/>
      <c r="C90" s="84" t="s">
        <v>423</v>
      </c>
      <c r="D90" s="129">
        <f>SUM(D86:D89)</f>
        <v>0</v>
      </c>
      <c r="E90" s="129">
        <f>SUM(E86:E89)</f>
        <v>0</v>
      </c>
      <c r="F90" s="129">
        <f>SUM(F86:F89)</f>
        <v>0</v>
      </c>
      <c r="G90" s="129">
        <f>SUM(G86:G89)</f>
        <v>0</v>
      </c>
      <c r="H90" s="129">
        <f>SUM(H86:H89)</f>
        <v>0</v>
      </c>
    </row>
    <row r="91" spans="2:8" x14ac:dyDescent="0.2">
      <c r="B91" s="290"/>
      <c r="C91" s="162" t="s">
        <v>424</v>
      </c>
      <c r="D91" s="66"/>
      <c r="E91" s="129">
        <f>D93</f>
        <v>0</v>
      </c>
      <c r="F91" s="129">
        <f>E93</f>
        <v>0</v>
      </c>
      <c r="G91" s="129">
        <f>F93</f>
        <v>0</v>
      </c>
      <c r="H91" s="129">
        <f>G93</f>
        <v>0</v>
      </c>
    </row>
    <row r="92" spans="2:8" x14ac:dyDescent="0.2">
      <c r="B92" s="290"/>
      <c r="C92" s="162" t="s">
        <v>425</v>
      </c>
      <c r="D92" s="66"/>
      <c r="E92" s="66"/>
      <c r="F92" s="66"/>
      <c r="G92" s="66"/>
      <c r="H92" s="66"/>
    </row>
    <row r="93" spans="2:8" x14ac:dyDescent="0.2">
      <c r="B93" s="289"/>
      <c r="C93" s="84" t="s">
        <v>426</v>
      </c>
      <c r="D93" s="129">
        <f>SUM(D91:D92)</f>
        <v>0</v>
      </c>
      <c r="E93" s="129">
        <f>SUM(E91:E92)</f>
        <v>0</v>
      </c>
      <c r="F93" s="129">
        <f>SUM(F91:F92)</f>
        <v>0</v>
      </c>
      <c r="G93" s="129">
        <f>SUM(G91:G92)</f>
        <v>0</v>
      </c>
      <c r="H93" s="129">
        <f>SUM(H91:H92)</f>
        <v>0</v>
      </c>
    </row>
    <row r="94" spans="2:8" x14ac:dyDescent="0.2">
      <c r="B94" s="289"/>
      <c r="C94" s="84" t="s">
        <v>427</v>
      </c>
      <c r="D94" s="129">
        <f>SUM(D84,D90,D93)</f>
        <v>0</v>
      </c>
      <c r="E94" s="129">
        <f>SUM(E84,E90,E93)</f>
        <v>0</v>
      </c>
      <c r="F94" s="129">
        <f>SUM(F84,F90,F93)</f>
        <v>0</v>
      </c>
      <c r="G94" s="129">
        <f>SUM(G84,G90,G93)</f>
        <v>0</v>
      </c>
      <c r="H94" s="129">
        <f>SUM(H84,H90,H93)</f>
        <v>0</v>
      </c>
    </row>
    <row r="95" spans="2:8" x14ac:dyDescent="0.2">
      <c r="B95" s="289"/>
      <c r="C95" s="84" t="s">
        <v>428</v>
      </c>
      <c r="D95" s="129">
        <f>D78+D94</f>
        <v>0</v>
      </c>
      <c r="E95" s="129">
        <f>E78+E94</f>
        <v>0</v>
      </c>
      <c r="F95" s="129">
        <f>F78+F94</f>
        <v>0</v>
      </c>
      <c r="G95" s="129">
        <f>G78+G94</f>
        <v>0</v>
      </c>
      <c r="H95" s="129">
        <f>H78+H94</f>
        <v>0</v>
      </c>
    </row>
    <row r="119" spans="3:3" x14ac:dyDescent="0.2">
      <c r="C119" s="269"/>
    </row>
  </sheetData>
  <sheetProtection sheet="1" objects="1" scenarios="1"/>
  <mergeCells count="3">
    <mergeCell ref="B12:C12"/>
    <mergeCell ref="D14:H14"/>
    <mergeCell ref="B7:D9"/>
  </mergeCells>
  <pageMargins left="0.75" right="0.75" top="1" bottom="1" header="0.5" footer="0.5"/>
  <pageSetup paperSize="9" scale="47" orientation="landscape" verticalDpi="2" r:id="rId1"/>
  <headerFooter alignWithMargins="0">
    <oddFooter>&amp;C_x000D_&amp;1#&amp;"Calibri"&amp;10&amp;K008000 APA-INTERNAL</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8F2BB2-0FB8-44D0-A02F-87910F19FE0A}">
  <sheetPr codeName="Sheet12">
    <tabColor rgb="FF17415D"/>
  </sheetPr>
  <dimension ref="B1:G39"/>
  <sheetViews>
    <sheetView workbookViewId="0">
      <pane xSplit="1" ySplit="4" topLeftCell="B5" activePane="bottomRight" state="frozen"/>
      <selection pane="topRight" activeCell="B1" sqref="B1"/>
      <selection pane="bottomLeft" activeCell="A5" sqref="A5"/>
      <selection pane="bottomRight"/>
    </sheetView>
  </sheetViews>
  <sheetFormatPr defaultColWidth="9.42578125" defaultRowHeight="12.75" x14ac:dyDescent="0.2"/>
  <cols>
    <col min="1" max="1" width="12.42578125" style="204" customWidth="1"/>
    <col min="2" max="2" width="21" style="204" customWidth="1"/>
    <col min="3" max="6" width="42.42578125" style="204" customWidth="1"/>
    <col min="7" max="7" width="9.42578125" style="204" customWidth="1"/>
    <col min="8" max="8" width="25.42578125" style="204" customWidth="1"/>
    <col min="9" max="16384" width="9.42578125" style="204"/>
  </cols>
  <sheetData>
    <row r="1" spans="2:6" ht="20.25" customHeight="1" x14ac:dyDescent="0.2">
      <c r="B1" s="135" t="s">
        <v>302</v>
      </c>
      <c r="C1" s="135"/>
    </row>
    <row r="2" spans="2:6" ht="20.25" x14ac:dyDescent="0.2">
      <c r="B2" s="135" t="str">
        <f>IF(Tradingname=0," ",Tradingname)</f>
        <v>APA Pipelines Investments (BWP) Pty Limited</v>
      </c>
      <c r="C2" s="135"/>
    </row>
    <row r="3" spans="2:6" ht="20.25" x14ac:dyDescent="0.3">
      <c r="B3" s="135" t="s">
        <v>109</v>
      </c>
      <c r="C3" s="99">
        <f>IF(Yearending=0, "01/01/2000", Yearending)</f>
        <v>45838</v>
      </c>
    </row>
    <row r="4" spans="2:6" ht="20.25" x14ac:dyDescent="0.2">
      <c r="B4" s="91" t="s">
        <v>86</v>
      </c>
      <c r="C4" s="91"/>
    </row>
    <row r="7" spans="2:6" ht="15.75" x14ac:dyDescent="0.25">
      <c r="B7" s="206" t="s">
        <v>433</v>
      </c>
      <c r="C7" s="207"/>
      <c r="D7" s="207"/>
      <c r="E7" s="207"/>
    </row>
    <row r="8" spans="2:6" ht="15.75" x14ac:dyDescent="0.25">
      <c r="B8" s="206"/>
      <c r="C8" s="207"/>
      <c r="D8" s="207"/>
      <c r="E8" s="207"/>
    </row>
    <row r="9" spans="2:6" ht="25.5" x14ac:dyDescent="0.2">
      <c r="B9" s="37" t="s">
        <v>307</v>
      </c>
      <c r="C9" s="37" t="s">
        <v>73</v>
      </c>
      <c r="D9" s="37" t="s">
        <v>248</v>
      </c>
      <c r="E9" s="37" t="s">
        <v>74</v>
      </c>
      <c r="F9" s="49" t="s">
        <v>76</v>
      </c>
    </row>
    <row r="10" spans="2:6" x14ac:dyDescent="0.2">
      <c r="B10" s="39"/>
      <c r="C10" s="39"/>
      <c r="D10" s="42"/>
      <c r="E10" s="270" t="s">
        <v>75</v>
      </c>
      <c r="F10" s="271"/>
    </row>
    <row r="11" spans="2:6" ht="25.5" x14ac:dyDescent="0.2">
      <c r="B11" s="348" t="s">
        <v>558</v>
      </c>
      <c r="C11" s="13" t="str">
        <f>'3.1 Depreciated Book Value'!C17</f>
        <v xml:space="preserve">Pipelines </v>
      </c>
      <c r="D11" s="74" t="s">
        <v>572</v>
      </c>
      <c r="E11" s="133">
        <v>23.574245128799909</v>
      </c>
      <c r="F11" s="356" t="s">
        <v>567</v>
      </c>
    </row>
    <row r="12" spans="2:6" x14ac:dyDescent="0.2">
      <c r="B12" s="348" t="s">
        <v>558</v>
      </c>
      <c r="C12" s="13" t="str">
        <f>'3.1 Depreciated Book Value'!C26</f>
        <v xml:space="preserve">Compressors </v>
      </c>
      <c r="D12" s="74" t="s">
        <v>497</v>
      </c>
      <c r="E12" s="133" t="s">
        <v>497</v>
      </c>
      <c r="F12" s="134" t="s">
        <v>497</v>
      </c>
    </row>
    <row r="13" spans="2:6" ht="25.5" x14ac:dyDescent="0.2">
      <c r="B13" s="348" t="s">
        <v>558</v>
      </c>
      <c r="C13" s="13" t="str">
        <f>'3.1 Depreciated Book Value'!C34</f>
        <v xml:space="preserve">City Gates, supply regulators and valve stations </v>
      </c>
      <c r="D13" s="74" t="s">
        <v>572</v>
      </c>
      <c r="E13" s="133">
        <v>24.133101780092876</v>
      </c>
      <c r="F13" s="134" t="s">
        <v>567</v>
      </c>
    </row>
    <row r="14" spans="2:6" ht="25.5" x14ac:dyDescent="0.2">
      <c r="B14" s="348" t="s">
        <v>558</v>
      </c>
      <c r="C14" s="13" t="str">
        <f>'3.1 Depreciated Book Value'!C42</f>
        <v xml:space="preserve">Metering </v>
      </c>
      <c r="D14" s="74" t="s">
        <v>573</v>
      </c>
      <c r="E14" s="133">
        <v>8.3333333333333329E-2</v>
      </c>
      <c r="F14" s="134" t="s">
        <v>567</v>
      </c>
    </row>
    <row r="15" spans="2:6" x14ac:dyDescent="0.2">
      <c r="B15" s="348" t="s">
        <v>558</v>
      </c>
      <c r="C15" s="13" t="str">
        <f>'3.1 Depreciated Book Value'!C50</f>
        <v xml:space="preserve">Odorant plants </v>
      </c>
      <c r="D15" s="74" t="s">
        <v>497</v>
      </c>
      <c r="E15" s="133" t="s">
        <v>497</v>
      </c>
      <c r="F15" s="134" t="s">
        <v>497</v>
      </c>
    </row>
    <row r="16" spans="2:6" ht="25.5" x14ac:dyDescent="0.2">
      <c r="B16" s="348" t="s">
        <v>558</v>
      </c>
      <c r="C16" s="13" t="str">
        <f>'3.1 Depreciated Book Value'!C58</f>
        <v xml:space="preserve">SCADA (Communications) </v>
      </c>
      <c r="D16" s="74" t="s">
        <v>574</v>
      </c>
      <c r="E16" s="133">
        <v>10.000000000000002</v>
      </c>
      <c r="F16" s="134" t="s">
        <v>567</v>
      </c>
    </row>
    <row r="17" spans="2:7" ht="25.5" x14ac:dyDescent="0.2">
      <c r="B17" s="348" t="s">
        <v>558</v>
      </c>
      <c r="C17" s="13" t="str">
        <f>'3.1 Depreciated Book Value'!C66</f>
        <v xml:space="preserve">Buildings </v>
      </c>
      <c r="D17" s="74" t="s">
        <v>572</v>
      </c>
      <c r="E17" s="133">
        <v>24.916666666666668</v>
      </c>
      <c r="F17" s="134" t="s">
        <v>567</v>
      </c>
    </row>
    <row r="18" spans="2:7" ht="25.5" x14ac:dyDescent="0.2">
      <c r="B18" s="348" t="s">
        <v>558</v>
      </c>
      <c r="C18" s="13" t="str">
        <f>'3.1 Depreciated Book Value'!C81</f>
        <v>Other depreciable pipeline assets</v>
      </c>
      <c r="D18" s="74" t="s">
        <v>572</v>
      </c>
      <c r="E18" s="133">
        <v>0.21343536190349321</v>
      </c>
      <c r="F18" s="134" t="s">
        <v>567</v>
      </c>
    </row>
    <row r="19" spans="2:7" x14ac:dyDescent="0.2">
      <c r="B19" s="287"/>
      <c r="C19" s="73" t="s">
        <v>90</v>
      </c>
      <c r="D19" s="74" t="s">
        <v>575</v>
      </c>
      <c r="E19" s="133" t="s">
        <v>497</v>
      </c>
      <c r="F19" s="134" t="s">
        <v>547</v>
      </c>
    </row>
    <row r="20" spans="2:7" x14ac:dyDescent="0.2">
      <c r="B20" s="287"/>
      <c r="C20" s="73" t="s">
        <v>124</v>
      </c>
      <c r="D20" s="74"/>
      <c r="E20" s="133"/>
      <c r="F20" s="134"/>
    </row>
    <row r="21" spans="2:7" x14ac:dyDescent="0.2">
      <c r="B21" s="287"/>
      <c r="C21" s="73" t="s">
        <v>124</v>
      </c>
      <c r="D21" s="74"/>
      <c r="E21" s="133"/>
      <c r="F21" s="134"/>
      <c r="G21" s="272"/>
    </row>
    <row r="22" spans="2:7" x14ac:dyDescent="0.2">
      <c r="B22" s="287"/>
      <c r="C22" s="73" t="s">
        <v>124</v>
      </c>
      <c r="D22" s="74"/>
      <c r="E22" s="133"/>
      <c r="F22" s="134"/>
      <c r="G22" s="272"/>
    </row>
    <row r="23" spans="2:7" ht="25.5" x14ac:dyDescent="0.2">
      <c r="B23" s="354" t="s">
        <v>558</v>
      </c>
      <c r="C23" s="13" t="str">
        <f>'3.1 Depreciated Book Value'!C89</f>
        <v xml:space="preserve">Leased assets </v>
      </c>
      <c r="D23" s="74" t="s">
        <v>576</v>
      </c>
      <c r="E23" s="133" t="s">
        <v>548</v>
      </c>
      <c r="F23" s="134" t="s">
        <v>567</v>
      </c>
      <c r="G23" s="272"/>
    </row>
    <row r="24" spans="2:7" x14ac:dyDescent="0.2">
      <c r="B24" s="354"/>
      <c r="C24" s="73" t="s">
        <v>124</v>
      </c>
      <c r="D24" s="74"/>
      <c r="E24" s="133"/>
      <c r="F24" s="134"/>
      <c r="G24" s="272"/>
    </row>
    <row r="25" spans="2:7" x14ac:dyDescent="0.2">
      <c r="B25" s="354"/>
      <c r="C25" s="73" t="s">
        <v>124</v>
      </c>
      <c r="D25" s="74"/>
      <c r="E25" s="133"/>
      <c r="F25" s="134"/>
      <c r="G25" s="272"/>
    </row>
    <row r="26" spans="2:7" x14ac:dyDescent="0.2">
      <c r="B26" s="354"/>
      <c r="C26" s="73" t="s">
        <v>124</v>
      </c>
      <c r="D26" s="74"/>
      <c r="E26" s="133"/>
      <c r="F26" s="134"/>
    </row>
    <row r="27" spans="2:7" x14ac:dyDescent="0.2">
      <c r="B27" s="354"/>
      <c r="C27" s="73" t="s">
        <v>124</v>
      </c>
      <c r="D27" s="74"/>
      <c r="E27" s="133"/>
      <c r="F27" s="134"/>
    </row>
    <row r="28" spans="2:7" ht="25.5" x14ac:dyDescent="0.2">
      <c r="B28" s="354" t="s">
        <v>558</v>
      </c>
      <c r="C28" s="13" t="str">
        <f>'3.1 Depreciated Book Value'!C105</f>
        <v>Shared property, plant and equipment</v>
      </c>
      <c r="D28" s="74" t="s">
        <v>572</v>
      </c>
      <c r="E28" s="133">
        <v>3.4323791017076388</v>
      </c>
      <c r="F28" s="134" t="s">
        <v>567</v>
      </c>
    </row>
    <row r="29" spans="2:7" x14ac:dyDescent="0.2">
      <c r="B29" s="354"/>
      <c r="C29" s="73" t="s">
        <v>124</v>
      </c>
      <c r="D29" s="74"/>
      <c r="E29" s="133"/>
      <c r="F29" s="134"/>
    </row>
    <row r="30" spans="2:7" x14ac:dyDescent="0.2">
      <c r="B30" s="354"/>
      <c r="C30" s="73" t="s">
        <v>124</v>
      </c>
      <c r="D30" s="74"/>
      <c r="E30" s="133"/>
      <c r="F30" s="134"/>
    </row>
    <row r="31" spans="2:7" x14ac:dyDescent="0.2">
      <c r="B31" s="354"/>
      <c r="C31" s="73" t="s">
        <v>124</v>
      </c>
      <c r="D31" s="74"/>
      <c r="E31" s="133"/>
      <c r="F31" s="134"/>
    </row>
    <row r="32" spans="2:7" x14ac:dyDescent="0.2">
      <c r="B32" s="354"/>
      <c r="C32" s="73" t="s">
        <v>124</v>
      </c>
      <c r="D32" s="74"/>
      <c r="E32" s="133"/>
      <c r="F32" s="134"/>
      <c r="G32" s="272"/>
    </row>
    <row r="33" spans="2:7" x14ac:dyDescent="0.2">
      <c r="B33" s="354"/>
      <c r="C33" s="73" t="s">
        <v>124</v>
      </c>
      <c r="D33" s="74"/>
      <c r="E33" s="133"/>
      <c r="F33" s="134"/>
      <c r="G33" s="272"/>
    </row>
    <row r="34" spans="2:7" ht="25.5" x14ac:dyDescent="0.2">
      <c r="B34" s="354" t="s">
        <v>558</v>
      </c>
      <c r="C34" s="13" t="str">
        <f>'3.1 Depreciated Book Value'!C113</f>
        <v>Shared leased assets</v>
      </c>
      <c r="D34" s="74" t="s">
        <v>576</v>
      </c>
      <c r="E34" s="133" t="s">
        <v>548</v>
      </c>
      <c r="F34" s="134" t="s">
        <v>567</v>
      </c>
      <c r="G34" s="272"/>
    </row>
    <row r="35" spans="2:7" x14ac:dyDescent="0.2">
      <c r="B35" s="287"/>
      <c r="C35" s="73" t="s">
        <v>124</v>
      </c>
      <c r="D35" s="74"/>
      <c r="E35" s="133"/>
      <c r="F35" s="134"/>
      <c r="G35" s="272"/>
    </row>
    <row r="36" spans="2:7" x14ac:dyDescent="0.2">
      <c r="B36" s="287"/>
      <c r="C36" s="73" t="s">
        <v>124</v>
      </c>
      <c r="D36" s="74"/>
      <c r="E36" s="133"/>
      <c r="F36" s="134"/>
      <c r="G36" s="272"/>
    </row>
    <row r="37" spans="2:7" x14ac:dyDescent="0.2">
      <c r="B37" s="287"/>
      <c r="C37" s="73" t="s">
        <v>124</v>
      </c>
      <c r="D37" s="74"/>
      <c r="E37" s="133"/>
      <c r="F37" s="134"/>
      <c r="G37" s="272"/>
    </row>
    <row r="38" spans="2:7" x14ac:dyDescent="0.2">
      <c r="B38" s="287"/>
      <c r="C38" s="73" t="s">
        <v>124</v>
      </c>
      <c r="D38" s="74"/>
      <c r="E38" s="133"/>
      <c r="F38" s="134"/>
    </row>
    <row r="39" spans="2:7" x14ac:dyDescent="0.2">
      <c r="B39" s="287"/>
      <c r="C39" s="73" t="s">
        <v>124</v>
      </c>
      <c r="D39" s="74"/>
      <c r="E39" s="133"/>
      <c r="F39" s="134"/>
    </row>
  </sheetData>
  <sheetProtection sheet="1" insertRows="0" autoFilter="0"/>
  <pageMargins left="0.75" right="0.75" top="1" bottom="1" header="0.5" footer="0.5"/>
  <pageSetup paperSize="9" scale="30" orientation="landscape" r:id="rId1"/>
  <headerFooter alignWithMargins="0">
    <oddFooter>&amp;C_x000D_&amp;1#&amp;"Calibri"&amp;10&amp;K008000 APA-INTERNAL</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E01434-2305-46FD-A47F-C48F076ADAB0}">
  <sheetPr codeName="Sheet13">
    <tabColor rgb="FF17415D"/>
  </sheetPr>
  <dimension ref="B1:J56"/>
  <sheetViews>
    <sheetView workbookViewId="0">
      <pane xSplit="1" ySplit="4" topLeftCell="B5" activePane="bottomRight" state="frozen"/>
      <selection pane="topRight" activeCell="B1" sqref="B1"/>
      <selection pane="bottomLeft" activeCell="A5" sqref="A5"/>
      <selection pane="bottomRight"/>
    </sheetView>
  </sheetViews>
  <sheetFormatPr defaultColWidth="9.42578125" defaultRowHeight="12.75" x14ac:dyDescent="0.2"/>
  <cols>
    <col min="1" max="1" width="12" style="4" customWidth="1"/>
    <col min="2" max="2" width="31.5703125" style="4" customWidth="1"/>
    <col min="3" max="3" width="41.5703125" style="4" bestFit="1" customWidth="1"/>
    <col min="4" max="4" width="27.42578125" style="4" customWidth="1"/>
    <col min="5" max="5" width="32.5703125" style="4" customWidth="1"/>
    <col min="6" max="6" width="21.5703125" style="4" customWidth="1"/>
    <col min="7" max="7" width="24.42578125" style="4" customWidth="1"/>
    <col min="8" max="8" width="45" style="4" customWidth="1"/>
    <col min="9" max="10" width="19.5703125" style="4" customWidth="1"/>
    <col min="11" max="11" width="18.42578125" style="4" customWidth="1"/>
    <col min="12" max="16384" width="9.42578125" style="4"/>
  </cols>
  <sheetData>
    <row r="1" spans="2:10" ht="20.25" x14ac:dyDescent="0.3">
      <c r="B1" s="135" t="s">
        <v>302</v>
      </c>
      <c r="C1" s="135"/>
      <c r="D1" s="203"/>
      <c r="E1" s="203"/>
      <c r="F1" s="203"/>
      <c r="G1" s="203"/>
      <c r="H1" s="203"/>
      <c r="I1" s="203"/>
      <c r="J1" s="203"/>
    </row>
    <row r="2" spans="2:10" ht="20.25" x14ac:dyDescent="0.2">
      <c r="B2" s="135" t="str">
        <f>IF(Tradingname=0," ",Tradingname)</f>
        <v>APA Pipelines Investments (BWP) Pty Limited</v>
      </c>
      <c r="C2" s="135"/>
    </row>
    <row r="3" spans="2:10" ht="18" customHeight="1" x14ac:dyDescent="0.45">
      <c r="B3" s="135" t="s">
        <v>109</v>
      </c>
      <c r="C3" s="99">
        <f>IF(Yearending=0, "01/01/2000", Yearending)</f>
        <v>45838</v>
      </c>
      <c r="F3" s="242"/>
    </row>
    <row r="4" spans="2:10" ht="20.25" x14ac:dyDescent="0.2">
      <c r="B4" s="91" t="s">
        <v>94</v>
      </c>
      <c r="C4" s="91"/>
    </row>
    <row r="6" spans="2:10" ht="15.75" x14ac:dyDescent="0.25">
      <c r="B6" s="213"/>
    </row>
    <row r="7" spans="2:10" ht="15.75" x14ac:dyDescent="0.25">
      <c r="B7" s="213" t="s">
        <v>434</v>
      </c>
    </row>
    <row r="8" spans="2:10" x14ac:dyDescent="0.2">
      <c r="B8" s="214"/>
      <c r="C8" s="215"/>
      <c r="D8" s="215"/>
      <c r="E8" s="215"/>
      <c r="F8" s="215"/>
      <c r="G8" s="244"/>
      <c r="H8" s="245"/>
      <c r="I8" s="246"/>
      <c r="J8" s="246"/>
    </row>
    <row r="9" spans="2:10" ht="32.1" customHeight="1" x14ac:dyDescent="0.2">
      <c r="B9" s="30" t="s">
        <v>59</v>
      </c>
      <c r="C9" s="51" t="s">
        <v>0</v>
      </c>
      <c r="D9" s="30" t="s">
        <v>120</v>
      </c>
      <c r="E9" s="30" t="s">
        <v>95</v>
      </c>
      <c r="F9" s="30" t="s">
        <v>96</v>
      </c>
    </row>
    <row r="10" spans="2:10" ht="14.1" customHeight="1" x14ac:dyDescent="0.2">
      <c r="B10" s="67"/>
      <c r="C10" s="76"/>
      <c r="D10" s="68"/>
      <c r="E10" s="75"/>
      <c r="F10" s="69"/>
    </row>
    <row r="11" spans="2:10" ht="14.1" customHeight="1" x14ac:dyDescent="0.2">
      <c r="B11" s="67"/>
      <c r="C11" s="76"/>
      <c r="D11" s="68"/>
      <c r="E11" s="75"/>
      <c r="F11" s="69"/>
    </row>
    <row r="12" spans="2:10" ht="14.1" customHeight="1" x14ac:dyDescent="0.2">
      <c r="B12" s="67"/>
      <c r="C12" s="76"/>
      <c r="D12" s="68"/>
      <c r="E12" s="75"/>
      <c r="F12" s="69"/>
    </row>
    <row r="13" spans="2:10" ht="14.1" customHeight="1" x14ac:dyDescent="0.2">
      <c r="B13" s="67"/>
      <c r="C13" s="76"/>
      <c r="D13" s="68"/>
      <c r="E13" s="75"/>
      <c r="F13" s="69"/>
    </row>
    <row r="14" spans="2:10" ht="14.1" customHeight="1" x14ac:dyDescent="0.2">
      <c r="B14" s="67"/>
      <c r="C14" s="76"/>
      <c r="D14" s="68"/>
      <c r="E14" s="75"/>
      <c r="F14" s="69"/>
    </row>
    <row r="15" spans="2:10" ht="14.1" customHeight="1" x14ac:dyDescent="0.2">
      <c r="B15" s="67"/>
      <c r="C15" s="76"/>
      <c r="D15" s="68"/>
      <c r="E15" s="75"/>
      <c r="F15" s="69"/>
    </row>
    <row r="16" spans="2:10" ht="14.1" customHeight="1" x14ac:dyDescent="0.2">
      <c r="B16" s="67"/>
      <c r="C16" s="76"/>
      <c r="D16" s="68"/>
      <c r="E16" s="75"/>
      <c r="F16" s="69"/>
    </row>
    <row r="17" spans="2:9" ht="14.1" customHeight="1" x14ac:dyDescent="0.2">
      <c r="B17" s="67"/>
      <c r="C17" s="76"/>
      <c r="D17" s="68"/>
      <c r="E17" s="75"/>
      <c r="F17" s="69"/>
    </row>
    <row r="18" spans="2:9" ht="14.1" customHeight="1" x14ac:dyDescent="0.2">
      <c r="B18" s="67"/>
      <c r="C18" s="76"/>
      <c r="D18" s="68"/>
      <c r="E18" s="75"/>
      <c r="F18" s="69"/>
    </row>
    <row r="19" spans="2:9" ht="14.1" customHeight="1" x14ac:dyDescent="0.2">
      <c r="B19" s="67"/>
      <c r="C19" s="76"/>
      <c r="D19" s="68"/>
      <c r="E19" s="75"/>
      <c r="F19" s="69"/>
    </row>
    <row r="20" spans="2:9" ht="14.1" customHeight="1" x14ac:dyDescent="0.2">
      <c r="B20" s="67"/>
      <c r="C20" s="76"/>
      <c r="D20" s="68"/>
      <c r="E20" s="75"/>
      <c r="F20" s="69"/>
    </row>
    <row r="21" spans="2:9" ht="14.1" customHeight="1" x14ac:dyDescent="0.2">
      <c r="B21" s="67"/>
      <c r="C21" s="76"/>
      <c r="D21" s="68"/>
      <c r="E21" s="75"/>
      <c r="F21" s="69"/>
    </row>
    <row r="22" spans="2:9" ht="14.1" customHeight="1" x14ac:dyDescent="0.2">
      <c r="B22" s="67"/>
      <c r="C22" s="76"/>
      <c r="D22" s="68"/>
      <c r="E22" s="75"/>
      <c r="F22" s="69"/>
    </row>
    <row r="23" spans="2:9" ht="14.1" customHeight="1" x14ac:dyDescent="0.2">
      <c r="B23" s="67"/>
      <c r="C23" s="76"/>
      <c r="D23" s="68"/>
      <c r="E23" s="75"/>
      <c r="F23" s="69"/>
    </row>
    <row r="24" spans="2:9" ht="14.1" customHeight="1" x14ac:dyDescent="0.2">
      <c r="B24" s="67"/>
      <c r="C24" s="76"/>
      <c r="D24" s="68"/>
      <c r="E24" s="75"/>
      <c r="F24" s="69"/>
    </row>
    <row r="27" spans="2:9" ht="15.75" x14ac:dyDescent="0.25">
      <c r="B27" s="213" t="s">
        <v>435</v>
      </c>
    </row>
    <row r="28" spans="2:9" x14ac:dyDescent="0.2">
      <c r="B28" s="214"/>
      <c r="C28" s="215"/>
      <c r="D28" s="215"/>
      <c r="E28" s="215"/>
    </row>
    <row r="29" spans="2:9" ht="37.35" customHeight="1" x14ac:dyDescent="0.2">
      <c r="B29" s="30" t="s">
        <v>59</v>
      </c>
      <c r="C29" s="51" t="s">
        <v>0</v>
      </c>
      <c r="D29" s="30" t="s">
        <v>121</v>
      </c>
      <c r="E29" s="30" t="s">
        <v>95</v>
      </c>
      <c r="F29" s="30" t="s">
        <v>96</v>
      </c>
      <c r="G29" s="30" t="s">
        <v>122</v>
      </c>
      <c r="H29" s="30" t="s">
        <v>102</v>
      </c>
      <c r="I29" s="30" t="s">
        <v>103</v>
      </c>
    </row>
    <row r="30" spans="2:9" x14ac:dyDescent="0.2">
      <c r="B30" s="67"/>
      <c r="C30" s="76"/>
      <c r="D30" s="68"/>
      <c r="E30" s="75"/>
      <c r="F30" s="69"/>
      <c r="G30" s="68"/>
      <c r="H30" s="75"/>
      <c r="I30" s="69"/>
    </row>
    <row r="31" spans="2:9" x14ac:dyDescent="0.2">
      <c r="B31" s="67"/>
      <c r="C31" s="76"/>
      <c r="D31" s="68"/>
      <c r="E31" s="75"/>
      <c r="F31" s="69"/>
      <c r="G31" s="68"/>
      <c r="H31" s="75"/>
      <c r="I31" s="69"/>
    </row>
    <row r="32" spans="2:9" x14ac:dyDescent="0.2">
      <c r="B32" s="67"/>
      <c r="C32" s="76"/>
      <c r="D32" s="68"/>
      <c r="E32" s="75"/>
      <c r="F32" s="69"/>
      <c r="G32" s="68"/>
      <c r="H32" s="75"/>
      <c r="I32" s="69"/>
    </row>
    <row r="33" spans="2:9" x14ac:dyDescent="0.2">
      <c r="B33" s="67"/>
      <c r="C33" s="76"/>
      <c r="D33" s="68"/>
      <c r="E33" s="75"/>
      <c r="F33" s="69"/>
      <c r="G33" s="68"/>
      <c r="H33" s="75"/>
      <c r="I33" s="69"/>
    </row>
    <row r="34" spans="2:9" x14ac:dyDescent="0.2">
      <c r="B34" s="67"/>
      <c r="C34" s="76"/>
      <c r="D34" s="68"/>
      <c r="E34" s="75"/>
      <c r="F34" s="69"/>
      <c r="G34" s="68"/>
      <c r="H34" s="75"/>
      <c r="I34" s="69"/>
    </row>
    <row r="35" spans="2:9" x14ac:dyDescent="0.2">
      <c r="B35" s="67"/>
      <c r="C35" s="76"/>
      <c r="D35" s="68"/>
      <c r="E35" s="75"/>
      <c r="F35" s="69"/>
      <c r="G35" s="68"/>
      <c r="H35" s="75"/>
      <c r="I35" s="69"/>
    </row>
    <row r="36" spans="2:9" x14ac:dyDescent="0.2">
      <c r="B36" s="67"/>
      <c r="C36" s="76"/>
      <c r="D36" s="68"/>
      <c r="E36" s="75"/>
      <c r="F36" s="69"/>
      <c r="G36" s="68"/>
      <c r="H36" s="75"/>
      <c r="I36" s="69"/>
    </row>
    <row r="37" spans="2:9" x14ac:dyDescent="0.2">
      <c r="B37" s="67"/>
      <c r="C37" s="76"/>
      <c r="D37" s="68"/>
      <c r="E37" s="75"/>
      <c r="F37" s="69"/>
      <c r="G37" s="68"/>
      <c r="H37" s="75"/>
      <c r="I37" s="69"/>
    </row>
    <row r="38" spans="2:9" x14ac:dyDescent="0.2">
      <c r="B38" s="67"/>
      <c r="C38" s="76"/>
      <c r="D38" s="68"/>
      <c r="E38" s="75"/>
      <c r="F38" s="69"/>
      <c r="G38" s="68"/>
      <c r="H38" s="75"/>
      <c r="I38" s="69"/>
    </row>
    <row r="39" spans="2:9" x14ac:dyDescent="0.2">
      <c r="B39" s="67"/>
      <c r="C39" s="76"/>
      <c r="D39" s="68"/>
      <c r="E39" s="75"/>
      <c r="F39" s="69"/>
      <c r="G39" s="68"/>
      <c r="H39" s="75"/>
      <c r="I39" s="69"/>
    </row>
    <row r="40" spans="2:9" x14ac:dyDescent="0.2">
      <c r="B40" s="67"/>
      <c r="C40" s="76"/>
      <c r="D40" s="68"/>
      <c r="E40" s="75"/>
      <c r="F40" s="69"/>
      <c r="G40" s="68"/>
      <c r="H40" s="75"/>
      <c r="I40" s="69"/>
    </row>
    <row r="41" spans="2:9" x14ac:dyDescent="0.2">
      <c r="B41" s="67"/>
      <c r="C41" s="76"/>
      <c r="D41" s="68"/>
      <c r="E41" s="75"/>
      <c r="F41" s="69"/>
      <c r="G41" s="68"/>
      <c r="H41" s="75"/>
      <c r="I41" s="69"/>
    </row>
    <row r="42" spans="2:9" x14ac:dyDescent="0.2">
      <c r="B42" s="67"/>
      <c r="C42" s="76"/>
      <c r="D42" s="68"/>
      <c r="E42" s="75"/>
      <c r="F42" s="69"/>
      <c r="G42" s="68"/>
      <c r="H42" s="75"/>
      <c r="I42" s="69"/>
    </row>
    <row r="43" spans="2:9" x14ac:dyDescent="0.2">
      <c r="B43" s="67"/>
      <c r="C43" s="76"/>
      <c r="D43" s="68"/>
      <c r="E43" s="75"/>
      <c r="F43" s="69"/>
      <c r="G43" s="68"/>
      <c r="H43" s="75"/>
      <c r="I43" s="69"/>
    </row>
    <row r="44" spans="2:9" x14ac:dyDescent="0.2">
      <c r="B44" s="67"/>
      <c r="C44" s="76"/>
      <c r="D44" s="68"/>
      <c r="E44" s="75"/>
      <c r="F44" s="69"/>
      <c r="G44" s="68"/>
      <c r="H44" s="75"/>
      <c r="I44" s="69"/>
    </row>
    <row r="45" spans="2:9" x14ac:dyDescent="0.2">
      <c r="B45" s="67"/>
      <c r="C45" s="76"/>
      <c r="D45" s="68"/>
      <c r="E45" s="75"/>
      <c r="F45" s="69"/>
      <c r="G45" s="68"/>
      <c r="H45" s="75"/>
      <c r="I45" s="69"/>
    </row>
    <row r="46" spans="2:9" x14ac:dyDescent="0.2">
      <c r="B46" s="67"/>
      <c r="C46" s="76"/>
      <c r="D46" s="68"/>
      <c r="E46" s="75"/>
      <c r="F46" s="69"/>
      <c r="G46" s="68"/>
      <c r="H46" s="75"/>
      <c r="I46" s="69"/>
    </row>
    <row r="47" spans="2:9" x14ac:dyDescent="0.2">
      <c r="B47" s="67"/>
      <c r="C47" s="76"/>
      <c r="D47" s="68"/>
      <c r="E47" s="75"/>
      <c r="F47" s="69"/>
      <c r="G47" s="68"/>
      <c r="H47" s="75"/>
      <c r="I47" s="69"/>
    </row>
    <row r="48" spans="2:9" x14ac:dyDescent="0.2">
      <c r="B48" s="67"/>
      <c r="C48" s="76"/>
      <c r="D48" s="68"/>
      <c r="E48" s="75"/>
      <c r="F48" s="69"/>
      <c r="G48" s="68"/>
      <c r="H48" s="75"/>
      <c r="I48" s="69"/>
    </row>
    <row r="49" spans="2:9" x14ac:dyDescent="0.2">
      <c r="B49" s="67"/>
      <c r="C49" s="76"/>
      <c r="D49" s="68"/>
      <c r="E49" s="75"/>
      <c r="F49" s="69"/>
      <c r="G49" s="68"/>
      <c r="H49" s="75"/>
      <c r="I49" s="69"/>
    </row>
    <row r="50" spans="2:9" x14ac:dyDescent="0.2">
      <c r="B50" s="67"/>
      <c r="C50" s="76"/>
      <c r="D50" s="68"/>
      <c r="E50" s="75"/>
      <c r="F50" s="69"/>
      <c r="G50" s="68"/>
      <c r="H50" s="75"/>
      <c r="I50" s="69"/>
    </row>
    <row r="51" spans="2:9" x14ac:dyDescent="0.2">
      <c r="B51" s="67"/>
      <c r="C51" s="76"/>
      <c r="D51" s="68"/>
      <c r="E51" s="75"/>
      <c r="F51" s="69"/>
      <c r="G51" s="68"/>
      <c r="H51" s="75"/>
      <c r="I51" s="69"/>
    </row>
    <row r="52" spans="2:9" x14ac:dyDescent="0.2">
      <c r="B52" s="67"/>
      <c r="C52" s="76"/>
      <c r="D52" s="68"/>
      <c r="E52" s="75"/>
      <c r="F52" s="69"/>
      <c r="G52" s="68"/>
      <c r="H52" s="75"/>
      <c r="I52" s="69"/>
    </row>
    <row r="53" spans="2:9" x14ac:dyDescent="0.2">
      <c r="B53" s="67"/>
      <c r="C53" s="76"/>
      <c r="D53" s="68"/>
      <c r="E53" s="75"/>
      <c r="F53" s="69"/>
      <c r="G53" s="68"/>
      <c r="H53" s="75"/>
      <c r="I53" s="69"/>
    </row>
    <row r="54" spans="2:9" x14ac:dyDescent="0.2">
      <c r="B54" s="67"/>
      <c r="C54" s="76"/>
      <c r="D54" s="68"/>
      <c r="E54" s="75"/>
      <c r="F54" s="69"/>
      <c r="G54" s="68"/>
      <c r="H54" s="75"/>
      <c r="I54" s="69"/>
    </row>
    <row r="55" spans="2:9" x14ac:dyDescent="0.2">
      <c r="B55" s="67"/>
      <c r="C55" s="76"/>
      <c r="D55" s="68"/>
      <c r="E55" s="75"/>
      <c r="F55" s="69"/>
      <c r="G55" s="68"/>
      <c r="H55" s="75"/>
      <c r="I55" s="69"/>
    </row>
    <row r="56" spans="2:9" x14ac:dyDescent="0.2">
      <c r="B56" s="67"/>
      <c r="C56" s="76"/>
      <c r="D56" s="68"/>
      <c r="E56" s="75"/>
      <c r="F56" s="69"/>
      <c r="G56" s="68"/>
      <c r="H56" s="75"/>
      <c r="I56" s="69"/>
    </row>
  </sheetData>
  <sheetProtection sheet="1" insertRows="0"/>
  <dataValidations count="1">
    <dataValidation type="list" allowBlank="1" showInputMessage="1" showErrorMessage="1" sqref="C10:C24 C30:C56" xr:uid="{1CA487D1-82AD-45D5-9522-5A4187BEF380}">
      <formula1>rAllAssets</formula1>
    </dataValidation>
  </dataValidations>
  <pageMargins left="0.25" right="0.25" top="0.75" bottom="0.75" header="0.3" footer="0.3"/>
  <pageSetup paperSize="9" scale="59" orientation="landscape" r:id="rId1"/>
  <headerFooter alignWithMargins="0">
    <oddFooter>&amp;C_x000D_&amp;1#&amp;"Calibri"&amp;10&amp;K008000 APA-INTERNAL</oddFooter>
  </headerFooter>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046ED3-5F94-4BAD-8024-F96793C2144F}">
  <sheetPr codeName="Sheet14">
    <tabColor rgb="FF17415D"/>
  </sheetPr>
  <dimension ref="B1:Q84"/>
  <sheetViews>
    <sheetView showGridLines="0" zoomScaleNormal="100" workbookViewId="0">
      <pane xSplit="4" ySplit="14" topLeftCell="E15" activePane="bottomRight" state="frozen"/>
      <selection pane="topRight" activeCell="E1" sqref="E1"/>
      <selection pane="bottomLeft" activeCell="A15" sqref="A15"/>
      <selection pane="bottomRight"/>
    </sheetView>
  </sheetViews>
  <sheetFormatPr defaultColWidth="8.5703125" defaultRowHeight="12.75" x14ac:dyDescent="0.2"/>
  <cols>
    <col min="1" max="1" width="11.42578125" customWidth="1"/>
    <col min="2" max="2" width="32.42578125" customWidth="1"/>
    <col min="3" max="3" width="40.5703125" customWidth="1"/>
    <col min="4" max="4" width="41.5703125" bestFit="1" customWidth="1"/>
    <col min="5" max="8" width="20.5703125" customWidth="1"/>
    <col min="9" max="9" width="30.5703125" customWidth="1"/>
    <col min="10" max="10" width="32.5703125" customWidth="1"/>
    <col min="11" max="11" width="20.5703125" customWidth="1"/>
    <col min="12" max="12" width="24" customWidth="1"/>
    <col min="13" max="13" width="31" customWidth="1"/>
    <col min="14" max="17" width="20.5703125" customWidth="1"/>
  </cols>
  <sheetData>
    <row r="1" spans="2:17" ht="20.25" customHeight="1" x14ac:dyDescent="0.2">
      <c r="B1" s="135" t="s">
        <v>302</v>
      </c>
      <c r="C1" s="135"/>
    </row>
    <row r="2" spans="2:17" ht="20.25" x14ac:dyDescent="0.2">
      <c r="B2" s="135" t="str">
        <f>IF(Tradingname=0," ",Tradingname)</f>
        <v>APA Pipelines Investments (BWP) Pty Limited</v>
      </c>
      <c r="C2" s="135"/>
    </row>
    <row r="3" spans="2:17" ht="20.25" customHeight="1" x14ac:dyDescent="0.3">
      <c r="B3" s="135" t="s">
        <v>109</v>
      </c>
      <c r="C3" s="99">
        <f>IF(Yearending=0, "01/01/2000", Yearending)</f>
        <v>45838</v>
      </c>
    </row>
    <row r="4" spans="2:17" ht="20.25" x14ac:dyDescent="0.2">
      <c r="B4" s="91" t="s">
        <v>200</v>
      </c>
      <c r="C4" s="91"/>
    </row>
    <row r="5" spans="2:17" ht="12.75" customHeight="1" x14ac:dyDescent="0.2"/>
    <row r="6" spans="2:17" x14ac:dyDescent="0.2">
      <c r="B6" s="440" t="s">
        <v>380</v>
      </c>
      <c r="C6" s="440"/>
      <c r="D6" s="440"/>
      <c r="E6" s="440"/>
    </row>
    <row r="7" spans="2:17" ht="15.75" customHeight="1" x14ac:dyDescent="0.2">
      <c r="B7" s="440"/>
      <c r="C7" s="440"/>
      <c r="D7" s="440"/>
      <c r="E7" s="440"/>
      <c r="G7" s="159"/>
    </row>
    <row r="8" spans="2:17" ht="15.75" customHeight="1" x14ac:dyDescent="0.2">
      <c r="B8" s="440"/>
      <c r="C8" s="440"/>
      <c r="D8" s="440"/>
      <c r="E8" s="440"/>
      <c r="G8" s="159"/>
    </row>
    <row r="9" spans="2:17" x14ac:dyDescent="0.2">
      <c r="G9" s="159"/>
    </row>
    <row r="11" spans="2:17" ht="15.75" x14ac:dyDescent="0.25">
      <c r="B11" s="196" t="s">
        <v>436</v>
      </c>
    </row>
    <row r="13" spans="2:17" ht="45" customHeight="1" x14ac:dyDescent="0.2">
      <c r="B13" s="50" t="s">
        <v>307</v>
      </c>
      <c r="C13" s="51" t="s">
        <v>13</v>
      </c>
      <c r="D13" s="51" t="s">
        <v>0</v>
      </c>
      <c r="E13" s="51" t="s">
        <v>181</v>
      </c>
      <c r="F13" s="51" t="s">
        <v>50</v>
      </c>
      <c r="G13" s="51" t="s">
        <v>93</v>
      </c>
      <c r="H13" s="52" t="s">
        <v>377</v>
      </c>
      <c r="I13" s="52" t="s">
        <v>378</v>
      </c>
      <c r="J13" s="52" t="s">
        <v>450</v>
      </c>
      <c r="K13" s="52" t="s">
        <v>379</v>
      </c>
      <c r="L13" s="51" t="s">
        <v>53</v>
      </c>
      <c r="M13" s="51" t="s">
        <v>191</v>
      </c>
      <c r="N13" s="51" t="s">
        <v>192</v>
      </c>
      <c r="O13" s="51" t="s">
        <v>141</v>
      </c>
      <c r="P13" s="51" t="s">
        <v>152</v>
      </c>
      <c r="Q13" s="30" t="s">
        <v>54</v>
      </c>
    </row>
    <row r="14" spans="2:17" x14ac:dyDescent="0.2">
      <c r="B14" s="292"/>
      <c r="C14" s="53"/>
      <c r="D14" s="53"/>
      <c r="E14" s="53"/>
      <c r="F14" s="53" t="s">
        <v>55</v>
      </c>
      <c r="G14" s="53" t="s">
        <v>110</v>
      </c>
      <c r="H14" s="54" t="s">
        <v>110</v>
      </c>
      <c r="I14" s="54" t="s">
        <v>110</v>
      </c>
      <c r="J14" s="54" t="s">
        <v>110</v>
      </c>
      <c r="K14" s="54" t="s">
        <v>110</v>
      </c>
      <c r="L14" s="53" t="s">
        <v>110</v>
      </c>
      <c r="M14" s="53"/>
      <c r="N14" s="53" t="s">
        <v>110</v>
      </c>
      <c r="O14" s="53" t="s">
        <v>110</v>
      </c>
      <c r="P14" s="53" t="s">
        <v>110</v>
      </c>
      <c r="Q14" s="53" t="s">
        <v>110</v>
      </c>
    </row>
    <row r="15" spans="2:17" x14ac:dyDescent="0.2">
      <c r="B15" s="350" t="s">
        <v>559</v>
      </c>
      <c r="C15" s="76"/>
      <c r="D15" s="274" t="s">
        <v>340</v>
      </c>
      <c r="E15" s="77" t="str">
        <f>'3.3 Asset useful life'!D11</f>
        <v>22/4/2010 to 30/6/2025</v>
      </c>
      <c r="F15" s="76">
        <f>'3.3 Asset useful life'!E11</f>
        <v>23.574245128799909</v>
      </c>
      <c r="G15" s="79"/>
      <c r="H15" s="79">
        <v>92449755.650000021</v>
      </c>
      <c r="I15" s="79">
        <v>1</v>
      </c>
      <c r="J15" s="79">
        <v>0</v>
      </c>
      <c r="K15" s="79">
        <v>0</v>
      </c>
      <c r="L15" s="14">
        <f t="shared" ref="L15:L23" si="0">SUM(H15:K15)</f>
        <v>92449756.650000021</v>
      </c>
      <c r="M15" s="72">
        <v>1</v>
      </c>
      <c r="N15" s="90">
        <f t="shared" ref="N15:N23" si="1">L15*M15</f>
        <v>92449756.650000021</v>
      </c>
      <c r="O15" s="79">
        <v>-41841013.230000012</v>
      </c>
      <c r="P15" s="79">
        <v>-4210792.0599999996</v>
      </c>
      <c r="Q15" s="10">
        <f t="shared" ref="Q15:Q23" si="2">SUM(N15:P15)</f>
        <v>46397951.360000007</v>
      </c>
    </row>
    <row r="16" spans="2:17" x14ac:dyDescent="0.2">
      <c r="B16" s="350" t="s">
        <v>559</v>
      </c>
      <c r="C16" s="76"/>
      <c r="D16" s="274" t="s">
        <v>341</v>
      </c>
      <c r="E16" s="77" t="str">
        <f>'3.3 Asset useful life'!D12</f>
        <v>N/A</v>
      </c>
      <c r="F16" s="76" t="str">
        <f>'3.3 Asset useful life'!E12</f>
        <v>N/A</v>
      </c>
      <c r="G16" s="79"/>
      <c r="H16" s="79">
        <v>0</v>
      </c>
      <c r="I16" s="79">
        <v>0</v>
      </c>
      <c r="J16" s="79">
        <v>0</v>
      </c>
      <c r="K16" s="79">
        <v>0</v>
      </c>
      <c r="L16" s="14">
        <f t="shared" si="0"/>
        <v>0</v>
      </c>
      <c r="M16" s="72">
        <v>1</v>
      </c>
      <c r="N16" s="90">
        <f t="shared" si="1"/>
        <v>0</v>
      </c>
      <c r="O16" s="79">
        <v>0</v>
      </c>
      <c r="P16" s="79">
        <v>0</v>
      </c>
      <c r="Q16" s="10">
        <f t="shared" si="2"/>
        <v>0</v>
      </c>
    </row>
    <row r="17" spans="2:17" x14ac:dyDescent="0.2">
      <c r="B17" s="350" t="s">
        <v>559</v>
      </c>
      <c r="C17" s="76"/>
      <c r="D17" s="274" t="s">
        <v>342</v>
      </c>
      <c r="E17" s="77" t="str">
        <f>'3.3 Asset useful life'!D13</f>
        <v>22/4/2010 to 30/6/2025</v>
      </c>
      <c r="F17" s="76">
        <f>'3.3 Asset useful life'!E13</f>
        <v>24.133101780092876</v>
      </c>
      <c r="G17" s="79"/>
      <c r="H17" s="79">
        <v>182903.94</v>
      </c>
      <c r="I17" s="79">
        <v>0</v>
      </c>
      <c r="J17" s="79">
        <v>0</v>
      </c>
      <c r="K17" s="79">
        <v>0</v>
      </c>
      <c r="L17" s="14">
        <f t="shared" si="0"/>
        <v>182903.94</v>
      </c>
      <c r="M17" s="72">
        <v>1</v>
      </c>
      <c r="N17" s="90">
        <f t="shared" si="1"/>
        <v>182903.94</v>
      </c>
      <c r="O17" s="79">
        <v>-95506.87</v>
      </c>
      <c r="P17" s="79">
        <v>-6434.14</v>
      </c>
      <c r="Q17" s="10">
        <f t="shared" si="2"/>
        <v>80962.930000000008</v>
      </c>
    </row>
    <row r="18" spans="2:17" x14ac:dyDescent="0.2">
      <c r="B18" s="350" t="s">
        <v>559</v>
      </c>
      <c r="C18" s="76"/>
      <c r="D18" s="274" t="s">
        <v>343</v>
      </c>
      <c r="E18" s="77" t="str">
        <f>'3.3 Asset useful life'!D14</f>
        <v>1/11/2012 to 30/6/2025</v>
      </c>
      <c r="F18" s="76">
        <f>'3.3 Asset useful life'!E14</f>
        <v>8.3333333333333329E-2</v>
      </c>
      <c r="G18" s="79"/>
      <c r="H18" s="79">
        <v>3689.35</v>
      </c>
      <c r="I18" s="79">
        <v>0</v>
      </c>
      <c r="J18" s="79">
        <v>0</v>
      </c>
      <c r="K18" s="79">
        <v>0</v>
      </c>
      <c r="L18" s="14">
        <f t="shared" si="0"/>
        <v>3689.35</v>
      </c>
      <c r="M18" s="72">
        <v>1</v>
      </c>
      <c r="N18" s="90">
        <f t="shared" si="1"/>
        <v>3689.35</v>
      </c>
      <c r="O18" s="79">
        <v>-3689.35</v>
      </c>
      <c r="P18" s="79">
        <v>0</v>
      </c>
      <c r="Q18" s="10">
        <f t="shared" si="2"/>
        <v>0</v>
      </c>
    </row>
    <row r="19" spans="2:17" x14ac:dyDescent="0.2">
      <c r="B19" s="350" t="s">
        <v>559</v>
      </c>
      <c r="C19" s="76"/>
      <c r="D19" s="274" t="s">
        <v>344</v>
      </c>
      <c r="E19" s="77" t="str">
        <f>'3.3 Asset useful life'!D15</f>
        <v>N/A</v>
      </c>
      <c r="F19" s="76" t="str">
        <f>'3.3 Asset useful life'!E15</f>
        <v>N/A</v>
      </c>
      <c r="G19" s="79"/>
      <c r="H19" s="79">
        <v>0</v>
      </c>
      <c r="I19" s="79">
        <v>0</v>
      </c>
      <c r="J19" s="79">
        <v>0</v>
      </c>
      <c r="K19" s="79">
        <v>0</v>
      </c>
      <c r="L19" s="14">
        <f t="shared" si="0"/>
        <v>0</v>
      </c>
      <c r="M19" s="72">
        <v>1</v>
      </c>
      <c r="N19" s="90">
        <f t="shared" si="1"/>
        <v>0</v>
      </c>
      <c r="O19" s="79">
        <v>0</v>
      </c>
      <c r="P19" s="79">
        <v>0</v>
      </c>
      <c r="Q19" s="10">
        <f t="shared" si="2"/>
        <v>0</v>
      </c>
    </row>
    <row r="20" spans="2:17" x14ac:dyDescent="0.2">
      <c r="B20" s="350" t="s">
        <v>559</v>
      </c>
      <c r="C20" s="76"/>
      <c r="D20" s="274" t="s">
        <v>345</v>
      </c>
      <c r="E20" s="77" t="str">
        <f>'3.3 Asset useful life'!D16</f>
        <v>1/9/2015 to 30/6/2025</v>
      </c>
      <c r="F20" s="76">
        <f>'3.3 Asset useful life'!E16</f>
        <v>10.000000000000002</v>
      </c>
      <c r="G20" s="79"/>
      <c r="H20" s="79">
        <v>262425.46999999997</v>
      </c>
      <c r="I20" s="79">
        <v>0</v>
      </c>
      <c r="J20" s="79">
        <v>0</v>
      </c>
      <c r="K20" s="79">
        <v>0</v>
      </c>
      <c r="L20" s="14">
        <f t="shared" si="0"/>
        <v>262425.46999999997</v>
      </c>
      <c r="M20" s="72">
        <v>1</v>
      </c>
      <c r="N20" s="90">
        <f t="shared" si="1"/>
        <v>262425.46999999997</v>
      </c>
      <c r="O20" s="79">
        <v>-207831.78999999998</v>
      </c>
      <c r="P20" s="79">
        <v>-25224.489999999998</v>
      </c>
      <c r="Q20" s="10">
        <f t="shared" si="2"/>
        <v>29369.189999999995</v>
      </c>
    </row>
    <row r="21" spans="2:17" x14ac:dyDescent="0.2">
      <c r="B21" s="350" t="s">
        <v>559</v>
      </c>
      <c r="C21" s="76"/>
      <c r="D21" s="274" t="s">
        <v>346</v>
      </c>
      <c r="E21" s="77" t="str">
        <f>'3.3 Asset useful life'!D17</f>
        <v>22/4/2010 to 30/6/2025</v>
      </c>
      <c r="F21" s="76">
        <f>'3.3 Asset useful life'!E17</f>
        <v>24.916666666666668</v>
      </c>
      <c r="G21" s="79"/>
      <c r="H21" s="79">
        <v>70000</v>
      </c>
      <c r="I21" s="79">
        <v>0</v>
      </c>
      <c r="J21" s="79">
        <v>0</v>
      </c>
      <c r="K21" s="79">
        <v>0</v>
      </c>
      <c r="L21" s="14">
        <f t="shared" si="0"/>
        <v>70000</v>
      </c>
      <c r="M21" s="72">
        <v>1</v>
      </c>
      <c r="N21" s="90">
        <f t="shared" si="1"/>
        <v>70000</v>
      </c>
      <c r="O21" s="79">
        <v>-36286.32</v>
      </c>
      <c r="P21" s="79">
        <v>-2790.1</v>
      </c>
      <c r="Q21" s="10">
        <f t="shared" si="2"/>
        <v>30923.58</v>
      </c>
    </row>
    <row r="22" spans="2:17" x14ac:dyDescent="0.2">
      <c r="B22" s="350" t="s">
        <v>559</v>
      </c>
      <c r="C22" s="76"/>
      <c r="D22" s="274" t="s">
        <v>90</v>
      </c>
      <c r="E22" s="77" t="str">
        <f>'3.3 Asset useful life'!D18</f>
        <v>22/4/2010 to 30/6/2025</v>
      </c>
      <c r="F22" s="76" t="str">
        <f>'3.3 Asset useful life'!E19</f>
        <v>N/A</v>
      </c>
      <c r="G22" s="79"/>
      <c r="H22" s="79">
        <v>123285.66</v>
      </c>
      <c r="I22" s="79">
        <v>0</v>
      </c>
      <c r="J22" s="79">
        <v>0</v>
      </c>
      <c r="K22" s="79">
        <v>0</v>
      </c>
      <c r="L22" s="14">
        <f t="shared" si="0"/>
        <v>123285.66</v>
      </c>
      <c r="M22" s="72">
        <v>1</v>
      </c>
      <c r="N22" s="90">
        <f t="shared" si="1"/>
        <v>123285.66</v>
      </c>
      <c r="O22" s="79">
        <v>0</v>
      </c>
      <c r="P22" s="79">
        <v>0</v>
      </c>
      <c r="Q22" s="10">
        <f t="shared" si="2"/>
        <v>123285.66</v>
      </c>
    </row>
    <row r="23" spans="2:17" x14ac:dyDescent="0.2">
      <c r="B23" s="350" t="s">
        <v>559</v>
      </c>
      <c r="C23" s="76"/>
      <c r="D23" s="274" t="s">
        <v>131</v>
      </c>
      <c r="E23" s="77" t="str">
        <f>'3.3 Asset useful life'!D19</f>
        <v>1/1/2017 to 30/6/2025</v>
      </c>
      <c r="F23" s="76">
        <f>'3.3 Asset useful life'!E18</f>
        <v>0.21343536190349321</v>
      </c>
      <c r="G23" s="79"/>
      <c r="H23" s="79">
        <v>833247.03</v>
      </c>
      <c r="I23" s="79">
        <v>0</v>
      </c>
      <c r="J23" s="79">
        <v>0</v>
      </c>
      <c r="K23" s="79">
        <v>0</v>
      </c>
      <c r="L23" s="14">
        <f t="shared" si="0"/>
        <v>833247.03</v>
      </c>
      <c r="M23" s="72">
        <v>1</v>
      </c>
      <c r="N23" s="90">
        <f t="shared" si="1"/>
        <v>833247.03</v>
      </c>
      <c r="O23" s="79">
        <v>-832484.56</v>
      </c>
      <c r="P23" s="79">
        <v>-762.43999999999994</v>
      </c>
      <c r="Q23" s="10">
        <f t="shared" si="2"/>
        <v>2.999999997211944E-2</v>
      </c>
    </row>
    <row r="24" spans="2:17" x14ac:dyDescent="0.2">
      <c r="B24" s="350" t="s">
        <v>559</v>
      </c>
      <c r="C24" s="76"/>
      <c r="D24" s="274"/>
      <c r="E24" s="77"/>
      <c r="F24" s="78"/>
      <c r="G24" s="79"/>
      <c r="H24" s="79"/>
      <c r="I24" s="79"/>
      <c r="J24" s="79"/>
      <c r="K24" s="79"/>
      <c r="L24" s="14">
        <f t="shared" ref="L24:L58" si="3">SUM(H24:K24)</f>
        <v>0</v>
      </c>
      <c r="M24" s="72">
        <v>1</v>
      </c>
      <c r="N24" s="90">
        <f t="shared" ref="N24:N58" si="4">L24*M24</f>
        <v>0</v>
      </c>
      <c r="O24" s="79"/>
      <c r="P24" s="79"/>
      <c r="Q24" s="10">
        <f t="shared" ref="Q24:Q58" si="5">SUM(N24:P24)</f>
        <v>0</v>
      </c>
    </row>
    <row r="25" spans="2:17" x14ac:dyDescent="0.2">
      <c r="B25" s="293"/>
      <c r="C25" s="76"/>
      <c r="D25" s="274"/>
      <c r="E25" s="77"/>
      <c r="F25" s="78"/>
      <c r="G25" s="79"/>
      <c r="H25" s="79"/>
      <c r="I25" s="79"/>
      <c r="J25" s="79"/>
      <c r="K25" s="79"/>
      <c r="L25" s="14">
        <f t="shared" si="3"/>
        <v>0</v>
      </c>
      <c r="M25" s="72">
        <v>1</v>
      </c>
      <c r="N25" s="90">
        <f t="shared" si="4"/>
        <v>0</v>
      </c>
      <c r="O25" s="79"/>
      <c r="P25" s="79"/>
      <c r="Q25" s="10">
        <f t="shared" si="5"/>
        <v>0</v>
      </c>
    </row>
    <row r="26" spans="2:17" x14ac:dyDescent="0.2">
      <c r="B26" s="293"/>
      <c r="C26" s="76"/>
      <c r="D26" s="274"/>
      <c r="E26" s="77"/>
      <c r="F26" s="78"/>
      <c r="G26" s="79"/>
      <c r="H26" s="79"/>
      <c r="I26" s="79"/>
      <c r="J26" s="79"/>
      <c r="K26" s="79"/>
      <c r="L26" s="14">
        <f t="shared" si="3"/>
        <v>0</v>
      </c>
      <c r="M26" s="72">
        <v>1</v>
      </c>
      <c r="N26" s="90">
        <f t="shared" si="4"/>
        <v>0</v>
      </c>
      <c r="O26" s="79"/>
      <c r="P26" s="79"/>
      <c r="Q26" s="10">
        <f t="shared" si="5"/>
        <v>0</v>
      </c>
    </row>
    <row r="27" spans="2:17" x14ac:dyDescent="0.2">
      <c r="B27" s="293"/>
      <c r="C27" s="76"/>
      <c r="D27" s="274"/>
      <c r="E27" s="77"/>
      <c r="F27" s="78"/>
      <c r="G27" s="79"/>
      <c r="H27" s="79"/>
      <c r="I27" s="79"/>
      <c r="J27" s="79"/>
      <c r="K27" s="79"/>
      <c r="L27" s="14">
        <f t="shared" si="3"/>
        <v>0</v>
      </c>
      <c r="M27" s="72">
        <v>1</v>
      </c>
      <c r="N27" s="90">
        <f t="shared" si="4"/>
        <v>0</v>
      </c>
      <c r="O27" s="79"/>
      <c r="P27" s="79"/>
      <c r="Q27" s="10">
        <f t="shared" si="5"/>
        <v>0</v>
      </c>
    </row>
    <row r="28" spans="2:17" x14ac:dyDescent="0.2">
      <c r="B28" s="293"/>
      <c r="C28" s="76"/>
      <c r="D28" s="274"/>
      <c r="E28" s="77"/>
      <c r="F28" s="78"/>
      <c r="G28" s="79"/>
      <c r="H28" s="79"/>
      <c r="I28" s="79"/>
      <c r="J28" s="79"/>
      <c r="K28" s="79"/>
      <c r="L28" s="14">
        <f t="shared" si="3"/>
        <v>0</v>
      </c>
      <c r="M28" s="72">
        <v>1</v>
      </c>
      <c r="N28" s="90">
        <f t="shared" si="4"/>
        <v>0</v>
      </c>
      <c r="O28" s="79"/>
      <c r="P28" s="79"/>
      <c r="Q28" s="10">
        <f t="shared" si="5"/>
        <v>0</v>
      </c>
    </row>
    <row r="29" spans="2:17" x14ac:dyDescent="0.2">
      <c r="B29" s="293"/>
      <c r="C29" s="76"/>
      <c r="D29" s="274"/>
      <c r="E29" s="77"/>
      <c r="F29" s="78"/>
      <c r="G29" s="79"/>
      <c r="H29" s="79"/>
      <c r="I29" s="79"/>
      <c r="J29" s="79"/>
      <c r="K29" s="79"/>
      <c r="L29" s="14">
        <f t="shared" si="3"/>
        <v>0</v>
      </c>
      <c r="M29" s="72">
        <v>1</v>
      </c>
      <c r="N29" s="90">
        <f t="shared" si="4"/>
        <v>0</v>
      </c>
      <c r="O29" s="79"/>
      <c r="P29" s="79"/>
      <c r="Q29" s="10">
        <f t="shared" si="5"/>
        <v>0</v>
      </c>
    </row>
    <row r="30" spans="2:17" x14ac:dyDescent="0.2">
      <c r="B30" s="293"/>
      <c r="C30" s="76"/>
      <c r="D30" s="274"/>
      <c r="E30" s="77"/>
      <c r="F30" s="78"/>
      <c r="G30" s="79"/>
      <c r="H30" s="79"/>
      <c r="I30" s="79"/>
      <c r="J30" s="79"/>
      <c r="K30" s="79"/>
      <c r="L30" s="14">
        <f t="shared" si="3"/>
        <v>0</v>
      </c>
      <c r="M30" s="72">
        <v>1</v>
      </c>
      <c r="N30" s="90">
        <f t="shared" si="4"/>
        <v>0</v>
      </c>
      <c r="O30" s="79"/>
      <c r="P30" s="79"/>
      <c r="Q30" s="10">
        <f t="shared" si="5"/>
        <v>0</v>
      </c>
    </row>
    <row r="31" spans="2:17" x14ac:dyDescent="0.2">
      <c r="B31" s="293"/>
      <c r="C31" s="76"/>
      <c r="D31" s="274"/>
      <c r="E31" s="77"/>
      <c r="F31" s="78"/>
      <c r="G31" s="79"/>
      <c r="H31" s="79"/>
      <c r="I31" s="79"/>
      <c r="J31" s="79"/>
      <c r="K31" s="79"/>
      <c r="L31" s="14">
        <f t="shared" si="3"/>
        <v>0</v>
      </c>
      <c r="M31" s="72">
        <v>1</v>
      </c>
      <c r="N31" s="90">
        <f t="shared" si="4"/>
        <v>0</v>
      </c>
      <c r="O31" s="79"/>
      <c r="P31" s="79"/>
      <c r="Q31" s="10">
        <f t="shared" si="5"/>
        <v>0</v>
      </c>
    </row>
    <row r="32" spans="2:17" x14ac:dyDescent="0.2">
      <c r="B32" s="293"/>
      <c r="C32" s="76"/>
      <c r="D32" s="274"/>
      <c r="E32" s="77"/>
      <c r="F32" s="78"/>
      <c r="G32" s="79"/>
      <c r="H32" s="79"/>
      <c r="I32" s="79"/>
      <c r="J32" s="79"/>
      <c r="K32" s="79"/>
      <c r="L32" s="14">
        <f t="shared" si="3"/>
        <v>0</v>
      </c>
      <c r="M32" s="72">
        <v>1</v>
      </c>
      <c r="N32" s="90">
        <f t="shared" si="4"/>
        <v>0</v>
      </c>
      <c r="O32" s="79"/>
      <c r="P32" s="79"/>
      <c r="Q32" s="10">
        <f t="shared" si="5"/>
        <v>0</v>
      </c>
    </row>
    <row r="33" spans="2:17" x14ac:dyDescent="0.2">
      <c r="B33" s="293"/>
      <c r="C33" s="76"/>
      <c r="D33" s="274"/>
      <c r="E33" s="77"/>
      <c r="F33" s="78"/>
      <c r="G33" s="79"/>
      <c r="H33" s="79"/>
      <c r="I33" s="79"/>
      <c r="J33" s="79"/>
      <c r="K33" s="79"/>
      <c r="L33" s="14">
        <f t="shared" si="3"/>
        <v>0</v>
      </c>
      <c r="M33" s="72">
        <v>1</v>
      </c>
      <c r="N33" s="90">
        <f t="shared" si="4"/>
        <v>0</v>
      </c>
      <c r="O33" s="79"/>
      <c r="P33" s="79"/>
      <c r="Q33" s="10">
        <f t="shared" si="5"/>
        <v>0</v>
      </c>
    </row>
    <row r="34" spans="2:17" x14ac:dyDescent="0.2">
      <c r="B34" s="293"/>
      <c r="C34" s="76"/>
      <c r="D34" s="274"/>
      <c r="E34" s="77"/>
      <c r="F34" s="78"/>
      <c r="G34" s="79"/>
      <c r="H34" s="79"/>
      <c r="I34" s="79"/>
      <c r="J34" s="79"/>
      <c r="K34" s="79"/>
      <c r="L34" s="14">
        <f t="shared" si="3"/>
        <v>0</v>
      </c>
      <c r="M34" s="72">
        <v>1</v>
      </c>
      <c r="N34" s="90">
        <f t="shared" si="4"/>
        <v>0</v>
      </c>
      <c r="O34" s="79"/>
      <c r="P34" s="79"/>
      <c r="Q34" s="10">
        <f t="shared" si="5"/>
        <v>0</v>
      </c>
    </row>
    <row r="35" spans="2:17" x14ac:dyDescent="0.2">
      <c r="B35" s="293"/>
      <c r="C35" s="76"/>
      <c r="D35" s="274"/>
      <c r="E35" s="77"/>
      <c r="F35" s="78"/>
      <c r="G35" s="79"/>
      <c r="H35" s="79"/>
      <c r="I35" s="79"/>
      <c r="J35" s="79"/>
      <c r="K35" s="79"/>
      <c r="L35" s="14">
        <f t="shared" si="3"/>
        <v>0</v>
      </c>
      <c r="M35" s="72">
        <v>1</v>
      </c>
      <c r="N35" s="90">
        <f t="shared" si="4"/>
        <v>0</v>
      </c>
      <c r="O35" s="79"/>
      <c r="P35" s="79"/>
      <c r="Q35" s="10">
        <f t="shared" si="5"/>
        <v>0</v>
      </c>
    </row>
    <row r="36" spans="2:17" x14ac:dyDescent="0.2">
      <c r="B36" s="293"/>
      <c r="C36" s="76"/>
      <c r="D36" s="274"/>
      <c r="E36" s="77"/>
      <c r="F36" s="78"/>
      <c r="G36" s="79"/>
      <c r="H36" s="79"/>
      <c r="I36" s="79"/>
      <c r="J36" s="79"/>
      <c r="K36" s="79"/>
      <c r="L36" s="14">
        <f t="shared" si="3"/>
        <v>0</v>
      </c>
      <c r="M36" s="72">
        <v>1</v>
      </c>
      <c r="N36" s="90">
        <f t="shared" si="4"/>
        <v>0</v>
      </c>
      <c r="O36" s="79"/>
      <c r="P36" s="79"/>
      <c r="Q36" s="10">
        <f t="shared" si="5"/>
        <v>0</v>
      </c>
    </row>
    <row r="37" spans="2:17" x14ac:dyDescent="0.2">
      <c r="B37" s="293"/>
      <c r="C37" s="76"/>
      <c r="D37" s="274"/>
      <c r="E37" s="77"/>
      <c r="F37" s="78"/>
      <c r="G37" s="79"/>
      <c r="H37" s="79"/>
      <c r="I37" s="79"/>
      <c r="J37" s="79"/>
      <c r="K37" s="79"/>
      <c r="L37" s="14">
        <f t="shared" si="3"/>
        <v>0</v>
      </c>
      <c r="M37" s="72">
        <v>1</v>
      </c>
      <c r="N37" s="90">
        <f t="shared" si="4"/>
        <v>0</v>
      </c>
      <c r="O37" s="79"/>
      <c r="P37" s="79"/>
      <c r="Q37" s="10">
        <f t="shared" si="5"/>
        <v>0</v>
      </c>
    </row>
    <row r="38" spans="2:17" x14ac:dyDescent="0.2">
      <c r="B38" s="293"/>
      <c r="C38" s="76"/>
      <c r="D38" s="274"/>
      <c r="E38" s="77"/>
      <c r="F38" s="78"/>
      <c r="G38" s="79"/>
      <c r="H38" s="79"/>
      <c r="I38" s="79"/>
      <c r="J38" s="79"/>
      <c r="K38" s="79"/>
      <c r="L38" s="14">
        <f t="shared" si="3"/>
        <v>0</v>
      </c>
      <c r="M38" s="72">
        <v>1</v>
      </c>
      <c r="N38" s="90">
        <f t="shared" si="4"/>
        <v>0</v>
      </c>
      <c r="O38" s="79"/>
      <c r="P38" s="79"/>
      <c r="Q38" s="10">
        <f t="shared" si="5"/>
        <v>0</v>
      </c>
    </row>
    <row r="39" spans="2:17" x14ac:dyDescent="0.2">
      <c r="B39" s="293"/>
      <c r="C39" s="76"/>
      <c r="D39" s="274"/>
      <c r="E39" s="77"/>
      <c r="F39" s="78"/>
      <c r="G39" s="79"/>
      <c r="H39" s="79"/>
      <c r="I39" s="79"/>
      <c r="J39" s="79"/>
      <c r="K39" s="79"/>
      <c r="L39" s="14">
        <f t="shared" si="3"/>
        <v>0</v>
      </c>
      <c r="M39" s="72">
        <v>1</v>
      </c>
      <c r="N39" s="90">
        <f t="shared" si="4"/>
        <v>0</v>
      </c>
      <c r="O39" s="79"/>
      <c r="P39" s="79"/>
      <c r="Q39" s="10">
        <f t="shared" si="5"/>
        <v>0</v>
      </c>
    </row>
    <row r="40" spans="2:17" x14ac:dyDescent="0.2">
      <c r="B40" s="293"/>
      <c r="C40" s="76"/>
      <c r="D40" s="274"/>
      <c r="E40" s="77"/>
      <c r="F40" s="78"/>
      <c r="G40" s="79"/>
      <c r="H40" s="79"/>
      <c r="I40" s="79"/>
      <c r="J40" s="79"/>
      <c r="K40" s="79"/>
      <c r="L40" s="14">
        <f t="shared" si="3"/>
        <v>0</v>
      </c>
      <c r="M40" s="72">
        <v>1</v>
      </c>
      <c r="N40" s="90">
        <f t="shared" si="4"/>
        <v>0</v>
      </c>
      <c r="O40" s="79"/>
      <c r="P40" s="79"/>
      <c r="Q40" s="10">
        <f t="shared" si="5"/>
        <v>0</v>
      </c>
    </row>
    <row r="41" spans="2:17" x14ac:dyDescent="0.2">
      <c r="B41" s="293"/>
      <c r="C41" s="76"/>
      <c r="D41" s="274"/>
      <c r="E41" s="77"/>
      <c r="F41" s="78"/>
      <c r="G41" s="79"/>
      <c r="H41" s="79"/>
      <c r="I41" s="79"/>
      <c r="J41" s="79"/>
      <c r="K41" s="79"/>
      <c r="L41" s="14">
        <f t="shared" si="3"/>
        <v>0</v>
      </c>
      <c r="M41" s="72">
        <v>1</v>
      </c>
      <c r="N41" s="90">
        <f t="shared" si="4"/>
        <v>0</v>
      </c>
      <c r="O41" s="79"/>
      <c r="P41" s="79"/>
      <c r="Q41" s="10">
        <f t="shared" si="5"/>
        <v>0</v>
      </c>
    </row>
    <row r="42" spans="2:17" x14ac:dyDescent="0.2">
      <c r="B42" s="293"/>
      <c r="C42" s="76"/>
      <c r="D42" s="274"/>
      <c r="E42" s="77"/>
      <c r="F42" s="78"/>
      <c r="G42" s="79"/>
      <c r="H42" s="79"/>
      <c r="I42" s="79"/>
      <c r="J42" s="79"/>
      <c r="K42" s="79"/>
      <c r="L42" s="14">
        <f t="shared" si="3"/>
        <v>0</v>
      </c>
      <c r="M42" s="72">
        <v>1</v>
      </c>
      <c r="N42" s="90">
        <f t="shared" si="4"/>
        <v>0</v>
      </c>
      <c r="O42" s="79"/>
      <c r="P42" s="79"/>
      <c r="Q42" s="10">
        <f t="shared" si="5"/>
        <v>0</v>
      </c>
    </row>
    <row r="43" spans="2:17" x14ac:dyDescent="0.2">
      <c r="B43" s="293"/>
      <c r="C43" s="76"/>
      <c r="D43" s="274"/>
      <c r="E43" s="77"/>
      <c r="F43" s="78"/>
      <c r="G43" s="79"/>
      <c r="H43" s="79"/>
      <c r="I43" s="79"/>
      <c r="J43" s="79"/>
      <c r="K43" s="79"/>
      <c r="L43" s="14">
        <f t="shared" si="3"/>
        <v>0</v>
      </c>
      <c r="M43" s="72">
        <v>1</v>
      </c>
      <c r="N43" s="90">
        <f t="shared" si="4"/>
        <v>0</v>
      </c>
      <c r="O43" s="79"/>
      <c r="P43" s="79"/>
      <c r="Q43" s="10">
        <f t="shared" si="5"/>
        <v>0</v>
      </c>
    </row>
    <row r="44" spans="2:17" x14ac:dyDescent="0.2">
      <c r="B44" s="293"/>
      <c r="C44" s="76"/>
      <c r="D44" s="274"/>
      <c r="E44" s="77"/>
      <c r="F44" s="78"/>
      <c r="G44" s="79"/>
      <c r="H44" s="79"/>
      <c r="I44" s="79"/>
      <c r="J44" s="79"/>
      <c r="K44" s="79"/>
      <c r="L44" s="14">
        <f t="shared" si="3"/>
        <v>0</v>
      </c>
      <c r="M44" s="72">
        <v>1</v>
      </c>
      <c r="N44" s="90">
        <f t="shared" si="4"/>
        <v>0</v>
      </c>
      <c r="O44" s="79"/>
      <c r="P44" s="79"/>
      <c r="Q44" s="10">
        <f t="shared" si="5"/>
        <v>0</v>
      </c>
    </row>
    <row r="45" spans="2:17" x14ac:dyDescent="0.2">
      <c r="B45" s="293"/>
      <c r="C45" s="76"/>
      <c r="D45" s="274"/>
      <c r="E45" s="77"/>
      <c r="F45" s="78"/>
      <c r="G45" s="79"/>
      <c r="H45" s="79"/>
      <c r="I45" s="79"/>
      <c r="J45" s="79"/>
      <c r="K45" s="79"/>
      <c r="L45" s="14">
        <f t="shared" si="3"/>
        <v>0</v>
      </c>
      <c r="M45" s="72">
        <v>1</v>
      </c>
      <c r="N45" s="90">
        <f t="shared" si="4"/>
        <v>0</v>
      </c>
      <c r="O45" s="79"/>
      <c r="P45" s="79"/>
      <c r="Q45" s="10">
        <f t="shared" si="5"/>
        <v>0</v>
      </c>
    </row>
    <row r="46" spans="2:17" x14ac:dyDescent="0.2">
      <c r="B46" s="293"/>
      <c r="C46" s="76"/>
      <c r="D46" s="274"/>
      <c r="E46" s="77"/>
      <c r="F46" s="78"/>
      <c r="G46" s="79"/>
      <c r="H46" s="79"/>
      <c r="I46" s="79"/>
      <c r="J46" s="79"/>
      <c r="K46" s="79"/>
      <c r="L46" s="14">
        <f t="shared" si="3"/>
        <v>0</v>
      </c>
      <c r="M46" s="72">
        <v>1</v>
      </c>
      <c r="N46" s="90">
        <f t="shared" si="4"/>
        <v>0</v>
      </c>
      <c r="O46" s="79"/>
      <c r="P46" s="79"/>
      <c r="Q46" s="10">
        <f t="shared" si="5"/>
        <v>0</v>
      </c>
    </row>
    <row r="47" spans="2:17" x14ac:dyDescent="0.2">
      <c r="B47" s="293"/>
      <c r="C47" s="76"/>
      <c r="D47" s="274"/>
      <c r="E47" s="77"/>
      <c r="F47" s="78"/>
      <c r="G47" s="79"/>
      <c r="H47" s="79"/>
      <c r="I47" s="79"/>
      <c r="J47" s="79"/>
      <c r="K47" s="79"/>
      <c r="L47" s="14">
        <f t="shared" si="3"/>
        <v>0</v>
      </c>
      <c r="M47" s="72">
        <v>1</v>
      </c>
      <c r="N47" s="90">
        <f t="shared" si="4"/>
        <v>0</v>
      </c>
      <c r="O47" s="79"/>
      <c r="P47" s="79"/>
      <c r="Q47" s="10">
        <f t="shared" si="5"/>
        <v>0</v>
      </c>
    </row>
    <row r="48" spans="2:17" x14ac:dyDescent="0.2">
      <c r="B48" s="293"/>
      <c r="C48" s="76"/>
      <c r="D48" s="274"/>
      <c r="E48" s="77"/>
      <c r="F48" s="78"/>
      <c r="G48" s="79"/>
      <c r="H48" s="79"/>
      <c r="I48" s="79"/>
      <c r="J48" s="79"/>
      <c r="K48" s="79"/>
      <c r="L48" s="14">
        <f t="shared" si="3"/>
        <v>0</v>
      </c>
      <c r="M48" s="72">
        <v>1</v>
      </c>
      <c r="N48" s="90">
        <f t="shared" si="4"/>
        <v>0</v>
      </c>
      <c r="O48" s="79"/>
      <c r="P48" s="79"/>
      <c r="Q48" s="10">
        <f t="shared" si="5"/>
        <v>0</v>
      </c>
    </row>
    <row r="49" spans="2:17" x14ac:dyDescent="0.2">
      <c r="B49" s="293"/>
      <c r="C49" s="76"/>
      <c r="D49" s="274"/>
      <c r="E49" s="77"/>
      <c r="F49" s="78"/>
      <c r="G49" s="79"/>
      <c r="H49" s="79"/>
      <c r="I49" s="79"/>
      <c r="J49" s="79"/>
      <c r="K49" s="79"/>
      <c r="L49" s="14">
        <f t="shared" si="3"/>
        <v>0</v>
      </c>
      <c r="M49" s="72">
        <v>1</v>
      </c>
      <c r="N49" s="90">
        <f t="shared" si="4"/>
        <v>0</v>
      </c>
      <c r="O49" s="79"/>
      <c r="P49" s="79"/>
      <c r="Q49" s="10">
        <f t="shared" si="5"/>
        <v>0</v>
      </c>
    </row>
    <row r="50" spans="2:17" x14ac:dyDescent="0.2">
      <c r="B50" s="293"/>
      <c r="C50" s="76"/>
      <c r="D50" s="274"/>
      <c r="E50" s="77"/>
      <c r="F50" s="78"/>
      <c r="G50" s="79"/>
      <c r="H50" s="79"/>
      <c r="I50" s="79"/>
      <c r="J50" s="79"/>
      <c r="K50" s="79"/>
      <c r="L50" s="14">
        <f t="shared" si="3"/>
        <v>0</v>
      </c>
      <c r="M50" s="72">
        <v>1</v>
      </c>
      <c r="N50" s="90">
        <f t="shared" si="4"/>
        <v>0</v>
      </c>
      <c r="O50" s="79"/>
      <c r="P50" s="79"/>
      <c r="Q50" s="10">
        <f t="shared" si="5"/>
        <v>0</v>
      </c>
    </row>
    <row r="51" spans="2:17" x14ac:dyDescent="0.2">
      <c r="B51" s="293"/>
      <c r="C51" s="76"/>
      <c r="D51" s="274"/>
      <c r="E51" s="77"/>
      <c r="F51" s="78"/>
      <c r="G51" s="79"/>
      <c r="H51" s="79"/>
      <c r="I51" s="79"/>
      <c r="J51" s="79"/>
      <c r="K51" s="79"/>
      <c r="L51" s="14">
        <f t="shared" si="3"/>
        <v>0</v>
      </c>
      <c r="M51" s="72">
        <v>1</v>
      </c>
      <c r="N51" s="90">
        <f t="shared" si="4"/>
        <v>0</v>
      </c>
      <c r="O51" s="79"/>
      <c r="P51" s="79"/>
      <c r="Q51" s="10">
        <f t="shared" si="5"/>
        <v>0</v>
      </c>
    </row>
    <row r="52" spans="2:17" x14ac:dyDescent="0.2">
      <c r="B52" s="293"/>
      <c r="C52" s="76"/>
      <c r="D52" s="274"/>
      <c r="E52" s="77"/>
      <c r="F52" s="78"/>
      <c r="G52" s="79"/>
      <c r="H52" s="79"/>
      <c r="I52" s="79"/>
      <c r="J52" s="79"/>
      <c r="K52" s="79"/>
      <c r="L52" s="14">
        <f t="shared" si="3"/>
        <v>0</v>
      </c>
      <c r="M52" s="72">
        <v>1</v>
      </c>
      <c r="N52" s="90">
        <f t="shared" si="4"/>
        <v>0</v>
      </c>
      <c r="O52" s="79"/>
      <c r="P52" s="79"/>
      <c r="Q52" s="10">
        <f t="shared" si="5"/>
        <v>0</v>
      </c>
    </row>
    <row r="53" spans="2:17" x14ac:dyDescent="0.2">
      <c r="B53" s="293"/>
      <c r="C53" s="76"/>
      <c r="D53" s="274"/>
      <c r="E53" s="77"/>
      <c r="F53" s="78"/>
      <c r="G53" s="79"/>
      <c r="H53" s="79"/>
      <c r="I53" s="79"/>
      <c r="J53" s="79"/>
      <c r="K53" s="79"/>
      <c r="L53" s="14">
        <f t="shared" si="3"/>
        <v>0</v>
      </c>
      <c r="M53" s="72">
        <v>1</v>
      </c>
      <c r="N53" s="90">
        <f t="shared" si="4"/>
        <v>0</v>
      </c>
      <c r="O53" s="79"/>
      <c r="P53" s="79"/>
      <c r="Q53" s="10">
        <f t="shared" si="5"/>
        <v>0</v>
      </c>
    </row>
    <row r="54" spans="2:17" x14ac:dyDescent="0.2">
      <c r="B54" s="293"/>
      <c r="C54" s="76"/>
      <c r="D54" s="274"/>
      <c r="E54" s="77"/>
      <c r="F54" s="78"/>
      <c r="G54" s="79"/>
      <c r="H54" s="79"/>
      <c r="I54" s="79"/>
      <c r="J54" s="79"/>
      <c r="K54" s="79"/>
      <c r="L54" s="14">
        <f t="shared" si="3"/>
        <v>0</v>
      </c>
      <c r="M54" s="72">
        <v>1</v>
      </c>
      <c r="N54" s="90">
        <f t="shared" si="4"/>
        <v>0</v>
      </c>
      <c r="O54" s="79"/>
      <c r="P54" s="79"/>
      <c r="Q54" s="10">
        <f>SUM(N54:P54)</f>
        <v>0</v>
      </c>
    </row>
    <row r="55" spans="2:17" x14ac:dyDescent="0.2">
      <c r="B55" s="293"/>
      <c r="C55" s="76"/>
      <c r="D55" s="274"/>
      <c r="E55" s="77"/>
      <c r="F55" s="78"/>
      <c r="G55" s="79"/>
      <c r="H55" s="79"/>
      <c r="I55" s="79"/>
      <c r="J55" s="79"/>
      <c r="K55" s="79"/>
      <c r="L55" s="14">
        <f t="shared" si="3"/>
        <v>0</v>
      </c>
      <c r="M55" s="72">
        <v>1</v>
      </c>
      <c r="N55" s="90">
        <f t="shared" si="4"/>
        <v>0</v>
      </c>
      <c r="O55" s="79"/>
      <c r="P55" s="79"/>
      <c r="Q55" s="10">
        <f t="shared" si="5"/>
        <v>0</v>
      </c>
    </row>
    <row r="56" spans="2:17" x14ac:dyDescent="0.2">
      <c r="B56" s="293"/>
      <c r="C56" s="76"/>
      <c r="D56" s="274"/>
      <c r="E56" s="77"/>
      <c r="F56" s="78"/>
      <c r="G56" s="79"/>
      <c r="H56" s="79"/>
      <c r="I56" s="79"/>
      <c r="J56" s="79"/>
      <c r="K56" s="79"/>
      <c r="L56" s="14">
        <f t="shared" si="3"/>
        <v>0</v>
      </c>
      <c r="M56" s="72">
        <v>1</v>
      </c>
      <c r="N56" s="90">
        <f t="shared" si="4"/>
        <v>0</v>
      </c>
      <c r="O56" s="79"/>
      <c r="P56" s="79"/>
      <c r="Q56" s="10">
        <f t="shared" si="5"/>
        <v>0</v>
      </c>
    </row>
    <row r="57" spans="2:17" x14ac:dyDescent="0.2">
      <c r="B57" s="293"/>
      <c r="C57" s="76"/>
      <c r="D57" s="274"/>
      <c r="E57" s="77"/>
      <c r="F57" s="78"/>
      <c r="G57" s="79"/>
      <c r="H57" s="79"/>
      <c r="I57" s="79"/>
      <c r="J57" s="79"/>
      <c r="K57" s="79"/>
      <c r="L57" s="14">
        <f t="shared" si="3"/>
        <v>0</v>
      </c>
      <c r="M57" s="72">
        <v>1</v>
      </c>
      <c r="N57" s="90">
        <f t="shared" si="4"/>
        <v>0</v>
      </c>
      <c r="O57" s="79"/>
      <c r="P57" s="79"/>
      <c r="Q57" s="10">
        <f>SUM(N57:P57)</f>
        <v>0</v>
      </c>
    </row>
    <row r="58" spans="2:17" x14ac:dyDescent="0.2">
      <c r="B58" s="293"/>
      <c r="C58" s="76"/>
      <c r="D58" s="274"/>
      <c r="E58" s="77"/>
      <c r="F58" s="78"/>
      <c r="G58" s="79"/>
      <c r="H58" s="79"/>
      <c r="I58" s="79"/>
      <c r="J58" s="79"/>
      <c r="K58" s="79"/>
      <c r="L58" s="14">
        <f t="shared" si="3"/>
        <v>0</v>
      </c>
      <c r="M58" s="72">
        <v>1</v>
      </c>
      <c r="N58" s="90">
        <f t="shared" si="4"/>
        <v>0</v>
      </c>
      <c r="O58" s="79"/>
      <c r="P58" s="79"/>
      <c r="Q58" s="10">
        <f t="shared" si="5"/>
        <v>0</v>
      </c>
    </row>
    <row r="59" spans="2:17" x14ac:dyDescent="0.2">
      <c r="B59" s="294"/>
      <c r="C59" s="15" t="s">
        <v>56</v>
      </c>
      <c r="D59" s="15"/>
      <c r="E59" s="16"/>
      <c r="F59" s="17"/>
      <c r="G59" s="11">
        <f t="shared" ref="G59:L59" si="6">SUM(G15:G58)</f>
        <v>0</v>
      </c>
      <c r="H59" s="11">
        <f t="shared" si="6"/>
        <v>93925307.100000009</v>
      </c>
      <c r="I59" s="11">
        <f t="shared" si="6"/>
        <v>1</v>
      </c>
      <c r="J59" s="11">
        <f t="shared" si="6"/>
        <v>0</v>
      </c>
      <c r="K59" s="11">
        <f t="shared" si="6"/>
        <v>0</v>
      </c>
      <c r="L59" s="11">
        <f t="shared" si="6"/>
        <v>93925308.100000009</v>
      </c>
      <c r="M59" s="141"/>
      <c r="N59" s="141">
        <f>SUM(N15:N58)</f>
        <v>93925308.100000009</v>
      </c>
      <c r="O59" s="11">
        <f>SUM(O15:O58)</f>
        <v>-43016812.120000012</v>
      </c>
      <c r="P59" s="11">
        <f>SUM(P15:P58)</f>
        <v>-4246003.2299999995</v>
      </c>
      <c r="Q59" s="11">
        <f>SUM(Q15:Q58)</f>
        <v>46662492.75</v>
      </c>
    </row>
    <row r="62" spans="2:17" ht="15.75" x14ac:dyDescent="0.25">
      <c r="B62" s="196" t="s">
        <v>438</v>
      </c>
    </row>
    <row r="64" spans="2:17" ht="46.5" customHeight="1" x14ac:dyDescent="0.2">
      <c r="B64" s="50" t="s">
        <v>307</v>
      </c>
      <c r="C64" s="51" t="s">
        <v>13</v>
      </c>
      <c r="D64" s="51" t="s">
        <v>0</v>
      </c>
      <c r="E64" s="51" t="s">
        <v>49</v>
      </c>
      <c r="F64" s="51" t="s">
        <v>50</v>
      </c>
      <c r="G64" s="52" t="s">
        <v>377</v>
      </c>
      <c r="H64" s="52" t="s">
        <v>378</v>
      </c>
      <c r="I64" s="52" t="s">
        <v>450</v>
      </c>
      <c r="J64" s="52" t="s">
        <v>379</v>
      </c>
      <c r="K64" s="52" t="s">
        <v>53</v>
      </c>
      <c r="L64" s="51" t="s">
        <v>191</v>
      </c>
      <c r="M64" s="51" t="s">
        <v>192</v>
      </c>
      <c r="N64" s="52" t="s">
        <v>141</v>
      </c>
      <c r="O64" s="52" t="s">
        <v>175</v>
      </c>
      <c r="P64" s="30" t="s">
        <v>54</v>
      </c>
    </row>
    <row r="65" spans="2:16" x14ac:dyDescent="0.2">
      <c r="B65" s="61"/>
      <c r="C65" s="53"/>
      <c r="D65" s="53"/>
      <c r="E65" s="53"/>
      <c r="F65" s="53" t="s">
        <v>55</v>
      </c>
      <c r="G65" s="53" t="s">
        <v>110</v>
      </c>
      <c r="H65" s="53" t="s">
        <v>110</v>
      </c>
      <c r="I65" s="53" t="s">
        <v>110</v>
      </c>
      <c r="J65" s="53" t="s">
        <v>110</v>
      </c>
      <c r="K65" s="53" t="s">
        <v>110</v>
      </c>
      <c r="L65" s="53"/>
      <c r="M65" s="53" t="s">
        <v>110</v>
      </c>
      <c r="N65" s="53" t="s">
        <v>110</v>
      </c>
      <c r="O65" s="53" t="s">
        <v>110</v>
      </c>
      <c r="P65" s="53" t="s">
        <v>110</v>
      </c>
    </row>
    <row r="66" spans="2:16" x14ac:dyDescent="0.2">
      <c r="B66" s="357" t="s">
        <v>568</v>
      </c>
      <c r="C66" s="358" t="s">
        <v>516</v>
      </c>
      <c r="D66" s="76" t="s">
        <v>153</v>
      </c>
      <c r="E66" s="311" t="str">
        <f>'3.3 Asset useful life'!D28</f>
        <v>22/4/2010 to 30/6/2025</v>
      </c>
      <c r="F66" s="78">
        <f>'3.3 Asset useful life'!E28</f>
        <v>3.4323791017076388</v>
      </c>
      <c r="G66" s="79">
        <v>4440433.5500092711</v>
      </c>
      <c r="H66" s="79">
        <v>1071429.5727584129</v>
      </c>
      <c r="I66" s="79"/>
      <c r="J66" s="79">
        <v>-11771.380640326161</v>
      </c>
      <c r="K66" s="14">
        <f>SUM(G66:J66)</f>
        <v>5500091.742127358</v>
      </c>
      <c r="L66" s="72">
        <v>1</v>
      </c>
      <c r="M66" s="90">
        <f>K66*L66</f>
        <v>5500091.742127358</v>
      </c>
      <c r="N66" s="79">
        <v>-3329786.7118250253</v>
      </c>
      <c r="O66" s="79">
        <v>-611418.39536343201</v>
      </c>
      <c r="P66" s="10">
        <f>SUM(M66:O66)</f>
        <v>1558886.6349389008</v>
      </c>
    </row>
    <row r="67" spans="2:16" x14ac:dyDescent="0.2">
      <c r="B67" s="357" t="s">
        <v>568</v>
      </c>
      <c r="C67" s="358" t="s">
        <v>145</v>
      </c>
      <c r="D67" s="76" t="s">
        <v>145</v>
      </c>
      <c r="E67" s="311" t="str">
        <f>'3.3 Asset useful life'!D34</f>
        <v>1/7/2019 to 30/6/2025</v>
      </c>
      <c r="F67" s="78" t="str">
        <f>'3.3 Asset useful life'!E34</f>
        <v>Various</v>
      </c>
      <c r="G67" s="79">
        <v>895199.41923408967</v>
      </c>
      <c r="H67" s="79">
        <v>143818.1267610543</v>
      </c>
      <c r="I67" s="79"/>
      <c r="J67" s="79">
        <v>-3249.5405041380545</v>
      </c>
      <c r="K67" s="14">
        <f t="shared" ref="K67:K83" si="7">SUM(G67:J67)</f>
        <v>1035768.0054910058</v>
      </c>
      <c r="L67" s="72">
        <v>1</v>
      </c>
      <c r="M67" s="90">
        <f t="shared" ref="M67:M83" si="8">K67*L67</f>
        <v>1035768.0054910058</v>
      </c>
      <c r="N67" s="79">
        <v>-461914.54053907207</v>
      </c>
      <c r="O67" s="79">
        <v>-137150.39199672296</v>
      </c>
      <c r="P67" s="10">
        <f t="shared" ref="P67:P82" si="9">SUM(M67:O67)</f>
        <v>436703.07295521087</v>
      </c>
    </row>
    <row r="68" spans="2:16" x14ac:dyDescent="0.2">
      <c r="B68" s="160"/>
      <c r="C68" s="76"/>
      <c r="D68" s="76"/>
      <c r="E68" s="77"/>
      <c r="F68" s="78"/>
      <c r="G68" s="79"/>
      <c r="H68" s="79"/>
      <c r="I68" s="79"/>
      <c r="J68" s="79"/>
      <c r="K68" s="14">
        <f t="shared" si="7"/>
        <v>0</v>
      </c>
      <c r="L68" s="72">
        <v>1</v>
      </c>
      <c r="M68" s="90">
        <f t="shared" si="8"/>
        <v>0</v>
      </c>
      <c r="N68" s="79"/>
      <c r="O68" s="79"/>
      <c r="P68" s="10">
        <f t="shared" si="9"/>
        <v>0</v>
      </c>
    </row>
    <row r="69" spans="2:16" x14ac:dyDescent="0.2">
      <c r="B69" s="160"/>
      <c r="C69" s="76"/>
      <c r="D69" s="76"/>
      <c r="E69" s="77"/>
      <c r="F69" s="78"/>
      <c r="G69" s="79"/>
      <c r="H69" s="79"/>
      <c r="I69" s="79"/>
      <c r="J69" s="79"/>
      <c r="K69" s="14">
        <f t="shared" si="7"/>
        <v>0</v>
      </c>
      <c r="L69" s="72">
        <v>1</v>
      </c>
      <c r="M69" s="90">
        <f t="shared" si="8"/>
        <v>0</v>
      </c>
      <c r="N69" s="79"/>
      <c r="O69" s="79"/>
      <c r="P69" s="10">
        <f t="shared" si="9"/>
        <v>0</v>
      </c>
    </row>
    <row r="70" spans="2:16" x14ac:dyDescent="0.2">
      <c r="B70" s="160"/>
      <c r="C70" s="76"/>
      <c r="D70" s="76"/>
      <c r="E70" s="77"/>
      <c r="F70" s="78"/>
      <c r="G70" s="79"/>
      <c r="H70" s="79"/>
      <c r="I70" s="79"/>
      <c r="J70" s="79"/>
      <c r="K70" s="14">
        <f t="shared" si="7"/>
        <v>0</v>
      </c>
      <c r="L70" s="72">
        <v>1</v>
      </c>
      <c r="M70" s="90">
        <f t="shared" si="8"/>
        <v>0</v>
      </c>
      <c r="N70" s="79"/>
      <c r="O70" s="79"/>
      <c r="P70" s="10">
        <f t="shared" si="9"/>
        <v>0</v>
      </c>
    </row>
    <row r="71" spans="2:16" x14ac:dyDescent="0.2">
      <c r="B71" s="160"/>
      <c r="C71" s="76"/>
      <c r="D71" s="76"/>
      <c r="E71" s="77"/>
      <c r="F71" s="78"/>
      <c r="G71" s="79"/>
      <c r="H71" s="79"/>
      <c r="I71" s="79"/>
      <c r="J71" s="79"/>
      <c r="K71" s="14">
        <f t="shared" si="7"/>
        <v>0</v>
      </c>
      <c r="L71" s="72">
        <v>1</v>
      </c>
      <c r="M71" s="90">
        <f t="shared" si="8"/>
        <v>0</v>
      </c>
      <c r="N71" s="79"/>
      <c r="O71" s="79"/>
      <c r="P71" s="10">
        <f t="shared" si="9"/>
        <v>0</v>
      </c>
    </row>
    <row r="72" spans="2:16" x14ac:dyDescent="0.2">
      <c r="B72" s="160"/>
      <c r="C72" s="76"/>
      <c r="D72" s="76"/>
      <c r="E72" s="77"/>
      <c r="F72" s="78"/>
      <c r="G72" s="79"/>
      <c r="H72" s="79"/>
      <c r="I72" s="79"/>
      <c r="J72" s="79"/>
      <c r="K72" s="14">
        <f t="shared" si="7"/>
        <v>0</v>
      </c>
      <c r="L72" s="72">
        <v>1</v>
      </c>
      <c r="M72" s="90">
        <f t="shared" si="8"/>
        <v>0</v>
      </c>
      <c r="N72" s="79"/>
      <c r="O72" s="79"/>
      <c r="P72" s="10">
        <f t="shared" si="9"/>
        <v>0</v>
      </c>
    </row>
    <row r="73" spans="2:16" x14ac:dyDescent="0.2">
      <c r="B73" s="160"/>
      <c r="C73" s="76"/>
      <c r="D73" s="76"/>
      <c r="E73" s="77"/>
      <c r="F73" s="78"/>
      <c r="G73" s="79"/>
      <c r="H73" s="79"/>
      <c r="I73" s="79"/>
      <c r="J73" s="79"/>
      <c r="K73" s="14">
        <f t="shared" si="7"/>
        <v>0</v>
      </c>
      <c r="L73" s="72">
        <v>1</v>
      </c>
      <c r="M73" s="90">
        <f t="shared" si="8"/>
        <v>0</v>
      </c>
      <c r="N73" s="79"/>
      <c r="O73" s="79"/>
      <c r="P73" s="10">
        <f t="shared" si="9"/>
        <v>0</v>
      </c>
    </row>
    <row r="74" spans="2:16" x14ac:dyDescent="0.2">
      <c r="B74" s="160"/>
      <c r="C74" s="76"/>
      <c r="D74" s="76"/>
      <c r="E74" s="77"/>
      <c r="F74" s="78"/>
      <c r="G74" s="79"/>
      <c r="H74" s="79"/>
      <c r="I74" s="79"/>
      <c r="J74" s="79"/>
      <c r="K74" s="14">
        <f t="shared" si="7"/>
        <v>0</v>
      </c>
      <c r="L74" s="72">
        <v>1</v>
      </c>
      <c r="M74" s="90">
        <f t="shared" si="8"/>
        <v>0</v>
      </c>
      <c r="N74" s="79"/>
      <c r="O74" s="79"/>
      <c r="P74" s="10">
        <f t="shared" si="9"/>
        <v>0</v>
      </c>
    </row>
    <row r="75" spans="2:16" x14ac:dyDescent="0.2">
      <c r="B75" s="160"/>
      <c r="C75" s="76"/>
      <c r="D75" s="76"/>
      <c r="E75" s="77"/>
      <c r="F75" s="78"/>
      <c r="G75" s="79"/>
      <c r="H75" s="79"/>
      <c r="I75" s="79"/>
      <c r="J75" s="79"/>
      <c r="K75" s="14">
        <f t="shared" si="7"/>
        <v>0</v>
      </c>
      <c r="L75" s="72">
        <v>1</v>
      </c>
      <c r="M75" s="90">
        <f t="shared" si="8"/>
        <v>0</v>
      </c>
      <c r="N75" s="79"/>
      <c r="O75" s="79"/>
      <c r="P75" s="10">
        <f t="shared" si="9"/>
        <v>0</v>
      </c>
    </row>
    <row r="76" spans="2:16" x14ac:dyDescent="0.2">
      <c r="B76" s="160"/>
      <c r="C76" s="76"/>
      <c r="D76" s="76"/>
      <c r="E76" s="77"/>
      <c r="F76" s="78"/>
      <c r="G76" s="79"/>
      <c r="H76" s="79"/>
      <c r="I76" s="79"/>
      <c r="J76" s="79"/>
      <c r="K76" s="14">
        <f t="shared" si="7"/>
        <v>0</v>
      </c>
      <c r="L76" s="72">
        <v>1</v>
      </c>
      <c r="M76" s="90">
        <f t="shared" si="8"/>
        <v>0</v>
      </c>
      <c r="N76" s="79"/>
      <c r="O76" s="79"/>
      <c r="P76" s="10">
        <f t="shared" si="9"/>
        <v>0</v>
      </c>
    </row>
    <row r="77" spans="2:16" x14ac:dyDescent="0.2">
      <c r="B77" s="160"/>
      <c r="C77" s="76"/>
      <c r="D77" s="76"/>
      <c r="E77" s="77"/>
      <c r="F77" s="78"/>
      <c r="G77" s="79"/>
      <c r="H77" s="79"/>
      <c r="I77" s="79"/>
      <c r="J77" s="79"/>
      <c r="K77" s="14">
        <f t="shared" si="7"/>
        <v>0</v>
      </c>
      <c r="L77" s="72">
        <v>1</v>
      </c>
      <c r="M77" s="90">
        <f t="shared" si="8"/>
        <v>0</v>
      </c>
      <c r="N77" s="79"/>
      <c r="O77" s="79"/>
      <c r="P77" s="10">
        <f t="shared" si="9"/>
        <v>0</v>
      </c>
    </row>
    <row r="78" spans="2:16" x14ac:dyDescent="0.2">
      <c r="B78" s="160"/>
      <c r="C78" s="76"/>
      <c r="D78" s="76"/>
      <c r="E78" s="77"/>
      <c r="F78" s="78"/>
      <c r="G78" s="79"/>
      <c r="H78" s="79"/>
      <c r="I78" s="79"/>
      <c r="J78" s="79"/>
      <c r="K78" s="14">
        <f t="shared" si="7"/>
        <v>0</v>
      </c>
      <c r="L78" s="72">
        <v>1</v>
      </c>
      <c r="M78" s="90">
        <f t="shared" si="8"/>
        <v>0</v>
      </c>
      <c r="N78" s="79"/>
      <c r="O78" s="79"/>
      <c r="P78" s="10">
        <f t="shared" si="9"/>
        <v>0</v>
      </c>
    </row>
    <row r="79" spans="2:16" x14ac:dyDescent="0.2">
      <c r="B79" s="160"/>
      <c r="C79" s="76"/>
      <c r="D79" s="76"/>
      <c r="E79" s="77"/>
      <c r="F79" s="78"/>
      <c r="G79" s="79"/>
      <c r="H79" s="79"/>
      <c r="I79" s="79"/>
      <c r="J79" s="79"/>
      <c r="K79" s="14">
        <f t="shared" si="7"/>
        <v>0</v>
      </c>
      <c r="L79" s="72">
        <v>1</v>
      </c>
      <c r="M79" s="90">
        <f t="shared" si="8"/>
        <v>0</v>
      </c>
      <c r="N79" s="79"/>
      <c r="O79" s="79"/>
      <c r="P79" s="10">
        <f t="shared" si="9"/>
        <v>0</v>
      </c>
    </row>
    <row r="80" spans="2:16" x14ac:dyDescent="0.2">
      <c r="B80" s="160"/>
      <c r="C80" s="76"/>
      <c r="D80" s="76"/>
      <c r="E80" s="77"/>
      <c r="F80" s="78"/>
      <c r="G80" s="79"/>
      <c r="H80" s="79"/>
      <c r="I80" s="79"/>
      <c r="J80" s="79"/>
      <c r="K80" s="14">
        <f t="shared" si="7"/>
        <v>0</v>
      </c>
      <c r="L80" s="72">
        <v>1</v>
      </c>
      <c r="M80" s="90">
        <f t="shared" si="8"/>
        <v>0</v>
      </c>
      <c r="N80" s="79"/>
      <c r="O80" s="79"/>
      <c r="P80" s="10">
        <f t="shared" si="9"/>
        <v>0</v>
      </c>
    </row>
    <row r="81" spans="2:16" x14ac:dyDescent="0.2">
      <c r="B81" s="160"/>
      <c r="C81" s="76"/>
      <c r="D81" s="76"/>
      <c r="E81" s="77"/>
      <c r="F81" s="78"/>
      <c r="G81" s="79"/>
      <c r="H81" s="79"/>
      <c r="I81" s="79"/>
      <c r="J81" s="79"/>
      <c r="K81" s="14">
        <f t="shared" si="7"/>
        <v>0</v>
      </c>
      <c r="L81" s="72">
        <v>1</v>
      </c>
      <c r="M81" s="90">
        <f t="shared" si="8"/>
        <v>0</v>
      </c>
      <c r="N81" s="79"/>
      <c r="O81" s="79"/>
      <c r="P81" s="10">
        <f t="shared" si="9"/>
        <v>0</v>
      </c>
    </row>
    <row r="82" spans="2:16" x14ac:dyDescent="0.2">
      <c r="B82" s="160"/>
      <c r="C82" s="76"/>
      <c r="D82" s="76"/>
      <c r="E82" s="77"/>
      <c r="F82" s="78"/>
      <c r="G82" s="79"/>
      <c r="H82" s="79"/>
      <c r="I82" s="79"/>
      <c r="J82" s="79"/>
      <c r="K82" s="14">
        <f t="shared" si="7"/>
        <v>0</v>
      </c>
      <c r="L82" s="72">
        <v>1</v>
      </c>
      <c r="M82" s="90">
        <f t="shared" si="8"/>
        <v>0</v>
      </c>
      <c r="N82" s="79"/>
      <c r="O82" s="79"/>
      <c r="P82" s="10">
        <f t="shared" si="9"/>
        <v>0</v>
      </c>
    </row>
    <row r="83" spans="2:16" x14ac:dyDescent="0.2">
      <c r="B83" s="160"/>
      <c r="C83" s="76"/>
      <c r="D83" s="76"/>
      <c r="E83" s="77"/>
      <c r="F83" s="78"/>
      <c r="G83" s="79"/>
      <c r="H83" s="79"/>
      <c r="I83" s="79"/>
      <c r="J83" s="79"/>
      <c r="K83" s="14">
        <f t="shared" si="7"/>
        <v>0</v>
      </c>
      <c r="L83" s="72">
        <v>1</v>
      </c>
      <c r="M83" s="90">
        <f t="shared" si="8"/>
        <v>0</v>
      </c>
      <c r="N83" s="79"/>
      <c r="O83" s="79"/>
      <c r="P83" s="10">
        <f>SUM(M83:O83)</f>
        <v>0</v>
      </c>
    </row>
    <row r="84" spans="2:16" x14ac:dyDescent="0.2">
      <c r="B84" s="273"/>
      <c r="C84" s="15" t="s">
        <v>19</v>
      </c>
      <c r="D84" s="15"/>
      <c r="E84" s="18"/>
      <c r="F84" s="18"/>
      <c r="G84" s="11">
        <f>SUM(G66:G83)</f>
        <v>5335632.9692433607</v>
      </c>
      <c r="H84" s="11">
        <f>SUM(H66:H83)</f>
        <v>1215247.6995194673</v>
      </c>
      <c r="I84" s="11">
        <f>SUM(I66:I83)</f>
        <v>0</v>
      </c>
      <c r="J84" s="11">
        <f>SUM(J66:J83)</f>
        <v>-15020.921144464215</v>
      </c>
      <c r="K84" s="11">
        <f>SUM(K66:K83)</f>
        <v>6535859.7476183642</v>
      </c>
      <c r="L84" s="141"/>
      <c r="M84" s="141">
        <f>SUM(M66:M83)</f>
        <v>6535859.7476183642</v>
      </c>
      <c r="N84" s="11">
        <f>SUM(N66:N83)</f>
        <v>-3791701.2523640972</v>
      </c>
      <c r="O84" s="11">
        <f>SUM(O66:O83)</f>
        <v>-748568.78736015502</v>
      </c>
      <c r="P84" s="11">
        <f>SUM(P66:P83)</f>
        <v>1995589.7078941118</v>
      </c>
    </row>
  </sheetData>
  <sheetProtection sheet="1" insertRows="0" deleteRows="0"/>
  <mergeCells count="1">
    <mergeCell ref="B6:E8"/>
  </mergeCells>
  <phoneticPr fontId="30" type="noConversion"/>
  <dataValidations count="2">
    <dataValidation type="list" allowBlank="1" showInputMessage="1" showErrorMessage="1" sqref="G8:G9 D15:D58" xr:uid="{00C116A7-BAAB-483F-B965-11B7FECFA072}">
      <formula1>rPipelineAssets</formula1>
    </dataValidation>
    <dataValidation type="list" allowBlank="1" showInputMessage="1" showErrorMessage="1" sqref="D66:D83" xr:uid="{B7915664-DEF6-45F8-ADD8-A79802F9CEC7}">
      <formula1>rSharedAssets</formula1>
    </dataValidation>
  </dataValidations>
  <pageMargins left="0.75" right="0.75" top="1" bottom="1" header="0.5" footer="0.5"/>
  <pageSetup paperSize="9" scale="27" orientation="landscape" r:id="rId1"/>
  <headerFooter alignWithMargins="0">
    <oddFooter>&amp;C_x000D_&amp;1#&amp;"Calibri"&amp;10&amp;K008000 APA-INTERNAL</oddFooter>
  </headerFooter>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EA116-7E4C-4A98-8986-A95DBBFBB179}">
  <sheetPr codeName="Sheet15">
    <tabColor rgb="FF17415D"/>
  </sheetPr>
  <dimension ref="B1:I47"/>
  <sheetViews>
    <sheetView workbookViewId="0">
      <pane xSplit="1" ySplit="8" topLeftCell="B9" activePane="bottomRight" state="frozen"/>
      <selection pane="topRight" activeCell="B1" sqref="B1"/>
      <selection pane="bottomLeft" activeCell="A9" sqref="A9"/>
      <selection pane="bottomRight"/>
    </sheetView>
  </sheetViews>
  <sheetFormatPr defaultColWidth="9.42578125" defaultRowHeight="12.75" x14ac:dyDescent="0.2"/>
  <cols>
    <col min="1" max="1" width="12.42578125" style="204" customWidth="1"/>
    <col min="2" max="2" width="22.42578125" style="204" customWidth="1"/>
    <col min="3" max="3" width="42.42578125" style="204" customWidth="1"/>
    <col min="4" max="4" width="28.5703125" style="204" customWidth="1"/>
    <col min="5" max="5" width="22.5703125" style="204" customWidth="1"/>
    <col min="6" max="6" width="20.5703125" style="204" customWidth="1"/>
    <col min="7" max="7" width="22.5703125" style="204" customWidth="1"/>
    <col min="8" max="8" width="37.42578125" style="204" customWidth="1"/>
    <col min="9" max="9" width="25.42578125" style="204" customWidth="1"/>
    <col min="10" max="16384" width="9.42578125" style="204"/>
  </cols>
  <sheetData>
    <row r="1" spans="2:9" ht="20.25" customHeight="1" x14ac:dyDescent="0.3">
      <c r="B1" s="135" t="s">
        <v>302</v>
      </c>
      <c r="C1" s="135"/>
      <c r="D1" s="203"/>
      <c r="E1" s="203"/>
      <c r="F1" s="203"/>
      <c r="G1" s="203"/>
    </row>
    <row r="2" spans="2:9" ht="20.25" customHeight="1" x14ac:dyDescent="0.3">
      <c r="B2" s="135" t="str">
        <f>IF(Tradingname=0," ",Tradingname)</f>
        <v>APA Pipelines Investments (BWP) Pty Limited</v>
      </c>
      <c r="C2" s="135"/>
      <c r="D2" s="205"/>
    </row>
    <row r="3" spans="2:9" ht="20.25" customHeight="1" x14ac:dyDescent="0.3">
      <c r="B3" s="135" t="s">
        <v>109</v>
      </c>
      <c r="C3" s="99">
        <f>IF(Yearending=0, "01/01/2000", Yearending)</f>
        <v>45838</v>
      </c>
    </row>
    <row r="4" spans="2:9" ht="20.25" x14ac:dyDescent="0.2">
      <c r="B4" s="91" t="s">
        <v>69</v>
      </c>
      <c r="C4" s="91"/>
    </row>
    <row r="6" spans="2:9" x14ac:dyDescent="0.2">
      <c r="B6" s="434" t="s">
        <v>449</v>
      </c>
      <c r="C6" s="434"/>
      <c r="D6" s="434"/>
    </row>
    <row r="7" spans="2:9" ht="15.75" customHeight="1" x14ac:dyDescent="0.2">
      <c r="B7" s="434"/>
      <c r="C7" s="434"/>
      <c r="D7" s="434"/>
    </row>
    <row r="8" spans="2:9" ht="15.75" customHeight="1" x14ac:dyDescent="0.2">
      <c r="B8" s="434"/>
      <c r="C8" s="434"/>
      <c r="D8" s="434"/>
    </row>
    <row r="11" spans="2:9" ht="15.75" x14ac:dyDescent="0.25">
      <c r="B11" s="206" t="s">
        <v>437</v>
      </c>
      <c r="C11" s="207"/>
      <c r="D11" s="207"/>
      <c r="E11" s="207"/>
      <c r="F11" s="210"/>
      <c r="G11" s="207"/>
    </row>
    <row r="12" spans="2:9" ht="15.75" x14ac:dyDescent="0.25">
      <c r="B12" s="206"/>
      <c r="C12" s="207"/>
      <c r="D12" s="207"/>
      <c r="E12" s="207"/>
      <c r="F12" s="210"/>
      <c r="G12" s="207"/>
    </row>
    <row r="13" spans="2:9" ht="25.5" x14ac:dyDescent="0.2">
      <c r="B13" s="37" t="s">
        <v>307</v>
      </c>
      <c r="C13" s="37" t="s">
        <v>104</v>
      </c>
      <c r="D13" s="37" t="s">
        <v>105</v>
      </c>
      <c r="E13" s="49" t="s">
        <v>106</v>
      </c>
      <c r="F13" s="49" t="s">
        <v>47</v>
      </c>
      <c r="G13" s="49" t="s">
        <v>84</v>
      </c>
    </row>
    <row r="14" spans="2:9" x14ac:dyDescent="0.2">
      <c r="B14" s="39"/>
      <c r="C14" s="39"/>
      <c r="D14" s="42"/>
      <c r="E14" s="53" t="s">
        <v>110</v>
      </c>
      <c r="F14" s="53"/>
      <c r="G14" s="53" t="s">
        <v>110</v>
      </c>
    </row>
    <row r="15" spans="2:9" x14ac:dyDescent="0.2">
      <c r="B15" s="348" t="s">
        <v>560</v>
      </c>
      <c r="C15" s="70" t="s">
        <v>516</v>
      </c>
      <c r="D15" s="70" t="s">
        <v>153</v>
      </c>
      <c r="E15" s="71">
        <v>501746970.59000003</v>
      </c>
      <c r="F15" s="72">
        <v>1.0961883308751912E-2</v>
      </c>
      <c r="G15" s="10">
        <f>E15*F15</f>
        <v>5500091.742127358</v>
      </c>
      <c r="H15" s="272"/>
    </row>
    <row r="16" spans="2:9" x14ac:dyDescent="0.2">
      <c r="B16" s="354" t="s">
        <v>560</v>
      </c>
      <c r="C16" s="70" t="s">
        <v>145</v>
      </c>
      <c r="D16" s="70" t="s">
        <v>145</v>
      </c>
      <c r="E16" s="71">
        <v>86146034.939643428</v>
      </c>
      <c r="F16" s="72">
        <v>1.2023397318480147E-2</v>
      </c>
      <c r="G16" s="10">
        <f t="shared" ref="G16:G45" si="0">E16*F16</f>
        <v>1035768.0054910058</v>
      </c>
      <c r="H16" s="275"/>
      <c r="I16" s="275"/>
    </row>
    <row r="17" spans="2:9" x14ac:dyDescent="0.2">
      <c r="B17" s="287"/>
      <c r="C17" s="70"/>
      <c r="D17" s="70"/>
      <c r="E17" s="71"/>
      <c r="F17" s="72"/>
      <c r="G17" s="10">
        <f t="shared" si="0"/>
        <v>0</v>
      </c>
      <c r="H17" s="276"/>
      <c r="I17" s="276"/>
    </row>
    <row r="18" spans="2:9" x14ac:dyDescent="0.2">
      <c r="B18" s="287"/>
      <c r="C18" s="70"/>
      <c r="D18" s="70"/>
      <c r="E18" s="71"/>
      <c r="F18" s="72"/>
      <c r="G18" s="10">
        <f t="shared" si="0"/>
        <v>0</v>
      </c>
      <c r="H18" s="276"/>
      <c r="I18" s="276"/>
    </row>
    <row r="19" spans="2:9" x14ac:dyDescent="0.2">
      <c r="B19" s="287"/>
      <c r="C19" s="70"/>
      <c r="D19" s="70"/>
      <c r="E19" s="71"/>
      <c r="F19" s="72"/>
      <c r="G19" s="10">
        <f t="shared" si="0"/>
        <v>0</v>
      </c>
      <c r="H19" s="275"/>
      <c r="I19" s="275"/>
    </row>
    <row r="20" spans="2:9" x14ac:dyDescent="0.2">
      <c r="B20" s="287"/>
      <c r="C20" s="70"/>
      <c r="D20" s="70"/>
      <c r="E20" s="71"/>
      <c r="F20" s="72"/>
      <c r="G20" s="10">
        <f t="shared" si="0"/>
        <v>0</v>
      </c>
      <c r="H20" s="276"/>
      <c r="I20" s="276"/>
    </row>
    <row r="21" spans="2:9" x14ac:dyDescent="0.2">
      <c r="B21" s="287"/>
      <c r="C21" s="70"/>
      <c r="D21" s="70"/>
      <c r="E21" s="71"/>
      <c r="F21" s="72"/>
      <c r="G21" s="10">
        <f t="shared" si="0"/>
        <v>0</v>
      </c>
    </row>
    <row r="22" spans="2:9" x14ac:dyDescent="0.2">
      <c r="B22" s="287"/>
      <c r="C22" s="70"/>
      <c r="D22" s="70"/>
      <c r="E22" s="71"/>
      <c r="F22" s="72"/>
      <c r="G22" s="10">
        <f t="shared" si="0"/>
        <v>0</v>
      </c>
    </row>
    <row r="23" spans="2:9" x14ac:dyDescent="0.2">
      <c r="B23" s="287"/>
      <c r="C23" s="70"/>
      <c r="D23" s="70"/>
      <c r="E23" s="71"/>
      <c r="F23" s="72"/>
      <c r="G23" s="10">
        <f t="shared" si="0"/>
        <v>0</v>
      </c>
    </row>
    <row r="24" spans="2:9" x14ac:dyDescent="0.2">
      <c r="B24" s="287"/>
      <c r="C24" s="70"/>
      <c r="D24" s="70"/>
      <c r="E24" s="71"/>
      <c r="F24" s="72"/>
      <c r="G24" s="10">
        <f t="shared" si="0"/>
        <v>0</v>
      </c>
    </row>
    <row r="25" spans="2:9" x14ac:dyDescent="0.2">
      <c r="B25" s="287"/>
      <c r="C25" s="70"/>
      <c r="D25" s="70"/>
      <c r="E25" s="71"/>
      <c r="F25" s="72"/>
      <c r="G25" s="10">
        <f t="shared" si="0"/>
        <v>0</v>
      </c>
    </row>
    <row r="26" spans="2:9" x14ac:dyDescent="0.2">
      <c r="B26" s="287"/>
      <c r="C26" s="70"/>
      <c r="D26" s="70"/>
      <c r="E26" s="71"/>
      <c r="F26" s="72"/>
      <c r="G26" s="10">
        <f t="shared" si="0"/>
        <v>0</v>
      </c>
    </row>
    <row r="27" spans="2:9" x14ac:dyDescent="0.2">
      <c r="B27" s="287"/>
      <c r="C27" s="70"/>
      <c r="D27" s="70"/>
      <c r="E27" s="71"/>
      <c r="F27" s="72"/>
      <c r="G27" s="10">
        <f t="shared" si="0"/>
        <v>0</v>
      </c>
    </row>
    <row r="28" spans="2:9" x14ac:dyDescent="0.2">
      <c r="B28" s="287"/>
      <c r="C28" s="70"/>
      <c r="D28" s="70"/>
      <c r="E28" s="71"/>
      <c r="F28" s="72"/>
      <c r="G28" s="10">
        <f t="shared" si="0"/>
        <v>0</v>
      </c>
    </row>
    <row r="29" spans="2:9" x14ac:dyDescent="0.2">
      <c r="B29" s="287"/>
      <c r="C29" s="70"/>
      <c r="D29" s="70"/>
      <c r="E29" s="71"/>
      <c r="F29" s="72"/>
      <c r="G29" s="10">
        <f t="shared" si="0"/>
        <v>0</v>
      </c>
    </row>
    <row r="30" spans="2:9" x14ac:dyDescent="0.2">
      <c r="B30" s="287"/>
      <c r="C30" s="70"/>
      <c r="D30" s="70"/>
      <c r="E30" s="71"/>
      <c r="F30" s="72"/>
      <c r="G30" s="10">
        <f t="shared" si="0"/>
        <v>0</v>
      </c>
    </row>
    <row r="31" spans="2:9" x14ac:dyDescent="0.2">
      <c r="B31" s="287"/>
      <c r="C31" s="70"/>
      <c r="D31" s="70"/>
      <c r="E31" s="71"/>
      <c r="F31" s="72"/>
      <c r="G31" s="10">
        <f t="shared" si="0"/>
        <v>0</v>
      </c>
    </row>
    <row r="32" spans="2:9" x14ac:dyDescent="0.2">
      <c r="B32" s="287"/>
      <c r="C32" s="70"/>
      <c r="D32" s="70"/>
      <c r="E32" s="71"/>
      <c r="F32" s="72"/>
      <c r="G32" s="10">
        <f t="shared" si="0"/>
        <v>0</v>
      </c>
    </row>
    <row r="33" spans="2:9" x14ac:dyDescent="0.2">
      <c r="B33" s="287"/>
      <c r="C33" s="70"/>
      <c r="D33" s="70"/>
      <c r="E33" s="71"/>
      <c r="F33" s="72"/>
      <c r="G33" s="10">
        <f t="shared" si="0"/>
        <v>0</v>
      </c>
    </row>
    <row r="34" spans="2:9" x14ac:dyDescent="0.2">
      <c r="B34" s="287"/>
      <c r="C34" s="70"/>
      <c r="D34" s="70"/>
      <c r="E34" s="71"/>
      <c r="F34" s="72"/>
      <c r="G34" s="10">
        <f t="shared" si="0"/>
        <v>0</v>
      </c>
    </row>
    <row r="35" spans="2:9" x14ac:dyDescent="0.2">
      <c r="B35" s="287"/>
      <c r="C35" s="70"/>
      <c r="D35" s="70"/>
      <c r="E35" s="71"/>
      <c r="F35" s="72"/>
      <c r="G35" s="10">
        <f t="shared" si="0"/>
        <v>0</v>
      </c>
      <c r="I35" s="277"/>
    </row>
    <row r="36" spans="2:9" x14ac:dyDescent="0.2">
      <c r="B36" s="287"/>
      <c r="C36" s="70"/>
      <c r="D36" s="70"/>
      <c r="E36" s="71"/>
      <c r="F36" s="72"/>
      <c r="G36" s="10">
        <f t="shared" si="0"/>
        <v>0</v>
      </c>
      <c r="I36" s="277"/>
    </row>
    <row r="37" spans="2:9" x14ac:dyDescent="0.2">
      <c r="B37" s="287"/>
      <c r="C37" s="70"/>
      <c r="D37" s="70"/>
      <c r="E37" s="71"/>
      <c r="F37" s="72"/>
      <c r="G37" s="10">
        <f t="shared" si="0"/>
        <v>0</v>
      </c>
      <c r="H37" s="277"/>
      <c r="I37" s="277"/>
    </row>
    <row r="38" spans="2:9" x14ac:dyDescent="0.2">
      <c r="B38" s="287"/>
      <c r="C38" s="70"/>
      <c r="D38" s="70"/>
      <c r="E38" s="71"/>
      <c r="F38" s="72"/>
      <c r="G38" s="10">
        <f t="shared" si="0"/>
        <v>0</v>
      </c>
      <c r="H38" s="277"/>
      <c r="I38" s="277"/>
    </row>
    <row r="39" spans="2:9" x14ac:dyDescent="0.2">
      <c r="B39" s="287"/>
      <c r="C39" s="70"/>
      <c r="D39" s="70"/>
      <c r="E39" s="71"/>
      <c r="F39" s="72"/>
      <c r="G39" s="10">
        <f t="shared" si="0"/>
        <v>0</v>
      </c>
      <c r="H39" s="277"/>
      <c r="I39" s="277"/>
    </row>
    <row r="40" spans="2:9" x14ac:dyDescent="0.2">
      <c r="B40" s="287"/>
      <c r="C40" s="70"/>
      <c r="D40" s="70"/>
      <c r="E40" s="71"/>
      <c r="F40" s="72"/>
      <c r="G40" s="10">
        <f t="shared" si="0"/>
        <v>0</v>
      </c>
      <c r="H40" s="277"/>
      <c r="I40" s="277"/>
    </row>
    <row r="41" spans="2:9" x14ac:dyDescent="0.2">
      <c r="B41" s="287"/>
      <c r="C41" s="70"/>
      <c r="D41" s="70"/>
      <c r="E41" s="71"/>
      <c r="F41" s="72"/>
      <c r="G41" s="10">
        <f t="shared" si="0"/>
        <v>0</v>
      </c>
      <c r="H41" s="277"/>
    </row>
    <row r="42" spans="2:9" x14ac:dyDescent="0.2">
      <c r="B42" s="287"/>
      <c r="C42" s="70"/>
      <c r="D42" s="70"/>
      <c r="E42" s="71"/>
      <c r="F42" s="72"/>
      <c r="G42" s="10">
        <f t="shared" si="0"/>
        <v>0</v>
      </c>
      <c r="H42" s="277"/>
    </row>
    <row r="43" spans="2:9" x14ac:dyDescent="0.2">
      <c r="B43" s="287"/>
      <c r="C43" s="70"/>
      <c r="D43" s="70"/>
      <c r="E43" s="71"/>
      <c r="F43" s="72"/>
      <c r="G43" s="10">
        <f t="shared" si="0"/>
        <v>0</v>
      </c>
    </row>
    <row r="44" spans="2:9" x14ac:dyDescent="0.2">
      <c r="B44" s="287"/>
      <c r="C44" s="70"/>
      <c r="D44" s="70"/>
      <c r="E44" s="71"/>
      <c r="F44" s="72"/>
      <c r="G44" s="10">
        <f t="shared" si="0"/>
        <v>0</v>
      </c>
    </row>
    <row r="45" spans="2:9" x14ac:dyDescent="0.2">
      <c r="B45" s="287"/>
      <c r="C45" s="70"/>
      <c r="D45" s="70"/>
      <c r="E45" s="71"/>
      <c r="F45" s="72"/>
      <c r="G45" s="10">
        <f t="shared" si="0"/>
        <v>0</v>
      </c>
    </row>
    <row r="46" spans="2:9" x14ac:dyDescent="0.2">
      <c r="B46" s="287"/>
      <c r="C46" s="70"/>
      <c r="D46" s="70"/>
      <c r="E46" s="71"/>
      <c r="F46" s="72"/>
      <c r="G46" s="10">
        <f>E46*F46</f>
        <v>0</v>
      </c>
    </row>
    <row r="47" spans="2:9" x14ac:dyDescent="0.2">
      <c r="B47" s="278" t="s">
        <v>18</v>
      </c>
      <c r="C47" s="441"/>
      <c r="D47" s="442"/>
      <c r="E47" s="10">
        <f>SUM(E15:E46)</f>
        <v>587893005.52964342</v>
      </c>
      <c r="F47" s="12"/>
      <c r="G47" s="10">
        <f>SUM(G15:G46)</f>
        <v>6535859.7476183642</v>
      </c>
    </row>
  </sheetData>
  <sheetProtection sheet="1" insertRows="0" deleteRows="0"/>
  <mergeCells count="2">
    <mergeCell ref="C47:D47"/>
    <mergeCell ref="B6:D8"/>
  </mergeCells>
  <dataValidations disablePrompts="1" count="1">
    <dataValidation type="list" allowBlank="1" showInputMessage="1" showErrorMessage="1" sqref="D15:D46" xr:uid="{8E36EDEE-AA80-42A8-83D6-1D0F97360410}">
      <formula1>rSharedAssets</formula1>
    </dataValidation>
  </dataValidations>
  <pageMargins left="0.75" right="0.75" top="1" bottom="1" header="0.5" footer="0.5"/>
  <pageSetup paperSize="9" scale="30" orientation="landscape" r:id="rId1"/>
  <headerFooter alignWithMargins="0">
    <oddFooter>&amp;C_x000D_&amp;1#&amp;"Calibri"&amp;10&amp;K008000 APA-INTERNAL</oddFooter>
  </headerFooter>
  <drawing r:id="rId2"/>
  <legacy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B83D74-5775-4EDC-B3BC-31B6DA128F7F}">
  <sheetPr>
    <tabColor theme="9" tint="0.79998168889431442"/>
  </sheetPr>
  <dimension ref="A1"/>
  <sheetViews>
    <sheetView showGridLines="0" workbookViewId="0"/>
  </sheetViews>
  <sheetFormatPr defaultRowHeight="12.75" x14ac:dyDescent="0.2"/>
  <sheetData/>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78F649-ED1C-4B3F-91BF-E8EF342FFB3B}">
  <sheetPr codeName="Sheet16">
    <tabColor rgb="FF17415D"/>
  </sheetPr>
  <dimension ref="B1:BJ50"/>
  <sheetViews>
    <sheetView showGridLines="0" zoomScaleNormal="100" workbookViewId="0"/>
  </sheetViews>
  <sheetFormatPr defaultColWidth="8.5703125" defaultRowHeight="12.75" x14ac:dyDescent="0.2"/>
  <cols>
    <col min="1" max="1" width="11.42578125" customWidth="1"/>
    <col min="2" max="2" width="22.42578125" customWidth="1"/>
    <col min="3" max="3" width="47.5703125" customWidth="1"/>
    <col min="4" max="4" width="50.5703125" customWidth="1"/>
    <col min="5" max="5" width="23.5703125" customWidth="1"/>
    <col min="6" max="9" width="11.140625" bestFit="1" customWidth="1"/>
    <col min="10" max="12" width="12.140625" bestFit="1" customWidth="1"/>
    <col min="13" max="13" width="11.85546875" bestFit="1" customWidth="1"/>
    <col min="14" max="22" width="11.140625" bestFit="1" customWidth="1"/>
    <col min="29" max="29" width="9.42578125" customWidth="1"/>
    <col min="46" max="46" width="9.42578125" customWidth="1"/>
    <col min="61" max="61" width="13.5703125" customWidth="1"/>
  </cols>
  <sheetData>
    <row r="1" spans="2:61" ht="20.25" customHeight="1" x14ac:dyDescent="0.2">
      <c r="B1" s="135" t="s">
        <v>302</v>
      </c>
      <c r="C1" s="135"/>
    </row>
    <row r="2" spans="2:61" ht="20.25" x14ac:dyDescent="0.2">
      <c r="B2" s="135" t="str">
        <f>IF(Tradingname=0," ",Tradingname)</f>
        <v>APA Pipelines Investments (BWP) Pty Limited</v>
      </c>
      <c r="C2" s="135"/>
    </row>
    <row r="3" spans="2:61" ht="19.5" customHeight="1" x14ac:dyDescent="0.3">
      <c r="B3" s="135" t="s">
        <v>109</v>
      </c>
      <c r="C3" s="99">
        <f>IF(Yearending=0, "01/01/2000", Yearending)</f>
        <v>45838</v>
      </c>
    </row>
    <row r="4" spans="2:61" ht="20.25" x14ac:dyDescent="0.2">
      <c r="B4" s="91" t="s">
        <v>303</v>
      </c>
      <c r="C4" s="91"/>
    </row>
    <row r="6" spans="2:61" ht="15.75" customHeight="1" x14ac:dyDescent="0.2">
      <c r="B6" s="434" t="s">
        <v>470</v>
      </c>
      <c r="C6" s="434"/>
      <c r="D6" s="434"/>
    </row>
    <row r="7" spans="2:61" ht="15.75" customHeight="1" x14ac:dyDescent="0.2">
      <c r="B7" s="434"/>
      <c r="C7" s="434"/>
      <c r="D7" s="434"/>
    </row>
    <row r="9" spans="2:61" ht="15.75" x14ac:dyDescent="0.25">
      <c r="B9" s="196" t="s">
        <v>439</v>
      </c>
    </row>
    <row r="11" spans="2:61" ht="45" customHeight="1" x14ac:dyDescent="0.2">
      <c r="B11" s="50" t="s">
        <v>307</v>
      </c>
      <c r="C11" s="445" t="s">
        <v>59</v>
      </c>
      <c r="D11" s="446"/>
      <c r="E11" s="220" t="s">
        <v>18</v>
      </c>
      <c r="F11" s="443" t="s">
        <v>58</v>
      </c>
      <c r="G11" s="444"/>
      <c r="H11" s="444"/>
      <c r="I11" s="444"/>
      <c r="J11" s="444"/>
      <c r="K11" s="444"/>
      <c r="L11" s="444"/>
      <c r="M11" s="444"/>
      <c r="N11" s="444"/>
      <c r="O11" s="444"/>
      <c r="P11" s="444"/>
      <c r="Q11" s="444"/>
      <c r="R11" s="444"/>
      <c r="S11" s="444"/>
      <c r="T11" s="444"/>
      <c r="U11" s="444"/>
      <c r="V11" s="444"/>
      <c r="W11" s="444"/>
      <c r="X11" s="444"/>
      <c r="Y11" s="444"/>
      <c r="Z11" s="444"/>
      <c r="AA11" s="444"/>
      <c r="AB11" s="444"/>
      <c r="AC11" s="444"/>
      <c r="AD11" s="444"/>
      <c r="AE11" s="444"/>
      <c r="AF11" s="444"/>
      <c r="AG11" s="444"/>
      <c r="AH11" s="444"/>
      <c r="AI11" s="444"/>
      <c r="AJ11" s="444"/>
      <c r="AK11" s="444"/>
      <c r="AL11" s="444"/>
      <c r="AM11" s="444"/>
      <c r="AN11" s="444"/>
      <c r="AO11" s="444"/>
      <c r="AP11" s="444"/>
      <c r="AQ11" s="444"/>
      <c r="AR11" s="444"/>
      <c r="AS11" s="444"/>
      <c r="AT11" s="444"/>
      <c r="AU11" s="444"/>
      <c r="AV11" s="444"/>
      <c r="AW11" s="444"/>
      <c r="AX11" s="444"/>
      <c r="AY11" s="444"/>
      <c r="AZ11" s="444"/>
      <c r="BA11" s="444"/>
      <c r="BB11" s="444"/>
      <c r="BC11" s="444"/>
      <c r="BD11" s="444"/>
      <c r="BE11" s="444"/>
      <c r="BF11" s="444"/>
      <c r="BG11" s="444"/>
      <c r="BH11" s="444"/>
      <c r="BI11" s="221" t="s">
        <v>119</v>
      </c>
    </row>
    <row r="12" spans="2:61" x14ac:dyDescent="0.2">
      <c r="B12" s="295"/>
      <c r="C12" s="53"/>
      <c r="D12" s="53"/>
      <c r="E12" s="53"/>
      <c r="F12" s="55" t="str">
        <f>RIGHT(TEXT(C43,"dd/mm/yyyy"),4)</f>
        <v>2009</v>
      </c>
      <c r="G12" s="56">
        <f>F12+1</f>
        <v>2010</v>
      </c>
      <c r="H12" s="56">
        <f t="shared" ref="H12:BG12" si="0">G12+1</f>
        <v>2011</v>
      </c>
      <c r="I12" s="56">
        <f t="shared" si="0"/>
        <v>2012</v>
      </c>
      <c r="J12" s="56">
        <f t="shared" si="0"/>
        <v>2013</v>
      </c>
      <c r="K12" s="56">
        <f t="shared" si="0"/>
        <v>2014</v>
      </c>
      <c r="L12" s="56">
        <f t="shared" si="0"/>
        <v>2015</v>
      </c>
      <c r="M12" s="56">
        <f t="shared" si="0"/>
        <v>2016</v>
      </c>
      <c r="N12" s="56">
        <f t="shared" si="0"/>
        <v>2017</v>
      </c>
      <c r="O12" s="56">
        <f t="shared" si="0"/>
        <v>2018</v>
      </c>
      <c r="P12" s="56">
        <f t="shared" si="0"/>
        <v>2019</v>
      </c>
      <c r="Q12" s="56">
        <f t="shared" si="0"/>
        <v>2020</v>
      </c>
      <c r="R12" s="56">
        <f t="shared" si="0"/>
        <v>2021</v>
      </c>
      <c r="S12" s="56">
        <f t="shared" si="0"/>
        <v>2022</v>
      </c>
      <c r="T12" s="56">
        <f t="shared" si="0"/>
        <v>2023</v>
      </c>
      <c r="U12" s="56">
        <f t="shared" si="0"/>
        <v>2024</v>
      </c>
      <c r="V12" s="56">
        <f t="shared" si="0"/>
        <v>2025</v>
      </c>
      <c r="W12" s="56">
        <f t="shared" si="0"/>
        <v>2026</v>
      </c>
      <c r="X12" s="56">
        <f t="shared" si="0"/>
        <v>2027</v>
      </c>
      <c r="Y12" s="56">
        <f t="shared" si="0"/>
        <v>2028</v>
      </c>
      <c r="Z12" s="56">
        <f t="shared" si="0"/>
        <v>2029</v>
      </c>
      <c r="AA12" s="56">
        <f t="shared" si="0"/>
        <v>2030</v>
      </c>
      <c r="AB12" s="56">
        <f t="shared" si="0"/>
        <v>2031</v>
      </c>
      <c r="AC12" s="56">
        <f t="shared" si="0"/>
        <v>2032</v>
      </c>
      <c r="AD12" s="56">
        <f t="shared" si="0"/>
        <v>2033</v>
      </c>
      <c r="AE12" s="56">
        <f t="shared" si="0"/>
        <v>2034</v>
      </c>
      <c r="AF12" s="56">
        <f t="shared" si="0"/>
        <v>2035</v>
      </c>
      <c r="AG12" s="56">
        <f t="shared" si="0"/>
        <v>2036</v>
      </c>
      <c r="AH12" s="56">
        <f t="shared" si="0"/>
        <v>2037</v>
      </c>
      <c r="AI12" s="56">
        <f t="shared" si="0"/>
        <v>2038</v>
      </c>
      <c r="AJ12" s="56">
        <f t="shared" si="0"/>
        <v>2039</v>
      </c>
      <c r="AK12" s="56">
        <f t="shared" si="0"/>
        <v>2040</v>
      </c>
      <c r="AL12" s="56">
        <f t="shared" si="0"/>
        <v>2041</v>
      </c>
      <c r="AM12" s="56">
        <f t="shared" si="0"/>
        <v>2042</v>
      </c>
      <c r="AN12" s="56">
        <f t="shared" si="0"/>
        <v>2043</v>
      </c>
      <c r="AO12" s="56">
        <f t="shared" si="0"/>
        <v>2044</v>
      </c>
      <c r="AP12" s="56">
        <f t="shared" si="0"/>
        <v>2045</v>
      </c>
      <c r="AQ12" s="56">
        <f t="shared" si="0"/>
        <v>2046</v>
      </c>
      <c r="AR12" s="56">
        <f t="shared" si="0"/>
        <v>2047</v>
      </c>
      <c r="AS12" s="56">
        <f t="shared" si="0"/>
        <v>2048</v>
      </c>
      <c r="AT12" s="56">
        <f t="shared" si="0"/>
        <v>2049</v>
      </c>
      <c r="AU12" s="56">
        <f t="shared" si="0"/>
        <v>2050</v>
      </c>
      <c r="AV12" s="56">
        <f t="shared" si="0"/>
        <v>2051</v>
      </c>
      <c r="AW12" s="56">
        <f t="shared" si="0"/>
        <v>2052</v>
      </c>
      <c r="AX12" s="56">
        <f t="shared" si="0"/>
        <v>2053</v>
      </c>
      <c r="AY12" s="56">
        <f t="shared" si="0"/>
        <v>2054</v>
      </c>
      <c r="AZ12" s="56">
        <f t="shared" si="0"/>
        <v>2055</v>
      </c>
      <c r="BA12" s="56">
        <f t="shared" si="0"/>
        <v>2056</v>
      </c>
      <c r="BB12" s="56">
        <f t="shared" si="0"/>
        <v>2057</v>
      </c>
      <c r="BC12" s="56">
        <f t="shared" si="0"/>
        <v>2058</v>
      </c>
      <c r="BD12" s="56">
        <f t="shared" si="0"/>
        <v>2059</v>
      </c>
      <c r="BE12" s="56">
        <f t="shared" si="0"/>
        <v>2060</v>
      </c>
      <c r="BF12" s="56">
        <f t="shared" si="0"/>
        <v>2061</v>
      </c>
      <c r="BG12" s="56">
        <f t="shared" si="0"/>
        <v>2062</v>
      </c>
      <c r="BH12" s="56">
        <f>BG12+1</f>
        <v>2063</v>
      </c>
    </row>
    <row r="13" spans="2:61" x14ac:dyDescent="0.2">
      <c r="B13" s="351" t="s">
        <v>561</v>
      </c>
      <c r="C13" s="57" t="s">
        <v>46</v>
      </c>
      <c r="D13" s="58"/>
      <c r="E13" s="10"/>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row>
    <row r="14" spans="2:61" x14ac:dyDescent="0.2">
      <c r="B14" s="296"/>
      <c r="C14" s="57"/>
      <c r="D14" s="58" t="s">
        <v>51</v>
      </c>
      <c r="E14" s="10">
        <f t="shared" ref="E14:E20" si="1">SUM(F14:BH14)</f>
        <v>83155104.297044858</v>
      </c>
      <c r="F14" s="66">
        <v>83155104.297044858</v>
      </c>
      <c r="G14" s="66">
        <v>0</v>
      </c>
      <c r="H14" s="66">
        <v>0</v>
      </c>
      <c r="I14" s="66">
        <v>0</v>
      </c>
      <c r="J14" s="66">
        <v>0</v>
      </c>
      <c r="K14" s="66">
        <v>0</v>
      </c>
      <c r="L14" s="66">
        <v>0</v>
      </c>
      <c r="M14" s="66">
        <v>0</v>
      </c>
      <c r="N14" s="66">
        <v>0</v>
      </c>
      <c r="O14" s="66">
        <v>0</v>
      </c>
      <c r="P14" s="66">
        <v>0</v>
      </c>
      <c r="Q14" s="66">
        <v>0</v>
      </c>
      <c r="R14" s="66">
        <v>0</v>
      </c>
      <c r="S14" s="66">
        <v>0</v>
      </c>
      <c r="T14" s="66">
        <v>0</v>
      </c>
      <c r="U14" s="66">
        <v>0</v>
      </c>
      <c r="V14" s="66">
        <v>0</v>
      </c>
      <c r="W14" s="66"/>
      <c r="X14" s="66"/>
      <c r="Y14" s="66"/>
      <c r="Z14" s="66"/>
      <c r="AA14" s="66"/>
      <c r="AB14" s="66"/>
      <c r="AC14" s="66"/>
      <c r="AD14" s="66"/>
      <c r="AE14" s="66"/>
      <c r="AF14" s="66"/>
      <c r="AG14" s="66"/>
      <c r="AH14" s="66"/>
      <c r="AI14" s="66"/>
      <c r="AJ14" s="66"/>
      <c r="AK14" s="66"/>
      <c r="AL14" s="66"/>
      <c r="AM14" s="66"/>
      <c r="AN14" s="66"/>
      <c r="AO14" s="66"/>
      <c r="AP14" s="66"/>
      <c r="AQ14" s="66"/>
      <c r="AR14" s="66"/>
      <c r="AS14" s="66"/>
      <c r="AT14" s="66"/>
      <c r="AU14" s="66"/>
      <c r="AV14" s="66"/>
      <c r="AW14" s="66"/>
      <c r="AX14" s="66"/>
      <c r="AY14" s="66"/>
      <c r="AZ14" s="66"/>
      <c r="BA14" s="66"/>
      <c r="BB14" s="66"/>
      <c r="BC14" s="66"/>
      <c r="BD14" s="66"/>
      <c r="BE14" s="66"/>
      <c r="BF14" s="66"/>
      <c r="BG14" s="66"/>
      <c r="BH14" s="66"/>
    </row>
    <row r="15" spans="2:61" x14ac:dyDescent="0.2">
      <c r="B15" s="296"/>
      <c r="C15" s="57"/>
      <c r="D15" s="58" t="s">
        <v>458</v>
      </c>
      <c r="E15" s="10">
        <f t="shared" si="1"/>
        <v>2558487.2235307656</v>
      </c>
      <c r="F15" s="66">
        <v>321949.89561586641</v>
      </c>
      <c r="G15" s="66">
        <v>10050.104384133592</v>
      </c>
      <c r="H15" s="66">
        <v>8299.9999999999418</v>
      </c>
      <c r="I15" s="66">
        <v>8507.5000000000582</v>
      </c>
      <c r="J15" s="66">
        <v>8720.1874999999418</v>
      </c>
      <c r="K15" s="66">
        <v>8938.1921874999534</v>
      </c>
      <c r="L15" s="66">
        <v>9161.6469921874814</v>
      </c>
      <c r="M15" s="66">
        <v>9390.6881669921568</v>
      </c>
      <c r="N15" s="66">
        <v>9625.4553711669869</v>
      </c>
      <c r="O15" s="66">
        <v>9866.091755446163</v>
      </c>
      <c r="P15" s="66">
        <v>10112.744049332221</v>
      </c>
      <c r="Q15" s="66">
        <v>10365.56265056564</v>
      </c>
      <c r="R15" s="66">
        <v>10624.70171682979</v>
      </c>
      <c r="S15" s="66">
        <v>26767.451379184728</v>
      </c>
      <c r="T15" s="66">
        <v>27867.483627644426</v>
      </c>
      <c r="U15" s="66">
        <v>2015878.1000094337</v>
      </c>
      <c r="V15" s="66">
        <v>52361.418124482501</v>
      </c>
      <c r="W15" s="66"/>
      <c r="X15" s="66"/>
      <c r="Y15" s="66"/>
      <c r="Z15" s="66"/>
      <c r="AA15" s="66"/>
      <c r="AB15" s="66"/>
      <c r="AC15" s="66"/>
      <c r="AD15" s="66"/>
      <c r="AE15" s="66"/>
      <c r="AF15" s="66"/>
      <c r="AG15" s="66"/>
      <c r="AH15" s="66"/>
      <c r="AI15" s="66"/>
      <c r="AJ15" s="66"/>
      <c r="AK15" s="66"/>
      <c r="AL15" s="66"/>
      <c r="AM15" s="66"/>
      <c r="AN15" s="66"/>
      <c r="AO15" s="66"/>
      <c r="AP15" s="66"/>
      <c r="AQ15" s="66"/>
      <c r="AR15" s="66"/>
      <c r="AS15" s="66"/>
      <c r="AT15" s="66"/>
      <c r="AU15" s="66"/>
      <c r="AV15" s="66"/>
      <c r="AW15" s="66"/>
      <c r="AX15" s="66"/>
      <c r="AY15" s="66"/>
      <c r="AZ15" s="66"/>
      <c r="BA15" s="66"/>
      <c r="BB15" s="66"/>
      <c r="BC15" s="66"/>
      <c r="BD15" s="66"/>
      <c r="BE15" s="66"/>
      <c r="BF15" s="66"/>
      <c r="BG15" s="66"/>
      <c r="BH15" s="66"/>
    </row>
    <row r="16" spans="2:61" x14ac:dyDescent="0.2">
      <c r="B16" s="296"/>
      <c r="C16" s="57"/>
      <c r="D16" s="58" t="s">
        <v>52</v>
      </c>
      <c r="E16" s="10">
        <f t="shared" si="1"/>
        <v>4807461.4484845446</v>
      </c>
      <c r="F16" s="66">
        <v>0</v>
      </c>
      <c r="G16" s="66">
        <v>102355.02886585217</v>
      </c>
      <c r="H16" s="66">
        <v>0</v>
      </c>
      <c r="I16" s="66">
        <v>3997199.4627947751</v>
      </c>
      <c r="J16" s="66">
        <v>3830.0590035548439</v>
      </c>
      <c r="K16" s="66">
        <v>18612.404158488167</v>
      </c>
      <c r="L16" s="66">
        <v>2599.7978463461945</v>
      </c>
      <c r="M16" s="66">
        <v>77875.814230805452</v>
      </c>
      <c r="N16" s="66">
        <v>277187.65324408445</v>
      </c>
      <c r="O16" s="66">
        <v>103875.88440283433</v>
      </c>
      <c r="P16" s="66">
        <v>74474.412799360551</v>
      </c>
      <c r="Q16" s="66">
        <v>149115.11762128302</v>
      </c>
      <c r="R16" s="66">
        <v>0</v>
      </c>
      <c r="S16" s="66">
        <v>0</v>
      </c>
      <c r="T16" s="66">
        <v>335.81351716029616</v>
      </c>
      <c r="U16" s="66">
        <v>0</v>
      </c>
      <c r="V16" s="66">
        <v>0</v>
      </c>
      <c r="W16" s="66"/>
      <c r="X16" s="66"/>
      <c r="Y16" s="66"/>
      <c r="Z16" s="66"/>
      <c r="AA16" s="66"/>
      <c r="AB16" s="66"/>
      <c r="AC16" s="66"/>
      <c r="AD16" s="66"/>
      <c r="AE16" s="66"/>
      <c r="AF16" s="66"/>
      <c r="AG16" s="66"/>
      <c r="AH16" s="66"/>
      <c r="AI16" s="66"/>
      <c r="AJ16" s="66"/>
      <c r="AK16" s="66"/>
      <c r="AL16" s="66"/>
      <c r="AM16" s="66"/>
      <c r="AN16" s="66"/>
      <c r="AO16" s="66"/>
      <c r="AP16" s="66"/>
      <c r="AQ16" s="66"/>
      <c r="AR16" s="66"/>
      <c r="AS16" s="66"/>
      <c r="AT16" s="66"/>
      <c r="AU16" s="66"/>
      <c r="AV16" s="66"/>
      <c r="AW16" s="66"/>
      <c r="AX16" s="66"/>
      <c r="AY16" s="66"/>
      <c r="AZ16" s="66"/>
      <c r="BA16" s="66"/>
      <c r="BB16" s="66"/>
      <c r="BC16" s="66"/>
      <c r="BD16" s="66"/>
      <c r="BE16" s="66"/>
      <c r="BF16" s="66"/>
      <c r="BG16" s="66"/>
      <c r="BH16" s="66"/>
    </row>
    <row r="17" spans="2:62" x14ac:dyDescent="0.2">
      <c r="B17" s="296"/>
      <c r="C17" s="57"/>
      <c r="D17" s="58" t="s">
        <v>72</v>
      </c>
      <c r="E17" s="10">
        <f t="shared" si="1"/>
        <v>463991.3009618065</v>
      </c>
      <c r="F17" s="66">
        <v>0</v>
      </c>
      <c r="G17" s="66">
        <v>0</v>
      </c>
      <c r="H17" s="66">
        <v>0</v>
      </c>
      <c r="I17" s="66">
        <v>0</v>
      </c>
      <c r="J17" s="66">
        <v>0</v>
      </c>
      <c r="K17" s="66">
        <v>0</v>
      </c>
      <c r="L17" s="66">
        <v>0</v>
      </c>
      <c r="M17" s="66">
        <v>0</v>
      </c>
      <c r="N17" s="66">
        <v>0</v>
      </c>
      <c r="O17" s="66">
        <v>0</v>
      </c>
      <c r="P17" s="66">
        <v>0</v>
      </c>
      <c r="Q17" s="66">
        <v>463991.3009618065</v>
      </c>
      <c r="R17" s="66">
        <v>0</v>
      </c>
      <c r="S17" s="66">
        <v>0</v>
      </c>
      <c r="T17" s="66">
        <v>0</v>
      </c>
      <c r="U17" s="66">
        <v>0</v>
      </c>
      <c r="V17" s="66">
        <v>0</v>
      </c>
      <c r="W17" s="66"/>
      <c r="X17" s="66"/>
      <c r="Y17" s="66"/>
      <c r="Z17" s="66"/>
      <c r="AA17" s="66"/>
      <c r="AB17" s="66"/>
      <c r="AC17" s="66"/>
      <c r="AD17" s="66"/>
      <c r="AE17" s="66"/>
      <c r="AF17" s="66"/>
      <c r="AG17" s="66"/>
      <c r="AH17" s="66"/>
      <c r="AI17" s="66"/>
      <c r="AJ17" s="66"/>
      <c r="AK17" s="66"/>
      <c r="AL17" s="66"/>
      <c r="AM17" s="66"/>
      <c r="AN17" s="66"/>
      <c r="AO17" s="66"/>
      <c r="AP17" s="66"/>
      <c r="AQ17" s="66"/>
      <c r="AR17" s="66"/>
      <c r="AS17" s="66"/>
      <c r="AT17" s="66"/>
      <c r="AU17" s="66"/>
      <c r="AV17" s="66"/>
      <c r="AW17" s="66"/>
      <c r="AX17" s="66"/>
      <c r="AY17" s="66"/>
      <c r="AZ17" s="66"/>
      <c r="BA17" s="66"/>
      <c r="BB17" s="66"/>
      <c r="BC17" s="66"/>
      <c r="BD17" s="66"/>
      <c r="BE17" s="66"/>
      <c r="BF17" s="66"/>
      <c r="BG17" s="66"/>
      <c r="BH17" s="66"/>
    </row>
    <row r="18" spans="2:62" x14ac:dyDescent="0.2">
      <c r="B18" s="296"/>
      <c r="C18" s="57"/>
      <c r="D18" s="58" t="s">
        <v>57</v>
      </c>
      <c r="E18" s="10">
        <f t="shared" si="1"/>
        <v>-316.0275337272912</v>
      </c>
      <c r="F18" s="66">
        <v>0</v>
      </c>
      <c r="G18" s="66">
        <v>0</v>
      </c>
      <c r="H18" s="66">
        <v>0</v>
      </c>
      <c r="I18" s="66">
        <v>0</v>
      </c>
      <c r="J18" s="66">
        <v>0</v>
      </c>
      <c r="K18" s="66">
        <v>0</v>
      </c>
      <c r="L18" s="66">
        <v>0</v>
      </c>
      <c r="M18" s="66">
        <v>0</v>
      </c>
      <c r="N18" s="66">
        <v>0</v>
      </c>
      <c r="O18" s="66">
        <v>0</v>
      </c>
      <c r="P18" s="66">
        <v>0</v>
      </c>
      <c r="Q18" s="66">
        <v>0</v>
      </c>
      <c r="R18" s="66">
        <v>0</v>
      </c>
      <c r="S18" s="66">
        <v>0</v>
      </c>
      <c r="T18" s="66">
        <v>0</v>
      </c>
      <c r="U18" s="66">
        <v>-316.0275337272912</v>
      </c>
      <c r="V18" s="66">
        <v>0</v>
      </c>
      <c r="W18" s="66"/>
      <c r="X18" s="66"/>
      <c r="Y18" s="66"/>
      <c r="Z18" s="66"/>
      <c r="AA18" s="66"/>
      <c r="AB18" s="66"/>
      <c r="AC18" s="66"/>
      <c r="AD18" s="66"/>
      <c r="AE18" s="66"/>
      <c r="AF18" s="66"/>
      <c r="AG18" s="66"/>
      <c r="AH18" s="66"/>
      <c r="AI18" s="66"/>
      <c r="AJ18" s="66"/>
      <c r="AK18" s="66"/>
      <c r="AL18" s="66"/>
      <c r="AM18" s="66"/>
      <c r="AN18" s="66"/>
      <c r="AO18" s="66"/>
      <c r="AP18" s="66"/>
      <c r="AQ18" s="66"/>
      <c r="AR18" s="66"/>
      <c r="AS18" s="66"/>
      <c r="AT18" s="66"/>
      <c r="AU18" s="66"/>
      <c r="AV18" s="66"/>
      <c r="AW18" s="66"/>
      <c r="AX18" s="66"/>
      <c r="AY18" s="66"/>
      <c r="AZ18" s="66"/>
      <c r="BA18" s="66"/>
      <c r="BB18" s="66"/>
      <c r="BC18" s="66"/>
      <c r="BD18" s="66"/>
      <c r="BE18" s="66"/>
      <c r="BF18" s="66"/>
      <c r="BG18" s="66"/>
      <c r="BH18" s="66"/>
    </row>
    <row r="19" spans="2:62" x14ac:dyDescent="0.2">
      <c r="B19" s="296"/>
      <c r="C19" s="57"/>
      <c r="D19" s="58" t="s">
        <v>146</v>
      </c>
      <c r="E19" s="10">
        <f t="shared" si="1"/>
        <v>0</v>
      </c>
      <c r="F19" s="66">
        <v>0</v>
      </c>
      <c r="G19" s="66">
        <v>0</v>
      </c>
      <c r="H19" s="66">
        <v>0</v>
      </c>
      <c r="I19" s="66">
        <v>0</v>
      </c>
      <c r="J19" s="66">
        <v>0</v>
      </c>
      <c r="K19" s="66">
        <v>0</v>
      </c>
      <c r="L19" s="66">
        <v>0</v>
      </c>
      <c r="M19" s="66">
        <v>0</v>
      </c>
      <c r="N19" s="66">
        <v>0</v>
      </c>
      <c r="O19" s="66">
        <v>0</v>
      </c>
      <c r="P19" s="66">
        <v>0</v>
      </c>
      <c r="Q19" s="66">
        <v>0</v>
      </c>
      <c r="R19" s="66">
        <v>0</v>
      </c>
      <c r="S19" s="66">
        <v>0</v>
      </c>
      <c r="T19" s="66">
        <v>0</v>
      </c>
      <c r="U19" s="66">
        <v>0</v>
      </c>
      <c r="V19" s="66">
        <v>0</v>
      </c>
      <c r="W19" s="66"/>
      <c r="X19" s="66"/>
      <c r="Y19" s="66"/>
      <c r="Z19" s="66"/>
      <c r="AA19" s="66"/>
      <c r="AB19" s="66"/>
      <c r="AC19" s="66"/>
      <c r="AD19" s="66"/>
      <c r="AE19" s="66"/>
      <c r="AF19" s="66"/>
      <c r="AG19" s="66"/>
      <c r="AH19" s="66"/>
      <c r="AI19" s="66"/>
      <c r="AJ19" s="66"/>
      <c r="AK19" s="66"/>
      <c r="AL19" s="66"/>
      <c r="AM19" s="66"/>
      <c r="AN19" s="66"/>
      <c r="AO19" s="66"/>
      <c r="AP19" s="66"/>
      <c r="AQ19" s="66"/>
      <c r="AR19" s="66"/>
      <c r="AS19" s="66"/>
      <c r="AT19" s="66"/>
      <c r="AU19" s="66"/>
      <c r="AV19" s="66"/>
      <c r="AW19" s="66"/>
      <c r="AX19" s="66"/>
      <c r="AY19" s="66"/>
      <c r="AZ19" s="66"/>
      <c r="BA19" s="66"/>
      <c r="BB19" s="66"/>
      <c r="BC19" s="66"/>
      <c r="BD19" s="66"/>
      <c r="BE19" s="66"/>
      <c r="BF19" s="66"/>
      <c r="BG19" s="66"/>
      <c r="BH19" s="66"/>
    </row>
    <row r="20" spans="2:62" x14ac:dyDescent="0.2">
      <c r="B20" s="296"/>
      <c r="C20" s="57"/>
      <c r="D20" s="211" t="s">
        <v>168</v>
      </c>
      <c r="E20" s="10">
        <f t="shared" si="1"/>
        <v>90984728.242488235</v>
      </c>
      <c r="F20" s="11">
        <f t="shared" ref="F20:AK20" si="2">SUM(F13:F19)</f>
        <v>83477054.192660719</v>
      </c>
      <c r="G20" s="11">
        <f t="shared" si="2"/>
        <v>112405.13324998577</v>
      </c>
      <c r="H20" s="11">
        <f t="shared" si="2"/>
        <v>8299.9999999999418</v>
      </c>
      <c r="I20" s="11">
        <f t="shared" si="2"/>
        <v>4005706.9627947751</v>
      </c>
      <c r="J20" s="11">
        <f t="shared" si="2"/>
        <v>12550.246503554787</v>
      </c>
      <c r="K20" s="11">
        <f t="shared" si="2"/>
        <v>27550.59634598812</v>
      </c>
      <c r="L20" s="11">
        <f t="shared" si="2"/>
        <v>11761.444838533676</v>
      </c>
      <c r="M20" s="11">
        <f t="shared" si="2"/>
        <v>87266.502397797609</v>
      </c>
      <c r="N20" s="11">
        <f t="shared" si="2"/>
        <v>286813.10861525143</v>
      </c>
      <c r="O20" s="11">
        <f t="shared" si="2"/>
        <v>113741.97615828049</v>
      </c>
      <c r="P20" s="11">
        <f t="shared" si="2"/>
        <v>84587.156848692772</v>
      </c>
      <c r="Q20" s="11">
        <f t="shared" si="2"/>
        <v>623471.98123365513</v>
      </c>
      <c r="R20" s="11">
        <f t="shared" si="2"/>
        <v>10624.70171682979</v>
      </c>
      <c r="S20" s="11">
        <f t="shared" si="2"/>
        <v>26767.451379184728</v>
      </c>
      <c r="T20" s="11">
        <f t="shared" si="2"/>
        <v>28203.297144804721</v>
      </c>
      <c r="U20" s="11">
        <f t="shared" si="2"/>
        <v>2015562.0724757065</v>
      </c>
      <c r="V20" s="11">
        <f t="shared" si="2"/>
        <v>52361.418124482501</v>
      </c>
      <c r="W20" s="11">
        <f t="shared" si="2"/>
        <v>0</v>
      </c>
      <c r="X20" s="11">
        <f t="shared" si="2"/>
        <v>0</v>
      </c>
      <c r="Y20" s="11">
        <f t="shared" si="2"/>
        <v>0</v>
      </c>
      <c r="Z20" s="11">
        <f t="shared" si="2"/>
        <v>0</v>
      </c>
      <c r="AA20" s="11">
        <f t="shared" si="2"/>
        <v>0</v>
      </c>
      <c r="AB20" s="11">
        <f t="shared" si="2"/>
        <v>0</v>
      </c>
      <c r="AC20" s="11">
        <f t="shared" si="2"/>
        <v>0</v>
      </c>
      <c r="AD20" s="11">
        <f t="shared" si="2"/>
        <v>0</v>
      </c>
      <c r="AE20" s="11">
        <f t="shared" si="2"/>
        <v>0</v>
      </c>
      <c r="AF20" s="11">
        <f t="shared" si="2"/>
        <v>0</v>
      </c>
      <c r="AG20" s="11">
        <f t="shared" si="2"/>
        <v>0</v>
      </c>
      <c r="AH20" s="11">
        <f t="shared" si="2"/>
        <v>0</v>
      </c>
      <c r="AI20" s="11">
        <f t="shared" si="2"/>
        <v>0</v>
      </c>
      <c r="AJ20" s="11">
        <f t="shared" si="2"/>
        <v>0</v>
      </c>
      <c r="AK20" s="11">
        <f t="shared" si="2"/>
        <v>0</v>
      </c>
      <c r="AL20" s="11">
        <f t="shared" ref="AL20:BH20" si="3">SUM(AL13:AL19)</f>
        <v>0</v>
      </c>
      <c r="AM20" s="11">
        <f t="shared" si="3"/>
        <v>0</v>
      </c>
      <c r="AN20" s="11">
        <f t="shared" si="3"/>
        <v>0</v>
      </c>
      <c r="AO20" s="11">
        <f t="shared" si="3"/>
        <v>0</v>
      </c>
      <c r="AP20" s="11">
        <f t="shared" si="3"/>
        <v>0</v>
      </c>
      <c r="AQ20" s="11">
        <f t="shared" si="3"/>
        <v>0</v>
      </c>
      <c r="AR20" s="11">
        <f t="shared" si="3"/>
        <v>0</v>
      </c>
      <c r="AS20" s="11">
        <f t="shared" si="3"/>
        <v>0</v>
      </c>
      <c r="AT20" s="11">
        <f t="shared" si="3"/>
        <v>0</v>
      </c>
      <c r="AU20" s="11">
        <f t="shared" si="3"/>
        <v>0</v>
      </c>
      <c r="AV20" s="11">
        <f t="shared" si="3"/>
        <v>0</v>
      </c>
      <c r="AW20" s="11">
        <f t="shared" si="3"/>
        <v>0</v>
      </c>
      <c r="AX20" s="11">
        <f t="shared" si="3"/>
        <v>0</v>
      </c>
      <c r="AY20" s="11">
        <f t="shared" si="3"/>
        <v>0</v>
      </c>
      <c r="AZ20" s="11">
        <f t="shared" si="3"/>
        <v>0</v>
      </c>
      <c r="BA20" s="11">
        <f t="shared" si="3"/>
        <v>0</v>
      </c>
      <c r="BB20" s="11">
        <f t="shared" si="3"/>
        <v>0</v>
      </c>
      <c r="BC20" s="11">
        <f t="shared" si="3"/>
        <v>0</v>
      </c>
      <c r="BD20" s="11">
        <f t="shared" si="3"/>
        <v>0</v>
      </c>
      <c r="BE20" s="11">
        <f t="shared" si="3"/>
        <v>0</v>
      </c>
      <c r="BF20" s="11">
        <f t="shared" si="3"/>
        <v>0</v>
      </c>
      <c r="BG20" s="11">
        <f t="shared" si="3"/>
        <v>0</v>
      </c>
      <c r="BH20" s="11">
        <f t="shared" si="3"/>
        <v>0</v>
      </c>
    </row>
    <row r="21" spans="2:62" x14ac:dyDescent="0.2">
      <c r="B21" s="296"/>
      <c r="C21" s="57" t="s">
        <v>99</v>
      </c>
      <c r="D21" s="57"/>
      <c r="E21" s="10"/>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row>
    <row r="22" spans="2:62" ht="25.5" x14ac:dyDescent="0.2">
      <c r="B22" s="296"/>
      <c r="C22" s="57"/>
      <c r="D22" s="58" t="s">
        <v>178</v>
      </c>
      <c r="E22" s="10">
        <f t="shared" ref="E22:E27" si="4">SUM(F22:BH22)</f>
        <v>0</v>
      </c>
      <c r="F22" s="66"/>
      <c r="G22" s="66"/>
      <c r="H22" s="66"/>
      <c r="I22" s="66"/>
      <c r="J22" s="66"/>
      <c r="K22" s="66"/>
      <c r="L22" s="66"/>
      <c r="M22" s="66"/>
      <c r="N22" s="66"/>
      <c r="O22" s="66"/>
      <c r="P22" s="66"/>
      <c r="Q22" s="66"/>
      <c r="R22" s="66"/>
      <c r="S22" s="66"/>
      <c r="T22" s="66"/>
      <c r="U22" s="66"/>
      <c r="V22" s="66"/>
      <c r="W22" s="66"/>
      <c r="X22" s="66"/>
      <c r="Y22" s="66"/>
      <c r="Z22" s="66"/>
      <c r="AA22" s="66"/>
      <c r="AB22" s="66"/>
      <c r="AC22" s="66"/>
      <c r="AD22" s="66"/>
      <c r="AE22" s="66"/>
      <c r="AF22" s="66"/>
      <c r="AG22" s="66"/>
      <c r="AH22" s="66"/>
      <c r="AI22" s="66"/>
      <c r="AJ22" s="66"/>
      <c r="AK22" s="66"/>
      <c r="AL22" s="66"/>
      <c r="AM22" s="66"/>
      <c r="AN22" s="66"/>
      <c r="AO22" s="66"/>
      <c r="AP22" s="66"/>
      <c r="AQ22" s="66"/>
      <c r="AR22" s="66"/>
      <c r="AS22" s="66"/>
      <c r="AT22" s="66"/>
      <c r="AU22" s="66"/>
      <c r="AV22" s="66"/>
      <c r="AW22" s="66"/>
      <c r="AX22" s="66"/>
      <c r="AY22" s="66"/>
      <c r="AZ22" s="66"/>
      <c r="BA22" s="66"/>
      <c r="BB22" s="66"/>
      <c r="BC22" s="66"/>
      <c r="BD22" s="66"/>
      <c r="BE22" s="66"/>
      <c r="BF22" s="66"/>
      <c r="BG22" s="66"/>
      <c r="BH22" s="66"/>
    </row>
    <row r="23" spans="2:62" x14ac:dyDescent="0.2">
      <c r="B23" s="296"/>
      <c r="C23" s="57"/>
      <c r="D23" s="58" t="s">
        <v>458</v>
      </c>
      <c r="E23" s="10">
        <f t="shared" si="4"/>
        <v>0</v>
      </c>
      <c r="F23" s="66"/>
      <c r="G23" s="66"/>
      <c r="H23" s="66"/>
      <c r="I23" s="66"/>
      <c r="J23" s="66"/>
      <c r="K23" s="66"/>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c r="AN23" s="66"/>
      <c r="AO23" s="66"/>
      <c r="AP23" s="66"/>
      <c r="AQ23" s="66"/>
      <c r="AR23" s="66"/>
      <c r="AS23" s="66"/>
      <c r="AT23" s="66"/>
      <c r="AU23" s="66"/>
      <c r="AV23" s="66"/>
      <c r="AW23" s="66"/>
      <c r="AX23" s="66"/>
      <c r="AY23" s="66"/>
      <c r="AZ23" s="66"/>
      <c r="BA23" s="66"/>
      <c r="BB23" s="66"/>
      <c r="BC23" s="66"/>
      <c r="BD23" s="66"/>
      <c r="BE23" s="66"/>
      <c r="BF23" s="66"/>
      <c r="BG23" s="66"/>
      <c r="BH23" s="66"/>
    </row>
    <row r="24" spans="2:62" x14ac:dyDescent="0.2">
      <c r="B24" s="296"/>
      <c r="C24" s="57"/>
      <c r="D24" s="58" t="s">
        <v>52</v>
      </c>
      <c r="E24" s="10">
        <f t="shared" si="4"/>
        <v>6814873.7320031971</v>
      </c>
      <c r="F24" s="66">
        <v>45661.861864122635</v>
      </c>
      <c r="G24" s="66">
        <v>3239.4821263160657</v>
      </c>
      <c r="H24" s="66">
        <v>83057.567652420374</v>
      </c>
      <c r="I24" s="66">
        <v>41092.340016357353</v>
      </c>
      <c r="J24" s="66">
        <v>42504.146358563085</v>
      </c>
      <c r="K24" s="66">
        <v>39668.853649060846</v>
      </c>
      <c r="L24" s="66">
        <v>711204.72911577858</v>
      </c>
      <c r="M24" s="66">
        <v>645648.84343266475</v>
      </c>
      <c r="N24" s="66">
        <v>187144.3491410909</v>
      </c>
      <c r="O24" s="66">
        <v>297569.2032892686</v>
      </c>
      <c r="P24" s="66">
        <v>466893.7579280393</v>
      </c>
      <c r="Q24" s="66">
        <v>449055.72068552702</v>
      </c>
      <c r="R24" s="66">
        <v>285706.57765271247</v>
      </c>
      <c r="S24" s="66">
        <v>1394582.9989666855</v>
      </c>
      <c r="T24" s="66">
        <v>768758.44421303412</v>
      </c>
      <c r="U24" s="66">
        <v>245426.69496673212</v>
      </c>
      <c r="V24" s="66">
        <v>1107658.1609448222</v>
      </c>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row>
    <row r="25" spans="2:62" x14ac:dyDescent="0.2">
      <c r="B25" s="296"/>
      <c r="C25" s="57"/>
      <c r="D25" s="58" t="s">
        <v>72</v>
      </c>
      <c r="E25" s="10">
        <f t="shared" si="4"/>
        <v>0</v>
      </c>
      <c r="F25" s="66">
        <v>0</v>
      </c>
      <c r="G25" s="66">
        <v>0</v>
      </c>
      <c r="H25" s="66">
        <v>0</v>
      </c>
      <c r="I25" s="66">
        <v>0</v>
      </c>
      <c r="J25" s="66">
        <v>0</v>
      </c>
      <c r="K25" s="66">
        <v>0</v>
      </c>
      <c r="L25" s="66">
        <v>0</v>
      </c>
      <c r="M25" s="66">
        <v>0</v>
      </c>
      <c r="N25" s="66">
        <v>0</v>
      </c>
      <c r="O25" s="66">
        <v>0</v>
      </c>
      <c r="P25" s="66">
        <v>0</v>
      </c>
      <c r="Q25" s="66">
        <v>0</v>
      </c>
      <c r="R25" s="66">
        <v>0</v>
      </c>
      <c r="S25" s="66">
        <v>0</v>
      </c>
      <c r="T25" s="66">
        <v>0</v>
      </c>
      <c r="U25" s="66">
        <v>0</v>
      </c>
      <c r="V25" s="66">
        <v>0</v>
      </c>
      <c r="W25" s="66"/>
      <c r="X25" s="66"/>
      <c r="Y25" s="66"/>
      <c r="Z25" s="66"/>
      <c r="AA25" s="66"/>
      <c r="AB25" s="66"/>
      <c r="AC25" s="66"/>
      <c r="AD25" s="66"/>
      <c r="AE25" s="66"/>
      <c r="AF25" s="66"/>
      <c r="AG25" s="66"/>
      <c r="AH25" s="66"/>
      <c r="AI25" s="66"/>
      <c r="AJ25" s="66"/>
      <c r="AK25" s="66"/>
      <c r="AL25" s="66"/>
      <c r="AM25" s="66"/>
      <c r="AN25" s="66"/>
      <c r="AO25" s="66"/>
      <c r="AP25" s="66"/>
      <c r="AQ25" s="66"/>
      <c r="AR25" s="66"/>
      <c r="AS25" s="66"/>
      <c r="AT25" s="66"/>
      <c r="AU25" s="66"/>
      <c r="AV25" s="66"/>
      <c r="AW25" s="66"/>
      <c r="AX25" s="66"/>
      <c r="AY25" s="66"/>
      <c r="AZ25" s="66"/>
      <c r="BA25" s="66"/>
      <c r="BB25" s="66"/>
      <c r="BC25" s="66"/>
      <c r="BD25" s="66"/>
      <c r="BE25" s="66"/>
      <c r="BF25" s="66"/>
      <c r="BG25" s="66"/>
      <c r="BH25" s="66"/>
    </row>
    <row r="26" spans="2:62" x14ac:dyDescent="0.2">
      <c r="B26" s="296"/>
      <c r="C26" s="57"/>
      <c r="D26" s="58" t="s">
        <v>57</v>
      </c>
      <c r="E26" s="10">
        <f t="shared" si="4"/>
        <v>-370571.47684747959</v>
      </c>
      <c r="F26" s="66">
        <v>0</v>
      </c>
      <c r="G26" s="66">
        <v>0</v>
      </c>
      <c r="H26" s="66">
        <v>0</v>
      </c>
      <c r="I26" s="66">
        <v>0</v>
      </c>
      <c r="J26" s="66">
        <v>0</v>
      </c>
      <c r="K26" s="66">
        <v>0</v>
      </c>
      <c r="L26" s="66">
        <v>0</v>
      </c>
      <c r="M26" s="66">
        <v>0</v>
      </c>
      <c r="N26" s="66">
        <v>0</v>
      </c>
      <c r="O26" s="66">
        <v>0</v>
      </c>
      <c r="P26" s="66">
        <v>0</v>
      </c>
      <c r="Q26" s="66">
        <v>-10036.298373858161</v>
      </c>
      <c r="R26" s="66">
        <v>-31078.07530022816</v>
      </c>
      <c r="S26" s="66">
        <v>-270665.61466704501</v>
      </c>
      <c r="T26" s="66">
        <v>-2921.5082648738626</v>
      </c>
      <c r="U26" s="66">
        <v>-40341.151923118814</v>
      </c>
      <c r="V26" s="66">
        <v>-15528.828318355545</v>
      </c>
      <c r="W26" s="66"/>
      <c r="X26" s="66"/>
      <c r="Y26" s="66"/>
      <c r="Z26" s="66"/>
      <c r="AA26" s="66"/>
      <c r="AB26" s="66"/>
      <c r="AC26" s="66"/>
      <c r="AD26" s="66"/>
      <c r="AE26" s="66"/>
      <c r="AF26" s="66"/>
      <c r="AG26" s="66"/>
      <c r="AH26" s="66"/>
      <c r="AI26" s="66"/>
      <c r="AJ26" s="66"/>
      <c r="AK26" s="66"/>
      <c r="AL26" s="66"/>
      <c r="AM26" s="66"/>
      <c r="AN26" s="66"/>
      <c r="AO26" s="66"/>
      <c r="AP26" s="66"/>
      <c r="AQ26" s="66"/>
      <c r="AR26" s="66"/>
      <c r="AS26" s="66"/>
      <c r="AT26" s="66"/>
      <c r="AU26" s="66"/>
      <c r="AV26" s="66"/>
      <c r="AW26" s="66"/>
      <c r="AX26" s="66"/>
      <c r="AY26" s="66"/>
      <c r="AZ26" s="66"/>
      <c r="BA26" s="66"/>
      <c r="BB26" s="66"/>
      <c r="BC26" s="66"/>
      <c r="BD26" s="66"/>
      <c r="BE26" s="66"/>
      <c r="BF26" s="66"/>
      <c r="BG26" s="66"/>
      <c r="BH26" s="66"/>
    </row>
    <row r="27" spans="2:62" x14ac:dyDescent="0.2">
      <c r="B27" s="296"/>
      <c r="C27" s="57"/>
      <c r="D27" s="58" t="s">
        <v>146</v>
      </c>
      <c r="E27" s="10">
        <f t="shared" si="4"/>
        <v>1098082.9942678988</v>
      </c>
      <c r="F27" s="66">
        <v>0</v>
      </c>
      <c r="G27" s="66">
        <v>0</v>
      </c>
      <c r="H27" s="66">
        <v>0</v>
      </c>
      <c r="I27" s="66">
        <v>0</v>
      </c>
      <c r="J27" s="66">
        <v>0</v>
      </c>
      <c r="K27" s="66">
        <v>0</v>
      </c>
      <c r="L27" s="66">
        <v>0</v>
      </c>
      <c r="M27" s="66">
        <v>0</v>
      </c>
      <c r="N27" s="66">
        <v>0</v>
      </c>
      <c r="O27" s="66">
        <v>0</v>
      </c>
      <c r="P27" s="66">
        <v>0</v>
      </c>
      <c r="Q27" s="66">
        <v>364082.99448010174</v>
      </c>
      <c r="R27" s="66">
        <v>90259.232391008874</v>
      </c>
      <c r="S27" s="66">
        <v>105448.48016770002</v>
      </c>
      <c r="T27" s="66">
        <v>181414.63023976324</v>
      </c>
      <c r="U27" s="66">
        <v>208196.56226412082</v>
      </c>
      <c r="V27" s="66">
        <v>148681.09472520425</v>
      </c>
      <c r="W27" s="66"/>
      <c r="X27" s="66"/>
      <c r="Y27" s="66"/>
      <c r="Z27" s="66"/>
      <c r="AA27" s="66"/>
      <c r="AB27" s="66"/>
      <c r="AC27" s="66"/>
      <c r="AD27" s="66"/>
      <c r="AE27" s="66"/>
      <c r="AF27" s="66"/>
      <c r="AG27" s="66"/>
      <c r="AH27" s="66"/>
      <c r="AI27" s="66"/>
      <c r="AJ27" s="66"/>
      <c r="AK27" s="66"/>
      <c r="AL27" s="66"/>
      <c r="AM27" s="66"/>
      <c r="AN27" s="66"/>
      <c r="AO27" s="66"/>
      <c r="AP27" s="66"/>
      <c r="AQ27" s="66"/>
      <c r="AR27" s="66"/>
      <c r="AS27" s="66"/>
      <c r="AT27" s="66"/>
      <c r="AU27" s="66"/>
      <c r="AV27" s="66"/>
      <c r="AW27" s="66"/>
      <c r="AX27" s="66"/>
      <c r="AY27" s="66"/>
      <c r="AZ27" s="66"/>
      <c r="BA27" s="66"/>
      <c r="BB27" s="66"/>
      <c r="BC27" s="66"/>
      <c r="BD27" s="66"/>
      <c r="BE27" s="66"/>
      <c r="BF27" s="66"/>
      <c r="BG27" s="66"/>
      <c r="BH27" s="66"/>
    </row>
    <row r="28" spans="2:62" x14ac:dyDescent="0.2">
      <c r="B28" s="296"/>
      <c r="C28" s="57"/>
      <c r="D28" s="211" t="s">
        <v>169</v>
      </c>
      <c r="E28" s="10">
        <f>SUM(F28:BH28)</f>
        <v>7542385.2494236138</v>
      </c>
      <c r="F28" s="11">
        <f>SUM(F22:F27)</f>
        <v>45661.861864122635</v>
      </c>
      <c r="G28" s="11">
        <f t="shared" ref="G28:BH28" si="5">SUM(G22:G27)</f>
        <v>3239.4821263160657</v>
      </c>
      <c r="H28" s="11">
        <f t="shared" si="5"/>
        <v>83057.567652420374</v>
      </c>
      <c r="I28" s="11">
        <f t="shared" si="5"/>
        <v>41092.340016357353</v>
      </c>
      <c r="J28" s="11">
        <f t="shared" si="5"/>
        <v>42504.146358563085</v>
      </c>
      <c r="K28" s="11">
        <f t="shared" si="5"/>
        <v>39668.853649060846</v>
      </c>
      <c r="L28" s="11">
        <f t="shared" si="5"/>
        <v>711204.72911577858</v>
      </c>
      <c r="M28" s="11">
        <f t="shared" si="5"/>
        <v>645648.84343266475</v>
      </c>
      <c r="N28" s="11">
        <f t="shared" si="5"/>
        <v>187144.3491410909</v>
      </c>
      <c r="O28" s="11">
        <f t="shared" si="5"/>
        <v>297569.2032892686</v>
      </c>
      <c r="P28" s="11">
        <f t="shared" si="5"/>
        <v>466893.7579280393</v>
      </c>
      <c r="Q28" s="11">
        <f t="shared" si="5"/>
        <v>803102.41679177061</v>
      </c>
      <c r="R28" s="11">
        <f t="shared" si="5"/>
        <v>344887.73474349314</v>
      </c>
      <c r="S28" s="11">
        <f t="shared" si="5"/>
        <v>1229365.8644673405</v>
      </c>
      <c r="T28" s="11">
        <f t="shared" si="5"/>
        <v>947251.56618792354</v>
      </c>
      <c r="U28" s="11">
        <f t="shared" si="5"/>
        <v>413282.10530773411</v>
      </c>
      <c r="V28" s="11">
        <f t="shared" si="5"/>
        <v>1240810.4273516708</v>
      </c>
      <c r="W28" s="11">
        <f t="shared" si="5"/>
        <v>0</v>
      </c>
      <c r="X28" s="11">
        <f t="shared" si="5"/>
        <v>0</v>
      </c>
      <c r="Y28" s="11">
        <f t="shared" si="5"/>
        <v>0</v>
      </c>
      <c r="Z28" s="11">
        <f t="shared" si="5"/>
        <v>0</v>
      </c>
      <c r="AA28" s="11">
        <f t="shared" si="5"/>
        <v>0</v>
      </c>
      <c r="AB28" s="11">
        <f t="shared" si="5"/>
        <v>0</v>
      </c>
      <c r="AC28" s="11">
        <f t="shared" si="5"/>
        <v>0</v>
      </c>
      <c r="AD28" s="11">
        <f t="shared" si="5"/>
        <v>0</v>
      </c>
      <c r="AE28" s="11">
        <f t="shared" si="5"/>
        <v>0</v>
      </c>
      <c r="AF28" s="11">
        <f t="shared" si="5"/>
        <v>0</v>
      </c>
      <c r="AG28" s="11">
        <f t="shared" si="5"/>
        <v>0</v>
      </c>
      <c r="AH28" s="11">
        <f t="shared" si="5"/>
        <v>0</v>
      </c>
      <c r="AI28" s="11">
        <f t="shared" si="5"/>
        <v>0</v>
      </c>
      <c r="AJ28" s="11">
        <f t="shared" si="5"/>
        <v>0</v>
      </c>
      <c r="AK28" s="11">
        <f t="shared" si="5"/>
        <v>0</v>
      </c>
      <c r="AL28" s="11">
        <f t="shared" si="5"/>
        <v>0</v>
      </c>
      <c r="AM28" s="11">
        <f t="shared" si="5"/>
        <v>0</v>
      </c>
      <c r="AN28" s="11">
        <f t="shared" si="5"/>
        <v>0</v>
      </c>
      <c r="AO28" s="11">
        <f t="shared" si="5"/>
        <v>0</v>
      </c>
      <c r="AP28" s="11">
        <f t="shared" si="5"/>
        <v>0</v>
      </c>
      <c r="AQ28" s="11">
        <f t="shared" si="5"/>
        <v>0</v>
      </c>
      <c r="AR28" s="11">
        <f t="shared" si="5"/>
        <v>0</v>
      </c>
      <c r="AS28" s="11">
        <f t="shared" si="5"/>
        <v>0</v>
      </c>
      <c r="AT28" s="11">
        <f t="shared" si="5"/>
        <v>0</v>
      </c>
      <c r="AU28" s="11">
        <f t="shared" si="5"/>
        <v>0</v>
      </c>
      <c r="AV28" s="11">
        <f t="shared" si="5"/>
        <v>0</v>
      </c>
      <c r="AW28" s="11">
        <f t="shared" si="5"/>
        <v>0</v>
      </c>
      <c r="AX28" s="11">
        <f t="shared" si="5"/>
        <v>0</v>
      </c>
      <c r="AY28" s="11">
        <f t="shared" si="5"/>
        <v>0</v>
      </c>
      <c r="AZ28" s="11">
        <f t="shared" si="5"/>
        <v>0</v>
      </c>
      <c r="BA28" s="11">
        <f t="shared" si="5"/>
        <v>0</v>
      </c>
      <c r="BB28" s="11">
        <f t="shared" si="5"/>
        <v>0</v>
      </c>
      <c r="BC28" s="11">
        <f t="shared" si="5"/>
        <v>0</v>
      </c>
      <c r="BD28" s="11">
        <f t="shared" si="5"/>
        <v>0</v>
      </c>
      <c r="BE28" s="11">
        <f t="shared" si="5"/>
        <v>0</v>
      </c>
      <c r="BF28" s="11">
        <f t="shared" si="5"/>
        <v>0</v>
      </c>
      <c r="BG28" s="11">
        <f t="shared" si="5"/>
        <v>0</v>
      </c>
      <c r="BH28" s="11">
        <f t="shared" si="5"/>
        <v>0</v>
      </c>
    </row>
    <row r="29" spans="2:62" x14ac:dyDescent="0.2">
      <c r="B29" s="296"/>
      <c r="C29" s="57"/>
      <c r="D29" s="57" t="s">
        <v>64</v>
      </c>
      <c r="E29" s="10">
        <f>E20+E28</f>
        <v>98527113.491911843</v>
      </c>
      <c r="F29" s="10">
        <f>F20+F28</f>
        <v>83522716.054524839</v>
      </c>
      <c r="G29" s="10">
        <f t="shared" ref="G29:AJ29" si="6">G20+G28</f>
        <v>115644.61537630184</v>
      </c>
      <c r="H29" s="10">
        <f t="shared" si="6"/>
        <v>91357.567652420315</v>
      </c>
      <c r="I29" s="10">
        <f t="shared" si="6"/>
        <v>4046799.3028111323</v>
      </c>
      <c r="J29" s="10">
        <f t="shared" si="6"/>
        <v>55054.392862117871</v>
      </c>
      <c r="K29" s="10">
        <f t="shared" si="6"/>
        <v>67219.44999504897</v>
      </c>
      <c r="L29" s="10">
        <f t="shared" si="6"/>
        <v>722966.17395431222</v>
      </c>
      <c r="M29" s="10">
        <f t="shared" si="6"/>
        <v>732915.34583046241</v>
      </c>
      <c r="N29" s="10">
        <f t="shared" si="6"/>
        <v>473957.45775634237</v>
      </c>
      <c r="O29" s="10">
        <f t="shared" si="6"/>
        <v>411311.1794475491</v>
      </c>
      <c r="P29" s="10">
        <f t="shared" si="6"/>
        <v>551480.9147767321</v>
      </c>
      <c r="Q29" s="10">
        <f t="shared" si="6"/>
        <v>1426574.3980254256</v>
      </c>
      <c r="R29" s="10">
        <f t="shared" si="6"/>
        <v>355512.43646032293</v>
      </c>
      <c r="S29" s="10">
        <f t="shared" si="6"/>
        <v>1256133.3158465251</v>
      </c>
      <c r="T29" s="10">
        <f t="shared" si="6"/>
        <v>975454.86333272827</v>
      </c>
      <c r="U29" s="10">
        <f t="shared" si="6"/>
        <v>2428844.1777834408</v>
      </c>
      <c r="V29" s="10">
        <f t="shared" si="6"/>
        <v>1293171.8454761533</v>
      </c>
      <c r="W29" s="10">
        <f t="shared" si="6"/>
        <v>0</v>
      </c>
      <c r="X29" s="10">
        <f t="shared" si="6"/>
        <v>0</v>
      </c>
      <c r="Y29" s="10">
        <f t="shared" si="6"/>
        <v>0</v>
      </c>
      <c r="Z29" s="10">
        <f t="shared" si="6"/>
        <v>0</v>
      </c>
      <c r="AA29" s="10">
        <f t="shared" si="6"/>
        <v>0</v>
      </c>
      <c r="AB29" s="10">
        <f t="shared" si="6"/>
        <v>0</v>
      </c>
      <c r="AC29" s="10">
        <f t="shared" si="6"/>
        <v>0</v>
      </c>
      <c r="AD29" s="10">
        <f t="shared" si="6"/>
        <v>0</v>
      </c>
      <c r="AE29" s="10">
        <f t="shared" si="6"/>
        <v>0</v>
      </c>
      <c r="AF29" s="10">
        <f t="shared" si="6"/>
        <v>0</v>
      </c>
      <c r="AG29" s="10">
        <f t="shared" si="6"/>
        <v>0</v>
      </c>
      <c r="AH29" s="10">
        <f t="shared" si="6"/>
        <v>0</v>
      </c>
      <c r="AI29" s="10">
        <f t="shared" si="6"/>
        <v>0</v>
      </c>
      <c r="AJ29" s="10">
        <f t="shared" si="6"/>
        <v>0</v>
      </c>
      <c r="AK29" s="10">
        <f t="shared" ref="AK29:BH29" si="7">AK20+AK28</f>
        <v>0</v>
      </c>
      <c r="AL29" s="10">
        <f t="shared" si="7"/>
        <v>0</v>
      </c>
      <c r="AM29" s="10">
        <f t="shared" si="7"/>
        <v>0</v>
      </c>
      <c r="AN29" s="10">
        <f t="shared" si="7"/>
        <v>0</v>
      </c>
      <c r="AO29" s="10">
        <f t="shared" si="7"/>
        <v>0</v>
      </c>
      <c r="AP29" s="10">
        <f t="shared" si="7"/>
        <v>0</v>
      </c>
      <c r="AQ29" s="10">
        <f t="shared" si="7"/>
        <v>0</v>
      </c>
      <c r="AR29" s="10">
        <f t="shared" si="7"/>
        <v>0</v>
      </c>
      <c r="AS29" s="10">
        <f t="shared" si="7"/>
        <v>0</v>
      </c>
      <c r="AT29" s="10">
        <f t="shared" si="7"/>
        <v>0</v>
      </c>
      <c r="AU29" s="10">
        <f t="shared" si="7"/>
        <v>0</v>
      </c>
      <c r="AV29" s="10">
        <f t="shared" si="7"/>
        <v>0</v>
      </c>
      <c r="AW29" s="10">
        <f t="shared" si="7"/>
        <v>0</v>
      </c>
      <c r="AX29" s="10">
        <f t="shared" si="7"/>
        <v>0</v>
      </c>
      <c r="AY29" s="10">
        <f t="shared" si="7"/>
        <v>0</v>
      </c>
      <c r="AZ29" s="10">
        <f t="shared" si="7"/>
        <v>0</v>
      </c>
      <c r="BA29" s="10">
        <f t="shared" si="7"/>
        <v>0</v>
      </c>
      <c r="BB29" s="10">
        <f t="shared" si="7"/>
        <v>0</v>
      </c>
      <c r="BC29" s="10">
        <f t="shared" si="7"/>
        <v>0</v>
      </c>
      <c r="BD29" s="10">
        <f t="shared" si="7"/>
        <v>0</v>
      </c>
      <c r="BE29" s="10">
        <f t="shared" si="7"/>
        <v>0</v>
      </c>
      <c r="BF29" s="10">
        <f t="shared" si="7"/>
        <v>0</v>
      </c>
      <c r="BG29" s="10">
        <f t="shared" si="7"/>
        <v>0</v>
      </c>
      <c r="BH29" s="10">
        <f t="shared" si="7"/>
        <v>0</v>
      </c>
    </row>
    <row r="30" spans="2:62" x14ac:dyDescent="0.2">
      <c r="B30" s="296"/>
      <c r="C30" s="57" t="s">
        <v>117</v>
      </c>
      <c r="D30" s="57"/>
      <c r="E30" s="10"/>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row>
    <row r="31" spans="2:62" x14ac:dyDescent="0.2">
      <c r="B31" s="296"/>
      <c r="C31" s="57"/>
      <c r="D31" s="59" t="s">
        <v>66</v>
      </c>
      <c r="E31" s="10">
        <f t="shared" ref="E31:E37" si="8">SUM(F31:BH31)</f>
        <v>229337105.24370474</v>
      </c>
      <c r="F31" s="66">
        <v>693970.02608071675</v>
      </c>
      <c r="G31" s="66">
        <v>3127817.1360981567</v>
      </c>
      <c r="H31" s="66">
        <v>3219505.4400000004</v>
      </c>
      <c r="I31" s="66">
        <v>4665207.1399999997</v>
      </c>
      <c r="J31" s="66">
        <v>6342712.54</v>
      </c>
      <c r="K31" s="66">
        <v>8507251.1100000013</v>
      </c>
      <c r="L31" s="66">
        <v>21650427.039999999</v>
      </c>
      <c r="M31" s="66">
        <v>21506040.609999999</v>
      </c>
      <c r="N31" s="66">
        <v>14811350.35</v>
      </c>
      <c r="O31" s="66">
        <v>14149446.600000003</v>
      </c>
      <c r="P31" s="66">
        <v>15231984.953333328</v>
      </c>
      <c r="Q31" s="66">
        <v>17226185.77</v>
      </c>
      <c r="R31" s="66">
        <v>17561727.760000002</v>
      </c>
      <c r="S31" s="66">
        <v>19979266.359999999</v>
      </c>
      <c r="T31" s="66">
        <v>18943537.57</v>
      </c>
      <c r="U31" s="66">
        <v>20674023.009999998</v>
      </c>
      <c r="V31" s="66">
        <v>21046651.828192521</v>
      </c>
      <c r="W31" s="66"/>
      <c r="X31" s="66"/>
      <c r="Y31" s="66"/>
      <c r="Z31" s="66"/>
      <c r="AA31" s="66"/>
      <c r="AB31" s="66"/>
      <c r="AC31" s="66"/>
      <c r="AD31" s="66"/>
      <c r="AE31" s="66"/>
      <c r="AF31" s="66"/>
      <c r="AG31" s="66"/>
      <c r="AH31" s="66"/>
      <c r="AI31" s="66"/>
      <c r="AJ31" s="66"/>
      <c r="AK31" s="66"/>
      <c r="AL31" s="66"/>
      <c r="AM31" s="66"/>
      <c r="AN31" s="66"/>
      <c r="AO31" s="66"/>
      <c r="AP31" s="66"/>
      <c r="AQ31" s="66"/>
      <c r="AR31" s="66"/>
      <c r="AS31" s="66"/>
      <c r="AT31" s="66"/>
      <c r="AU31" s="66"/>
      <c r="AV31" s="66"/>
      <c r="AW31" s="66"/>
      <c r="AX31" s="66"/>
      <c r="AY31" s="66"/>
      <c r="AZ31" s="66"/>
      <c r="BA31" s="66"/>
      <c r="BB31" s="66"/>
      <c r="BC31" s="66"/>
      <c r="BD31" s="66"/>
      <c r="BE31" s="66"/>
      <c r="BF31" s="66"/>
      <c r="BG31" s="66"/>
      <c r="BH31" s="66"/>
    </row>
    <row r="32" spans="2:62" x14ac:dyDescent="0.2">
      <c r="B32" s="296"/>
      <c r="C32" s="57"/>
      <c r="D32" s="59" t="s">
        <v>67</v>
      </c>
      <c r="E32" s="10">
        <f t="shared" si="8"/>
        <v>-35830982.880505189</v>
      </c>
      <c r="F32" s="66">
        <v>-178023</v>
      </c>
      <c r="G32" s="66">
        <v>-685407.3660334046</v>
      </c>
      <c r="H32" s="66">
        <v>-969857.03305691003</v>
      </c>
      <c r="I32" s="66">
        <v>-798965.18282676593</v>
      </c>
      <c r="J32" s="66">
        <v>-1046343.3799999999</v>
      </c>
      <c r="K32" s="66">
        <v>-1248838.8800000004</v>
      </c>
      <c r="L32" s="66">
        <v>-2567091.8899999987</v>
      </c>
      <c r="M32" s="66">
        <v>-2356039.2457315112</v>
      </c>
      <c r="N32" s="66">
        <v>-2070146.5738236541</v>
      </c>
      <c r="O32" s="66">
        <v>-1943375.7750288765</v>
      </c>
      <c r="P32" s="66">
        <v>-2926188.4757687068</v>
      </c>
      <c r="Q32" s="66">
        <v>-2349288.2260570819</v>
      </c>
      <c r="R32" s="66">
        <v>-2424144.6808961378</v>
      </c>
      <c r="S32" s="66">
        <v>-2705766.1061214814</v>
      </c>
      <c r="T32" s="66">
        <v>-3696934.4146434874</v>
      </c>
      <c r="U32" s="66">
        <v>-4020905.2693695165</v>
      </c>
      <c r="V32" s="66">
        <v>-3843667.3811476538</v>
      </c>
      <c r="W32" s="66"/>
      <c r="X32" s="66"/>
      <c r="Y32" s="66"/>
      <c r="Z32" s="66"/>
      <c r="AA32" s="66"/>
      <c r="AB32" s="66"/>
      <c r="AC32" s="66"/>
      <c r="AD32" s="66"/>
      <c r="AE32" s="66"/>
      <c r="AF32" s="66"/>
      <c r="AG32" s="66"/>
      <c r="AH32" s="66"/>
      <c r="AI32" s="66"/>
      <c r="AJ32" s="66"/>
      <c r="AK32" s="66"/>
      <c r="AL32" s="66"/>
      <c r="AM32" s="66"/>
      <c r="AN32" s="66"/>
      <c r="AO32" s="66"/>
      <c r="AP32" s="66"/>
      <c r="AQ32" s="66"/>
      <c r="AR32" s="66"/>
      <c r="AS32" s="66"/>
      <c r="AT32" s="66"/>
      <c r="AU32" s="66"/>
      <c r="AV32" s="66"/>
      <c r="AW32" s="66"/>
      <c r="AX32" s="66"/>
      <c r="AY32" s="66"/>
      <c r="AZ32" s="66"/>
      <c r="BA32" s="66"/>
      <c r="BB32" s="66"/>
      <c r="BC32" s="66"/>
      <c r="BD32" s="66"/>
      <c r="BE32" s="66"/>
      <c r="BF32" s="66"/>
      <c r="BG32" s="66"/>
      <c r="BH32" s="66"/>
      <c r="BJ32" s="6"/>
    </row>
    <row r="33" spans="2:60" x14ac:dyDescent="0.2">
      <c r="B33" s="296"/>
      <c r="C33" s="57"/>
      <c r="D33" s="59" t="s">
        <v>68</v>
      </c>
      <c r="E33" s="10">
        <f t="shared" si="8"/>
        <v>-23412850.996054403</v>
      </c>
      <c r="F33" s="66">
        <v>0</v>
      </c>
      <c r="G33" s="66">
        <v>0</v>
      </c>
      <c r="H33" s="66">
        <v>0</v>
      </c>
      <c r="I33" s="66">
        <v>0</v>
      </c>
      <c r="J33" s="66">
        <v>0</v>
      </c>
      <c r="K33" s="66">
        <v>0</v>
      </c>
      <c r="L33" s="66">
        <v>0</v>
      </c>
      <c r="M33" s="66">
        <v>-443230.47319283616</v>
      </c>
      <c r="N33" s="66">
        <v>-1721654.4835194424</v>
      </c>
      <c r="O33" s="66">
        <v>-1563521.9709503227</v>
      </c>
      <c r="P33" s="66">
        <v>-1682153.0105151755</v>
      </c>
      <c r="Q33" s="66">
        <v>-2515018.8985460452</v>
      </c>
      <c r="R33" s="66">
        <v>-2603135.8531803666</v>
      </c>
      <c r="S33" s="66">
        <v>-3363206.7145209364</v>
      </c>
      <c r="T33" s="66">
        <v>-2837242.8522446952</v>
      </c>
      <c r="U33" s="66">
        <v>-3257564.0779001559</v>
      </c>
      <c r="V33" s="66">
        <v>-3426122.6614844296</v>
      </c>
      <c r="W33" s="66"/>
      <c r="X33" s="66"/>
      <c r="Y33" s="66"/>
      <c r="Z33" s="66"/>
      <c r="AA33" s="66"/>
      <c r="AB33" s="66"/>
      <c r="AC33" s="66"/>
      <c r="AD33" s="66"/>
      <c r="AE33" s="66"/>
      <c r="AF33" s="66"/>
      <c r="AG33" s="66"/>
      <c r="AH33" s="66"/>
      <c r="AI33" s="66"/>
      <c r="AJ33" s="66"/>
      <c r="AK33" s="66"/>
      <c r="AL33" s="66"/>
      <c r="AM33" s="66"/>
      <c r="AN33" s="66"/>
      <c r="AO33" s="66"/>
      <c r="AP33" s="66"/>
      <c r="AQ33" s="66"/>
      <c r="AR33" s="66"/>
      <c r="AS33" s="66"/>
      <c r="AT33" s="66"/>
      <c r="AU33" s="66"/>
      <c r="AV33" s="66"/>
      <c r="AW33" s="66"/>
      <c r="AX33" s="66"/>
      <c r="AY33" s="66"/>
      <c r="AZ33" s="66"/>
      <c r="BA33" s="66"/>
      <c r="BB33" s="66"/>
      <c r="BC33" s="66"/>
      <c r="BD33" s="66"/>
      <c r="BE33" s="66"/>
      <c r="BF33" s="66"/>
      <c r="BG33" s="66"/>
      <c r="BH33" s="66"/>
    </row>
    <row r="34" spans="2:60" x14ac:dyDescent="0.2">
      <c r="B34" s="296"/>
      <c r="C34" s="57"/>
      <c r="D34" s="58" t="s">
        <v>147</v>
      </c>
      <c r="E34" s="10">
        <f t="shared" si="8"/>
        <v>-90335.822935958044</v>
      </c>
      <c r="F34" s="66">
        <v>0</v>
      </c>
      <c r="G34" s="66">
        <v>0</v>
      </c>
      <c r="H34" s="66">
        <v>0</v>
      </c>
      <c r="I34" s="66">
        <v>0</v>
      </c>
      <c r="J34" s="66">
        <v>0</v>
      </c>
      <c r="K34" s="66">
        <v>0</v>
      </c>
      <c r="L34" s="66">
        <v>0</v>
      </c>
      <c r="M34" s="66">
        <v>0</v>
      </c>
      <c r="N34" s="66">
        <v>0</v>
      </c>
      <c r="O34" s="66">
        <v>0</v>
      </c>
      <c r="P34" s="66">
        <v>0</v>
      </c>
      <c r="Q34" s="66">
        <v>-12528.789952982661</v>
      </c>
      <c r="R34" s="66">
        <v>-11096.857073307785</v>
      </c>
      <c r="S34" s="66">
        <v>-10056.449562991596</v>
      </c>
      <c r="T34" s="66">
        <v>-16343.209311790741</v>
      </c>
      <c r="U34" s="66">
        <v>-18825.775889273176</v>
      </c>
      <c r="V34" s="66">
        <v>-21484.741145612072</v>
      </c>
      <c r="W34" s="66"/>
      <c r="X34" s="66"/>
      <c r="Y34" s="66"/>
      <c r="Z34" s="66"/>
      <c r="AA34" s="66"/>
      <c r="AB34" s="66"/>
      <c r="AC34" s="66"/>
      <c r="AD34" s="66"/>
      <c r="AE34" s="66"/>
      <c r="AF34" s="66"/>
      <c r="AG34" s="66"/>
      <c r="AH34" s="66"/>
      <c r="AI34" s="66"/>
      <c r="AJ34" s="66"/>
      <c r="AK34" s="66"/>
      <c r="AL34" s="66"/>
      <c r="AM34" s="66"/>
      <c r="AN34" s="66"/>
      <c r="AO34" s="66"/>
      <c r="AP34" s="66"/>
      <c r="AQ34" s="66"/>
      <c r="AR34" s="66"/>
      <c r="AS34" s="66"/>
      <c r="AT34" s="66"/>
      <c r="AU34" s="66"/>
      <c r="AV34" s="66"/>
      <c r="AW34" s="66"/>
      <c r="AX34" s="66"/>
      <c r="AY34" s="66"/>
      <c r="AZ34" s="66"/>
      <c r="BA34" s="66"/>
      <c r="BB34" s="66"/>
      <c r="BC34" s="66"/>
      <c r="BD34" s="66"/>
      <c r="BE34" s="66"/>
      <c r="BF34" s="66"/>
      <c r="BG34" s="66"/>
      <c r="BH34" s="66"/>
    </row>
    <row r="35" spans="2:60" x14ac:dyDescent="0.2">
      <c r="B35" s="296"/>
      <c r="C35" s="57"/>
      <c r="D35" s="59" t="s">
        <v>100</v>
      </c>
      <c r="E35" s="10">
        <f t="shared" si="8"/>
        <v>-94722858.711411178</v>
      </c>
      <c r="F35" s="66">
        <v>0</v>
      </c>
      <c r="G35" s="66">
        <v>-7325939.56412978</v>
      </c>
      <c r="H35" s="66">
        <v>-8184711.8101419453</v>
      </c>
      <c r="I35" s="66">
        <v>-8433657.370252952</v>
      </c>
      <c r="J35" s="66">
        <v>-7899399.416980261</v>
      </c>
      <c r="K35" s="66">
        <v>-8539244.3303340655</v>
      </c>
      <c r="L35" s="66">
        <v>-8720476.8929504156</v>
      </c>
      <c r="M35" s="66">
        <v>-7252200.2196524069</v>
      </c>
      <c r="N35" s="66">
        <v>-6042993.3941764561</v>
      </c>
      <c r="O35" s="66">
        <v>-5955348.1546787638</v>
      </c>
      <c r="P35" s="66">
        <v>-5549087.770319758</v>
      </c>
      <c r="Q35" s="66">
        <v>-4500535.118183027</v>
      </c>
      <c r="R35" s="66">
        <v>-4043870.1597468508</v>
      </c>
      <c r="S35" s="66">
        <v>-3496709.6981853228</v>
      </c>
      <c r="T35" s="66">
        <v>-3357575.330121641</v>
      </c>
      <c r="U35" s="66">
        <v>-2940195.9737784555</v>
      </c>
      <c r="V35" s="66">
        <v>-2480913.5077790637</v>
      </c>
      <c r="W35" s="66"/>
      <c r="X35" s="66"/>
      <c r="Y35" s="66"/>
      <c r="Z35" s="66"/>
      <c r="AA35" s="66"/>
      <c r="AB35" s="66"/>
      <c r="AC35" s="66"/>
      <c r="AD35" s="66"/>
      <c r="AE35" s="66"/>
      <c r="AF35" s="66"/>
      <c r="AG35" s="66"/>
      <c r="AH35" s="66"/>
      <c r="AI35" s="66"/>
      <c r="AJ35" s="66"/>
      <c r="AK35" s="66"/>
      <c r="AL35" s="66"/>
      <c r="AM35" s="66"/>
      <c r="AN35" s="66"/>
      <c r="AO35" s="66"/>
      <c r="AP35" s="66"/>
      <c r="AQ35" s="66"/>
      <c r="AR35" s="66"/>
      <c r="AS35" s="66"/>
      <c r="AT35" s="66"/>
      <c r="AU35" s="66"/>
      <c r="AV35" s="66"/>
      <c r="AW35" s="66"/>
      <c r="AX35" s="66"/>
      <c r="AY35" s="66"/>
      <c r="AZ35" s="66"/>
      <c r="BA35" s="66"/>
      <c r="BB35" s="66"/>
      <c r="BC35" s="66"/>
      <c r="BD35" s="66"/>
      <c r="BE35" s="66"/>
      <c r="BF35" s="66"/>
      <c r="BG35" s="66"/>
      <c r="BH35" s="66"/>
    </row>
    <row r="36" spans="2:60" x14ac:dyDescent="0.2">
      <c r="B36" s="296"/>
      <c r="C36" s="57"/>
      <c r="D36" s="57" t="s">
        <v>101</v>
      </c>
      <c r="E36" s="10">
        <f t="shared" si="8"/>
        <v>75280076.832798004</v>
      </c>
      <c r="F36" s="11">
        <f>SUM(F31:F35)</f>
        <v>515947.02608071675</v>
      </c>
      <c r="G36" s="11">
        <f t="shared" ref="G36:AK36" si="9">SUM(G31:G35)</f>
        <v>-4883529.7940650284</v>
      </c>
      <c r="H36" s="11">
        <f t="shared" si="9"/>
        <v>-5935063.403198855</v>
      </c>
      <c r="I36" s="11">
        <f t="shared" si="9"/>
        <v>-4567415.4130797181</v>
      </c>
      <c r="J36" s="11">
        <f t="shared" si="9"/>
        <v>-2603030.2569802608</v>
      </c>
      <c r="K36" s="11">
        <f t="shared" si="9"/>
        <v>-1280832.100334065</v>
      </c>
      <c r="L36" s="11">
        <f t="shared" si="9"/>
        <v>10362858.257049583</v>
      </c>
      <c r="M36" s="11">
        <f t="shared" si="9"/>
        <v>11454570.671423245</v>
      </c>
      <c r="N36" s="11">
        <f t="shared" si="9"/>
        <v>4976555.8984804461</v>
      </c>
      <c r="O36" s="11">
        <f t="shared" si="9"/>
        <v>4687200.6993420403</v>
      </c>
      <c r="P36" s="11">
        <f t="shared" si="9"/>
        <v>5074555.696729688</v>
      </c>
      <c r="Q36" s="11">
        <f t="shared" si="9"/>
        <v>7848814.7372608623</v>
      </c>
      <c r="R36" s="11">
        <f t="shared" si="9"/>
        <v>8479480.2091033384</v>
      </c>
      <c r="S36" s="11">
        <f t="shared" si="9"/>
        <v>10403527.391609268</v>
      </c>
      <c r="T36" s="11">
        <f t="shared" si="9"/>
        <v>9035441.7636783868</v>
      </c>
      <c r="U36" s="11">
        <f t="shared" si="9"/>
        <v>10436531.913062595</v>
      </c>
      <c r="V36" s="11">
        <f t="shared" si="9"/>
        <v>11274463.536635762</v>
      </c>
      <c r="W36" s="11">
        <f t="shared" si="9"/>
        <v>0</v>
      </c>
      <c r="X36" s="11">
        <f t="shared" si="9"/>
        <v>0</v>
      </c>
      <c r="Y36" s="11">
        <f t="shared" si="9"/>
        <v>0</v>
      </c>
      <c r="Z36" s="11">
        <f t="shared" si="9"/>
        <v>0</v>
      </c>
      <c r="AA36" s="11">
        <f t="shared" si="9"/>
        <v>0</v>
      </c>
      <c r="AB36" s="11">
        <f t="shared" si="9"/>
        <v>0</v>
      </c>
      <c r="AC36" s="11">
        <f t="shared" si="9"/>
        <v>0</v>
      </c>
      <c r="AD36" s="11">
        <f t="shared" si="9"/>
        <v>0</v>
      </c>
      <c r="AE36" s="11">
        <f t="shared" si="9"/>
        <v>0</v>
      </c>
      <c r="AF36" s="11">
        <f t="shared" si="9"/>
        <v>0</v>
      </c>
      <c r="AG36" s="11">
        <f t="shared" si="9"/>
        <v>0</v>
      </c>
      <c r="AH36" s="11">
        <f t="shared" si="9"/>
        <v>0</v>
      </c>
      <c r="AI36" s="11">
        <f t="shared" si="9"/>
        <v>0</v>
      </c>
      <c r="AJ36" s="11">
        <f t="shared" si="9"/>
        <v>0</v>
      </c>
      <c r="AK36" s="11">
        <f t="shared" si="9"/>
        <v>0</v>
      </c>
      <c r="AL36" s="11">
        <f t="shared" ref="AL36:BH36" si="10">SUM(AL31:AL35)</f>
        <v>0</v>
      </c>
      <c r="AM36" s="11">
        <f t="shared" si="10"/>
        <v>0</v>
      </c>
      <c r="AN36" s="11">
        <f t="shared" si="10"/>
        <v>0</v>
      </c>
      <c r="AO36" s="11">
        <f t="shared" si="10"/>
        <v>0</v>
      </c>
      <c r="AP36" s="11">
        <f t="shared" si="10"/>
        <v>0</v>
      </c>
      <c r="AQ36" s="11">
        <f t="shared" si="10"/>
        <v>0</v>
      </c>
      <c r="AR36" s="11">
        <f t="shared" si="10"/>
        <v>0</v>
      </c>
      <c r="AS36" s="11">
        <f t="shared" si="10"/>
        <v>0</v>
      </c>
      <c r="AT36" s="11">
        <f t="shared" si="10"/>
        <v>0</v>
      </c>
      <c r="AU36" s="11">
        <f t="shared" si="10"/>
        <v>0</v>
      </c>
      <c r="AV36" s="11">
        <f t="shared" si="10"/>
        <v>0</v>
      </c>
      <c r="AW36" s="11">
        <f t="shared" si="10"/>
        <v>0</v>
      </c>
      <c r="AX36" s="11">
        <f t="shared" si="10"/>
        <v>0</v>
      </c>
      <c r="AY36" s="11">
        <f t="shared" si="10"/>
        <v>0</v>
      </c>
      <c r="AZ36" s="11">
        <f t="shared" si="10"/>
        <v>0</v>
      </c>
      <c r="BA36" s="11">
        <f t="shared" si="10"/>
        <v>0</v>
      </c>
      <c r="BB36" s="11">
        <f t="shared" si="10"/>
        <v>0</v>
      </c>
      <c r="BC36" s="11">
        <f t="shared" si="10"/>
        <v>0</v>
      </c>
      <c r="BD36" s="11">
        <f t="shared" si="10"/>
        <v>0</v>
      </c>
      <c r="BE36" s="11">
        <f t="shared" si="10"/>
        <v>0</v>
      </c>
      <c r="BF36" s="11">
        <f t="shared" si="10"/>
        <v>0</v>
      </c>
      <c r="BG36" s="11">
        <f t="shared" si="10"/>
        <v>0</v>
      </c>
      <c r="BH36" s="11">
        <f t="shared" si="10"/>
        <v>0</v>
      </c>
    </row>
    <row r="37" spans="2:60" ht="23.25" customHeight="1" x14ac:dyDescent="0.2">
      <c r="B37" s="296"/>
      <c r="C37" s="88"/>
      <c r="D37" s="82" t="s">
        <v>118</v>
      </c>
      <c r="E37" s="90">
        <f t="shared" si="8"/>
        <v>23247036.659113854</v>
      </c>
      <c r="F37" s="11">
        <f>F20+F28-F36</f>
        <v>83006769.028444126</v>
      </c>
      <c r="G37" s="11">
        <f t="shared" ref="G37:AK37" si="11">G20+G28-G36</f>
        <v>4999174.4094413305</v>
      </c>
      <c r="H37" s="11">
        <f t="shared" si="11"/>
        <v>6026420.9708512751</v>
      </c>
      <c r="I37" s="11">
        <f t="shared" si="11"/>
        <v>8614214.7158908509</v>
      </c>
      <c r="J37" s="11">
        <f t="shared" si="11"/>
        <v>2658084.6498423787</v>
      </c>
      <c r="K37" s="11">
        <f t="shared" si="11"/>
        <v>1348051.5503291141</v>
      </c>
      <c r="L37" s="11">
        <f t="shared" si="11"/>
        <v>-9639892.0830952711</v>
      </c>
      <c r="M37" s="11">
        <f t="shared" si="11"/>
        <v>-10721655.325592782</v>
      </c>
      <c r="N37" s="11">
        <f t="shared" si="11"/>
        <v>-4502598.4407241037</v>
      </c>
      <c r="O37" s="11">
        <f t="shared" si="11"/>
        <v>-4275889.5198944909</v>
      </c>
      <c r="P37" s="11">
        <f t="shared" si="11"/>
        <v>-4523074.7819529558</v>
      </c>
      <c r="Q37" s="11">
        <f t="shared" si="11"/>
        <v>-6422240.3392354362</v>
      </c>
      <c r="R37" s="11">
        <f t="shared" si="11"/>
        <v>-8123967.7726430157</v>
      </c>
      <c r="S37" s="11">
        <f t="shared" si="11"/>
        <v>-9147394.0757627431</v>
      </c>
      <c r="T37" s="11">
        <f t="shared" si="11"/>
        <v>-8059986.9003456589</v>
      </c>
      <c r="U37" s="11">
        <f t="shared" si="11"/>
        <v>-8007687.735279154</v>
      </c>
      <c r="V37" s="11">
        <f t="shared" si="11"/>
        <v>-9981291.6911596097</v>
      </c>
      <c r="W37" s="11">
        <f t="shared" si="11"/>
        <v>0</v>
      </c>
      <c r="X37" s="11">
        <f t="shared" si="11"/>
        <v>0</v>
      </c>
      <c r="Y37" s="11">
        <f t="shared" si="11"/>
        <v>0</v>
      </c>
      <c r="Z37" s="11">
        <f t="shared" si="11"/>
        <v>0</v>
      </c>
      <c r="AA37" s="11">
        <f t="shared" si="11"/>
        <v>0</v>
      </c>
      <c r="AB37" s="11">
        <f t="shared" si="11"/>
        <v>0</v>
      </c>
      <c r="AC37" s="11">
        <f t="shared" si="11"/>
        <v>0</v>
      </c>
      <c r="AD37" s="11">
        <f t="shared" si="11"/>
        <v>0</v>
      </c>
      <c r="AE37" s="11">
        <f t="shared" si="11"/>
        <v>0</v>
      </c>
      <c r="AF37" s="11">
        <f t="shared" si="11"/>
        <v>0</v>
      </c>
      <c r="AG37" s="11">
        <f t="shared" si="11"/>
        <v>0</v>
      </c>
      <c r="AH37" s="11">
        <f t="shared" si="11"/>
        <v>0</v>
      </c>
      <c r="AI37" s="11">
        <f t="shared" si="11"/>
        <v>0</v>
      </c>
      <c r="AJ37" s="11">
        <f t="shared" si="11"/>
        <v>0</v>
      </c>
      <c r="AK37" s="11">
        <f t="shared" si="11"/>
        <v>0</v>
      </c>
      <c r="AL37" s="11">
        <f t="shared" ref="AL37:BH37" si="12">AL20+AL28-AL36</f>
        <v>0</v>
      </c>
      <c r="AM37" s="11">
        <f t="shared" si="12"/>
        <v>0</v>
      </c>
      <c r="AN37" s="11">
        <f t="shared" si="12"/>
        <v>0</v>
      </c>
      <c r="AO37" s="11">
        <f t="shared" si="12"/>
        <v>0</v>
      </c>
      <c r="AP37" s="11">
        <f t="shared" si="12"/>
        <v>0</v>
      </c>
      <c r="AQ37" s="11">
        <f t="shared" si="12"/>
        <v>0</v>
      </c>
      <c r="AR37" s="11">
        <f t="shared" si="12"/>
        <v>0</v>
      </c>
      <c r="AS37" s="11">
        <f t="shared" si="12"/>
        <v>0</v>
      </c>
      <c r="AT37" s="11">
        <f t="shared" si="12"/>
        <v>0</v>
      </c>
      <c r="AU37" s="11">
        <f t="shared" si="12"/>
        <v>0</v>
      </c>
      <c r="AV37" s="11">
        <f t="shared" si="12"/>
        <v>0</v>
      </c>
      <c r="AW37" s="11">
        <f t="shared" si="12"/>
        <v>0</v>
      </c>
      <c r="AX37" s="11">
        <f t="shared" si="12"/>
        <v>0</v>
      </c>
      <c r="AY37" s="11">
        <f t="shared" si="12"/>
        <v>0</v>
      </c>
      <c r="AZ37" s="11">
        <f t="shared" si="12"/>
        <v>0</v>
      </c>
      <c r="BA37" s="11">
        <f t="shared" si="12"/>
        <v>0</v>
      </c>
      <c r="BB37" s="11">
        <f t="shared" si="12"/>
        <v>0</v>
      </c>
      <c r="BC37" s="11">
        <f t="shared" si="12"/>
        <v>0</v>
      </c>
      <c r="BD37" s="11">
        <f t="shared" si="12"/>
        <v>0</v>
      </c>
      <c r="BE37" s="11">
        <f t="shared" si="12"/>
        <v>0</v>
      </c>
      <c r="BF37" s="11">
        <f t="shared" si="12"/>
        <v>0</v>
      </c>
      <c r="BG37" s="11">
        <f t="shared" si="12"/>
        <v>0</v>
      </c>
      <c r="BH37" s="11">
        <f t="shared" si="12"/>
        <v>0</v>
      </c>
    </row>
    <row r="38" spans="2:60" x14ac:dyDescent="0.2">
      <c r="B38" s="296"/>
      <c r="C38" s="88" t="s">
        <v>171</v>
      </c>
      <c r="D38" s="60" t="s">
        <v>155</v>
      </c>
      <c r="E38" s="10"/>
      <c r="F38" s="10"/>
      <c r="G38" s="10">
        <f>F29+F38-F36</f>
        <v>83006769.028444126</v>
      </c>
      <c r="H38" s="10">
        <f t="shared" ref="H38:AL38" si="13">G29+G38-G36</f>
        <v>88005943.437885463</v>
      </c>
      <c r="I38" s="10">
        <f t="shared" si="13"/>
        <v>94032364.408736736</v>
      </c>
      <c r="J38" s="10">
        <f t="shared" si="13"/>
        <v>102646579.12462759</v>
      </c>
      <c r="K38" s="10">
        <f t="shared" si="13"/>
        <v>105304663.77446996</v>
      </c>
      <c r="L38" s="10">
        <f t="shared" si="13"/>
        <v>106652715.32479908</v>
      </c>
      <c r="M38" s="10">
        <f t="shared" si="13"/>
        <v>97012823.241703808</v>
      </c>
      <c r="N38" s="10">
        <f t="shared" si="13"/>
        <v>86291167.916111022</v>
      </c>
      <c r="O38" s="10">
        <f t="shared" si="13"/>
        <v>81788569.475386918</v>
      </c>
      <c r="P38" s="10">
        <f t="shared" si="13"/>
        <v>77512679.955492422</v>
      </c>
      <c r="Q38" s="10">
        <f t="shared" si="13"/>
        <v>72989605.17353946</v>
      </c>
      <c r="R38" s="10">
        <f t="shared" si="13"/>
        <v>66567364.83430402</v>
      </c>
      <c r="S38" s="10">
        <f t="shared" si="13"/>
        <v>58443397.061661005</v>
      </c>
      <c r="T38" s="10">
        <f t="shared" si="13"/>
        <v>49296002.985898264</v>
      </c>
      <c r="U38" s="10">
        <f t="shared" si="13"/>
        <v>41236016.085552603</v>
      </c>
      <c r="V38" s="10">
        <f t="shared" si="13"/>
        <v>33228328.350273453</v>
      </c>
      <c r="W38" s="10">
        <f t="shared" si="13"/>
        <v>23247036.659113839</v>
      </c>
      <c r="X38" s="10">
        <f t="shared" si="13"/>
        <v>23247036.659113839</v>
      </c>
      <c r="Y38" s="10">
        <f t="shared" si="13"/>
        <v>23247036.659113839</v>
      </c>
      <c r="Z38" s="10">
        <f t="shared" si="13"/>
        <v>23247036.659113839</v>
      </c>
      <c r="AA38" s="10">
        <f t="shared" si="13"/>
        <v>23247036.659113839</v>
      </c>
      <c r="AB38" s="10">
        <f t="shared" si="13"/>
        <v>23247036.659113839</v>
      </c>
      <c r="AC38" s="10">
        <f t="shared" si="13"/>
        <v>23247036.659113839</v>
      </c>
      <c r="AD38" s="10">
        <f t="shared" si="13"/>
        <v>23247036.659113839</v>
      </c>
      <c r="AE38" s="10">
        <f t="shared" si="13"/>
        <v>23247036.659113839</v>
      </c>
      <c r="AF38" s="10">
        <f t="shared" si="13"/>
        <v>23247036.659113839</v>
      </c>
      <c r="AG38" s="10">
        <f t="shared" si="13"/>
        <v>23247036.659113839</v>
      </c>
      <c r="AH38" s="10">
        <f t="shared" si="13"/>
        <v>23247036.659113839</v>
      </c>
      <c r="AI38" s="10">
        <f t="shared" si="13"/>
        <v>23247036.659113839</v>
      </c>
      <c r="AJ38" s="10">
        <f t="shared" si="13"/>
        <v>23247036.659113839</v>
      </c>
      <c r="AK38" s="10">
        <f t="shared" si="13"/>
        <v>23247036.659113839</v>
      </c>
      <c r="AL38" s="10">
        <f t="shared" si="13"/>
        <v>23247036.659113839</v>
      </c>
      <c r="AM38" s="10">
        <f t="shared" ref="AM38:BG38" si="14">AL29+AL38-AL36</f>
        <v>23247036.659113839</v>
      </c>
      <c r="AN38" s="10">
        <f t="shared" si="14"/>
        <v>23247036.659113839</v>
      </c>
      <c r="AO38" s="10">
        <f t="shared" si="14"/>
        <v>23247036.659113839</v>
      </c>
      <c r="AP38" s="10">
        <f t="shared" si="14"/>
        <v>23247036.659113839</v>
      </c>
      <c r="AQ38" s="10">
        <f t="shared" si="14"/>
        <v>23247036.659113839</v>
      </c>
      <c r="AR38" s="10">
        <f t="shared" si="14"/>
        <v>23247036.659113839</v>
      </c>
      <c r="AS38" s="10">
        <f t="shared" si="14"/>
        <v>23247036.659113839</v>
      </c>
      <c r="AT38" s="10">
        <f t="shared" si="14"/>
        <v>23247036.659113839</v>
      </c>
      <c r="AU38" s="10">
        <f t="shared" si="14"/>
        <v>23247036.659113839</v>
      </c>
      <c r="AV38" s="10">
        <f t="shared" si="14"/>
        <v>23247036.659113839</v>
      </c>
      <c r="AW38" s="10">
        <f t="shared" si="14"/>
        <v>23247036.659113839</v>
      </c>
      <c r="AX38" s="10">
        <f t="shared" si="14"/>
        <v>23247036.659113839</v>
      </c>
      <c r="AY38" s="10">
        <f t="shared" si="14"/>
        <v>23247036.659113839</v>
      </c>
      <c r="AZ38" s="10">
        <f t="shared" si="14"/>
        <v>23247036.659113839</v>
      </c>
      <c r="BA38" s="10">
        <f t="shared" si="14"/>
        <v>23247036.659113839</v>
      </c>
      <c r="BB38" s="10">
        <f t="shared" si="14"/>
        <v>23247036.659113839</v>
      </c>
      <c r="BC38" s="10">
        <f t="shared" si="14"/>
        <v>23247036.659113839</v>
      </c>
      <c r="BD38" s="10">
        <f t="shared" si="14"/>
        <v>23247036.659113839</v>
      </c>
      <c r="BE38" s="10">
        <f t="shared" si="14"/>
        <v>23247036.659113839</v>
      </c>
      <c r="BF38" s="10">
        <f t="shared" si="14"/>
        <v>23247036.659113839</v>
      </c>
      <c r="BG38" s="10">
        <f t="shared" si="14"/>
        <v>23247036.659113839</v>
      </c>
      <c r="BH38" s="10">
        <f>BG29+BG38-BG36</f>
        <v>23247036.659113839</v>
      </c>
    </row>
    <row r="39" spans="2:60" x14ac:dyDescent="0.2">
      <c r="B39" s="296"/>
      <c r="C39" s="88" t="s">
        <v>171</v>
      </c>
      <c r="D39" s="60" t="s">
        <v>172</v>
      </c>
      <c r="E39" s="10"/>
      <c r="F39" s="279"/>
      <c r="G39" s="279">
        <v>8.825713432623046E-2</v>
      </c>
      <c r="H39" s="279">
        <v>9.3001807496316549E-2</v>
      </c>
      <c r="I39" s="279">
        <v>8.9688879177745803E-2</v>
      </c>
      <c r="J39" s="279">
        <v>7.6957259407439832E-2</v>
      </c>
      <c r="K39" s="279">
        <v>8.1090846542395206E-2</v>
      </c>
      <c r="L39" s="279">
        <v>8.1765165250534566E-2</v>
      </c>
      <c r="M39" s="279">
        <v>7.4755068220041632E-2</v>
      </c>
      <c r="N39" s="279">
        <v>7.0030265438650957E-2</v>
      </c>
      <c r="O39" s="279">
        <v>7.281394200776356E-2</v>
      </c>
      <c r="P39" s="279">
        <v>7.1589419608585711E-2</v>
      </c>
      <c r="Q39" s="279">
        <v>6.1659946063313993E-2</v>
      </c>
      <c r="R39" s="279">
        <v>6.0748539014765547E-2</v>
      </c>
      <c r="S39" s="279">
        <v>5.9830705845111978E-2</v>
      </c>
      <c r="T39" s="279">
        <v>6.811049835180584E-2</v>
      </c>
      <c r="U39" s="279">
        <v>7.1301649695703184E-2</v>
      </c>
      <c r="V39" s="279">
        <v>7.466260359614646E-2</v>
      </c>
      <c r="W39" s="279"/>
      <c r="X39" s="279"/>
      <c r="Y39" s="279"/>
      <c r="Z39" s="279"/>
      <c r="AA39" s="279"/>
      <c r="AB39" s="279"/>
      <c r="AC39" s="279"/>
      <c r="AD39" s="279"/>
      <c r="AE39" s="279"/>
      <c r="AF39" s="279"/>
      <c r="AG39" s="279"/>
      <c r="AH39" s="279"/>
      <c r="AI39" s="279"/>
      <c r="AJ39" s="279"/>
      <c r="AK39" s="279"/>
      <c r="AL39" s="279"/>
      <c r="AM39" s="279"/>
      <c r="AN39" s="279"/>
      <c r="AO39" s="279"/>
      <c r="AP39" s="279"/>
      <c r="AQ39" s="279"/>
      <c r="AR39" s="279"/>
      <c r="AS39" s="279"/>
      <c r="AT39" s="279"/>
      <c r="AU39" s="279"/>
      <c r="AV39" s="279"/>
      <c r="AW39" s="279"/>
      <c r="AX39" s="279"/>
      <c r="AY39" s="279"/>
      <c r="AZ39" s="279"/>
      <c r="BA39" s="279"/>
      <c r="BB39" s="279"/>
      <c r="BC39" s="279"/>
      <c r="BD39" s="279"/>
      <c r="BE39" s="279"/>
      <c r="BF39" s="279"/>
      <c r="BG39" s="279"/>
      <c r="BH39" s="279"/>
    </row>
    <row r="40" spans="2:60" ht="29.25" customHeight="1" x14ac:dyDescent="0.2">
      <c r="D40" s="212"/>
    </row>
    <row r="41" spans="2:60" ht="15.75" x14ac:dyDescent="0.25">
      <c r="B41" s="213" t="s">
        <v>128</v>
      </c>
      <c r="C41" s="4"/>
    </row>
    <row r="42" spans="2:60" x14ac:dyDescent="0.2">
      <c r="B42" s="214"/>
      <c r="C42" s="215"/>
    </row>
    <row r="43" spans="2:60" x14ac:dyDescent="0.2">
      <c r="B43" s="22" t="s">
        <v>85</v>
      </c>
      <c r="C43" s="216">
        <f>IF( '1. Pipeline information'!C14=0, "0/01/1960", '1. Pipeline information'!C14)</f>
        <v>39871</v>
      </c>
    </row>
    <row r="48" spans="2:60" x14ac:dyDescent="0.2">
      <c r="C48" s="217"/>
    </row>
    <row r="49" spans="3:3" x14ac:dyDescent="0.2">
      <c r="C49" s="217"/>
    </row>
    <row r="50" spans="3:3" x14ac:dyDescent="0.2">
      <c r="C50" s="6"/>
    </row>
  </sheetData>
  <sheetProtection sheet="1" insertColumns="0" deleteColumns="0"/>
  <mergeCells count="3">
    <mergeCell ref="F11:BH11"/>
    <mergeCell ref="C11:D11"/>
    <mergeCell ref="B6:D7"/>
  </mergeCells>
  <conditionalFormatting sqref="F35">
    <cfRule type="cellIs" dxfId="57" priority="55" stopIfTrue="1" operator="greaterThan">
      <formula>F$31</formula>
    </cfRule>
  </conditionalFormatting>
  <conditionalFormatting sqref="G35">
    <cfRule type="cellIs" dxfId="56" priority="54" stopIfTrue="1" operator="greaterThan">
      <formula>$G$31</formula>
    </cfRule>
  </conditionalFormatting>
  <conditionalFormatting sqref="H35">
    <cfRule type="cellIs" dxfId="55" priority="53" stopIfTrue="1" operator="greaterThan">
      <formula>$H$31</formula>
    </cfRule>
  </conditionalFormatting>
  <conditionalFormatting sqref="I35">
    <cfRule type="cellIs" dxfId="54" priority="52" stopIfTrue="1" operator="greaterThan">
      <formula>$I$31</formula>
    </cfRule>
  </conditionalFormatting>
  <conditionalFormatting sqref="J35">
    <cfRule type="cellIs" dxfId="53" priority="51" stopIfTrue="1" operator="greaterThan">
      <formula>$J$31</formula>
    </cfRule>
  </conditionalFormatting>
  <conditionalFormatting sqref="K35">
    <cfRule type="cellIs" dxfId="52" priority="50" stopIfTrue="1" operator="greaterThan">
      <formula>$K$31</formula>
    </cfRule>
  </conditionalFormatting>
  <conditionalFormatting sqref="L35">
    <cfRule type="cellIs" dxfId="51" priority="49" stopIfTrue="1" operator="greaterThan">
      <formula>$L$31</formula>
    </cfRule>
  </conditionalFormatting>
  <conditionalFormatting sqref="M35">
    <cfRule type="cellIs" dxfId="50" priority="48" stopIfTrue="1" operator="greaterThan">
      <formula>$M$31</formula>
    </cfRule>
  </conditionalFormatting>
  <conditionalFormatting sqref="N35">
    <cfRule type="cellIs" dxfId="49" priority="47" stopIfTrue="1" operator="greaterThan">
      <formula>$N$31</formula>
    </cfRule>
  </conditionalFormatting>
  <conditionalFormatting sqref="O35">
    <cfRule type="cellIs" dxfId="48" priority="46" stopIfTrue="1" operator="greaterThan">
      <formula>$O$31</formula>
    </cfRule>
  </conditionalFormatting>
  <conditionalFormatting sqref="P35">
    <cfRule type="cellIs" dxfId="47" priority="45" stopIfTrue="1" operator="greaterThan">
      <formula>$P$31</formula>
    </cfRule>
  </conditionalFormatting>
  <conditionalFormatting sqref="Q35">
    <cfRule type="cellIs" dxfId="46" priority="44" stopIfTrue="1" operator="greaterThan">
      <formula>$Q$31</formula>
    </cfRule>
  </conditionalFormatting>
  <conditionalFormatting sqref="R35">
    <cfRule type="cellIs" dxfId="45" priority="43" stopIfTrue="1" operator="greaterThan">
      <formula>$R$31</formula>
    </cfRule>
  </conditionalFormatting>
  <conditionalFormatting sqref="S35">
    <cfRule type="cellIs" dxfId="44" priority="42" stopIfTrue="1" operator="greaterThan">
      <formula>$S$31</formula>
    </cfRule>
  </conditionalFormatting>
  <conditionalFormatting sqref="T35">
    <cfRule type="cellIs" dxfId="43" priority="41" stopIfTrue="1" operator="greaterThan">
      <formula>$T$31</formula>
    </cfRule>
  </conditionalFormatting>
  <conditionalFormatting sqref="U35">
    <cfRule type="cellIs" dxfId="42" priority="40" stopIfTrue="1" operator="greaterThan">
      <formula>$U$31</formula>
    </cfRule>
  </conditionalFormatting>
  <conditionalFormatting sqref="V35">
    <cfRule type="cellIs" dxfId="41" priority="39" stopIfTrue="1" operator="greaterThan">
      <formula>$V$31</formula>
    </cfRule>
  </conditionalFormatting>
  <conditionalFormatting sqref="W35">
    <cfRule type="cellIs" dxfId="40" priority="38" stopIfTrue="1" operator="greaterThan">
      <formula>$W$31</formula>
    </cfRule>
  </conditionalFormatting>
  <conditionalFormatting sqref="X35">
    <cfRule type="cellIs" dxfId="39" priority="37" stopIfTrue="1" operator="greaterThan">
      <formula>$X$31</formula>
    </cfRule>
  </conditionalFormatting>
  <conditionalFormatting sqref="Y35">
    <cfRule type="cellIs" dxfId="38" priority="36" stopIfTrue="1" operator="greaterThan">
      <formula>$Y$31</formula>
    </cfRule>
  </conditionalFormatting>
  <conditionalFormatting sqref="Z35">
    <cfRule type="cellIs" dxfId="37" priority="35" stopIfTrue="1" operator="greaterThan">
      <formula>$Z$31</formula>
    </cfRule>
  </conditionalFormatting>
  <conditionalFormatting sqref="AA35">
    <cfRule type="cellIs" dxfId="36" priority="34" stopIfTrue="1" operator="greaterThan">
      <formula>$AA$31</formula>
    </cfRule>
  </conditionalFormatting>
  <conditionalFormatting sqref="AB35">
    <cfRule type="cellIs" dxfId="35" priority="33" stopIfTrue="1" operator="greaterThan">
      <formula>$AB$31</formula>
    </cfRule>
  </conditionalFormatting>
  <conditionalFormatting sqref="AC35">
    <cfRule type="cellIs" dxfId="34" priority="32" stopIfTrue="1" operator="greaterThan">
      <formula>$AC$31</formula>
    </cfRule>
  </conditionalFormatting>
  <conditionalFormatting sqref="AD35">
    <cfRule type="cellIs" dxfId="33" priority="31" stopIfTrue="1" operator="greaterThan">
      <formula>$AD$31</formula>
    </cfRule>
  </conditionalFormatting>
  <conditionalFormatting sqref="AE35">
    <cfRule type="cellIs" dxfId="32" priority="30" stopIfTrue="1" operator="greaterThan">
      <formula>$AE$31</formula>
    </cfRule>
  </conditionalFormatting>
  <conditionalFormatting sqref="AF35">
    <cfRule type="cellIs" dxfId="31" priority="29" stopIfTrue="1" operator="greaterThan">
      <formula>$AF$31</formula>
    </cfRule>
  </conditionalFormatting>
  <conditionalFormatting sqref="AG35">
    <cfRule type="cellIs" dxfId="30" priority="28" stopIfTrue="1" operator="greaterThan">
      <formula>$AG$31</formula>
    </cfRule>
  </conditionalFormatting>
  <conditionalFormatting sqref="AH35">
    <cfRule type="cellIs" dxfId="29" priority="27" stopIfTrue="1" operator="greaterThan">
      <formula>$AH$31</formula>
    </cfRule>
  </conditionalFormatting>
  <conditionalFormatting sqref="AI35">
    <cfRule type="cellIs" dxfId="28" priority="26" stopIfTrue="1" operator="greaterThan">
      <formula>$AI$31</formula>
    </cfRule>
  </conditionalFormatting>
  <conditionalFormatting sqref="AJ35">
    <cfRule type="cellIs" dxfId="27" priority="25" stopIfTrue="1" operator="greaterThan">
      <formula>$AJ$31</formula>
    </cfRule>
  </conditionalFormatting>
  <conditionalFormatting sqref="AK35">
    <cfRule type="cellIs" dxfId="26" priority="24" stopIfTrue="1" operator="greaterThan">
      <formula>$AK$31</formula>
    </cfRule>
  </conditionalFormatting>
  <conditionalFormatting sqref="AL35">
    <cfRule type="cellIs" dxfId="25" priority="23" stopIfTrue="1" operator="greaterThan">
      <formula>$AL$31</formula>
    </cfRule>
  </conditionalFormatting>
  <conditionalFormatting sqref="AM35">
    <cfRule type="cellIs" dxfId="24" priority="22" stopIfTrue="1" operator="greaterThan">
      <formula>$AM$31</formula>
    </cfRule>
  </conditionalFormatting>
  <conditionalFormatting sqref="AN35">
    <cfRule type="cellIs" dxfId="23" priority="21" stopIfTrue="1" operator="greaterThan">
      <formula>$AN$31</formula>
    </cfRule>
  </conditionalFormatting>
  <conditionalFormatting sqref="AO35">
    <cfRule type="cellIs" dxfId="22" priority="20" stopIfTrue="1" operator="greaterThan">
      <formula>$AO$31</formula>
    </cfRule>
  </conditionalFormatting>
  <conditionalFormatting sqref="AP35">
    <cfRule type="cellIs" dxfId="21" priority="19" stopIfTrue="1" operator="greaterThan">
      <formula>$AP$31</formula>
    </cfRule>
  </conditionalFormatting>
  <conditionalFormatting sqref="AQ35">
    <cfRule type="cellIs" dxfId="20" priority="18" stopIfTrue="1" operator="greaterThan">
      <formula>$AQ$31</formula>
    </cfRule>
  </conditionalFormatting>
  <conditionalFormatting sqref="AR35">
    <cfRule type="cellIs" dxfId="19" priority="17" stopIfTrue="1" operator="greaterThan">
      <formula>$AR$31</formula>
    </cfRule>
  </conditionalFormatting>
  <conditionalFormatting sqref="AS35">
    <cfRule type="cellIs" dxfId="18" priority="16" stopIfTrue="1" operator="greaterThan">
      <formula>$AS$31</formula>
    </cfRule>
  </conditionalFormatting>
  <conditionalFormatting sqref="AT35">
    <cfRule type="cellIs" dxfId="17" priority="15" stopIfTrue="1" operator="greaterThan">
      <formula>$AT$31</formula>
    </cfRule>
  </conditionalFormatting>
  <conditionalFormatting sqref="AU35">
    <cfRule type="cellIs" dxfId="16" priority="14" stopIfTrue="1" operator="greaterThan">
      <formula>$AU$31</formula>
    </cfRule>
  </conditionalFormatting>
  <conditionalFormatting sqref="AV35">
    <cfRule type="cellIs" dxfId="15" priority="13" stopIfTrue="1" operator="greaterThan">
      <formula>$AV$31</formula>
    </cfRule>
  </conditionalFormatting>
  <conditionalFormatting sqref="AW35">
    <cfRule type="cellIs" dxfId="14" priority="12" stopIfTrue="1" operator="greaterThan">
      <formula>$AW$31</formula>
    </cfRule>
  </conditionalFormatting>
  <conditionalFormatting sqref="AX35">
    <cfRule type="cellIs" dxfId="13" priority="11" stopIfTrue="1" operator="greaterThan">
      <formula>$AX$31</formula>
    </cfRule>
  </conditionalFormatting>
  <conditionalFormatting sqref="AY35">
    <cfRule type="cellIs" dxfId="12" priority="10" stopIfTrue="1" operator="greaterThan">
      <formula>$AY$31</formula>
    </cfRule>
  </conditionalFormatting>
  <conditionalFormatting sqref="AZ35">
    <cfRule type="cellIs" dxfId="11" priority="9" stopIfTrue="1" operator="greaterThan">
      <formula>$AZ$31</formula>
    </cfRule>
  </conditionalFormatting>
  <conditionalFormatting sqref="BA35">
    <cfRule type="cellIs" dxfId="10" priority="8" stopIfTrue="1" operator="greaterThan">
      <formula>$BA$31</formula>
    </cfRule>
  </conditionalFormatting>
  <conditionalFormatting sqref="BB35">
    <cfRule type="cellIs" dxfId="9" priority="7" stopIfTrue="1" operator="greaterThan">
      <formula>$BB$31</formula>
    </cfRule>
  </conditionalFormatting>
  <conditionalFormatting sqref="BC35">
    <cfRule type="cellIs" dxfId="8" priority="6" stopIfTrue="1" operator="greaterThan">
      <formula>$BC$31</formula>
    </cfRule>
  </conditionalFormatting>
  <conditionalFormatting sqref="BD35">
    <cfRule type="cellIs" dxfId="7" priority="5" stopIfTrue="1" operator="greaterThan">
      <formula>$BD$31</formula>
    </cfRule>
  </conditionalFormatting>
  <conditionalFormatting sqref="BE35">
    <cfRule type="cellIs" dxfId="6" priority="4" stopIfTrue="1" operator="greaterThan">
      <formula>$BE$31</formula>
    </cfRule>
  </conditionalFormatting>
  <conditionalFormatting sqref="BF35">
    <cfRule type="cellIs" dxfId="5" priority="3" stopIfTrue="1" operator="greaterThan">
      <formula>$BF$31</formula>
    </cfRule>
  </conditionalFormatting>
  <conditionalFormatting sqref="BG35">
    <cfRule type="cellIs" dxfId="4" priority="2" stopIfTrue="1" operator="greaterThan">
      <formula>$BG$31</formula>
    </cfRule>
  </conditionalFormatting>
  <conditionalFormatting sqref="BH35">
    <cfRule type="cellIs" dxfId="3" priority="1" stopIfTrue="1" operator="greaterThan">
      <formula>$BH$31</formula>
    </cfRule>
  </conditionalFormatting>
  <dataValidations count="1">
    <dataValidation operator="lessThan" allowBlank="1" showInputMessage="1" showErrorMessage="1" errorTitle="Error" error="Return on capital should be less than Revenue." sqref="AK35" xr:uid="{051A830B-F432-4DC0-B2B9-942CBBE2D87B}"/>
  </dataValidations>
  <pageMargins left="0.75" right="0.75" top="1" bottom="1" header="0.5" footer="0.5"/>
  <pageSetup paperSize="9" scale="30" orientation="landscape" r:id="rId1"/>
  <headerFooter alignWithMargins="0">
    <oddFooter>&amp;C_x000D_&amp;1#&amp;"Calibri"&amp;10&amp;K008000 APA-INTERNAL</oddFooter>
  </headerFooter>
  <drawing r:id="rId2"/>
  <legacyDrawing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C839DF-1191-4898-A3C0-E85F74E96B8E}">
  <sheetPr>
    <tabColor rgb="FF17415D"/>
  </sheetPr>
  <dimension ref="A1"/>
  <sheetViews>
    <sheetView workbookViewId="0"/>
  </sheetViews>
  <sheetFormatPr defaultColWidth="8.7109375" defaultRowHeight="12.75" x14ac:dyDescent="0.2"/>
  <cols>
    <col min="1" max="16384" width="8.7109375" style="361"/>
  </cols>
  <sheetData/>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1AE5E5-D96F-42FF-8B16-B6B43BF6C1C6}">
  <sheetPr codeName="Sheet17">
    <tabColor rgb="FF17415D"/>
  </sheetPr>
  <dimension ref="B1:G98"/>
  <sheetViews>
    <sheetView zoomScaleNormal="100" workbookViewId="0">
      <pane xSplit="1" ySplit="9" topLeftCell="B10" activePane="bottomRight" state="frozen"/>
      <selection pane="topRight" activeCell="B1" sqref="B1"/>
      <selection pane="bottomLeft" activeCell="A10" sqref="A10"/>
      <selection pane="bottomRight"/>
    </sheetView>
  </sheetViews>
  <sheetFormatPr defaultColWidth="9.42578125" defaultRowHeight="12.75" x14ac:dyDescent="0.2"/>
  <cols>
    <col min="1" max="1" width="12.42578125" style="204" customWidth="1"/>
    <col min="2" max="2" width="21" style="204" customWidth="1"/>
    <col min="3" max="3" width="64.5703125" style="204" customWidth="1"/>
    <col min="4" max="5" width="42.42578125" style="204" customWidth="1"/>
    <col min="6" max="6" width="34.5703125" style="204" customWidth="1"/>
    <col min="7" max="7" width="44" style="204" customWidth="1"/>
    <col min="8" max="16384" width="9.42578125" style="204"/>
  </cols>
  <sheetData>
    <row r="1" spans="2:5" ht="20.25" customHeight="1" x14ac:dyDescent="0.3">
      <c r="B1" s="135" t="s">
        <v>302</v>
      </c>
      <c r="C1" s="135"/>
      <c r="D1" s="203"/>
      <c r="E1" s="203"/>
    </row>
    <row r="2" spans="2:5" ht="20.25" x14ac:dyDescent="0.3">
      <c r="B2" s="135" t="str">
        <f>IF(Tradingname=0," ",Tradingname)</f>
        <v>APA Pipelines Investments (BWP) Pty Limited</v>
      </c>
      <c r="C2" s="135"/>
      <c r="D2" s="205"/>
    </row>
    <row r="3" spans="2:5" ht="23.1" customHeight="1" x14ac:dyDescent="0.3">
      <c r="B3" s="135" t="s">
        <v>109</v>
      </c>
      <c r="C3" s="99">
        <f>IF(Yearending=0, "01/01/2000", Yearending)</f>
        <v>45838</v>
      </c>
    </row>
    <row r="4" spans="2:5" ht="20.25" x14ac:dyDescent="0.2">
      <c r="B4" s="91" t="s">
        <v>305</v>
      </c>
      <c r="C4" s="91"/>
    </row>
    <row r="6" spans="2:5" x14ac:dyDescent="0.2">
      <c r="B6" s="434" t="s">
        <v>353</v>
      </c>
      <c r="C6" s="434"/>
      <c r="D6" s="434"/>
      <c r="E6" s="434"/>
    </row>
    <row r="7" spans="2:5" ht="12.75" customHeight="1" x14ac:dyDescent="0.2">
      <c r="B7" s="434"/>
      <c r="C7" s="434"/>
      <c r="D7" s="434"/>
      <c r="E7" s="434"/>
    </row>
    <row r="8" spans="2:5" ht="12.75" customHeight="1" x14ac:dyDescent="0.2">
      <c r="B8" s="434"/>
      <c r="C8" s="434"/>
      <c r="D8" s="434"/>
      <c r="E8" s="434"/>
    </row>
    <row r="9" spans="2:5" ht="12.75" customHeight="1" x14ac:dyDescent="0.2">
      <c r="B9" s="434"/>
      <c r="C9" s="434"/>
      <c r="D9" s="434"/>
      <c r="E9" s="434"/>
    </row>
    <row r="12" spans="2:5" ht="15.75" x14ac:dyDescent="0.25">
      <c r="B12" s="206" t="s">
        <v>351</v>
      </c>
      <c r="C12" s="207"/>
      <c r="D12" s="207"/>
      <c r="E12" s="207"/>
    </row>
    <row r="13" spans="2:5" ht="15.75" x14ac:dyDescent="0.25">
      <c r="B13" s="206"/>
      <c r="C13" s="207"/>
      <c r="D13" s="207"/>
      <c r="E13" s="207"/>
    </row>
    <row r="14" spans="2:5" ht="25.5" x14ac:dyDescent="0.2">
      <c r="B14" s="37" t="s">
        <v>307</v>
      </c>
      <c r="C14" s="37" t="s">
        <v>107</v>
      </c>
      <c r="D14" s="37" t="s">
        <v>108</v>
      </c>
      <c r="E14" s="37" t="s">
        <v>123</v>
      </c>
    </row>
    <row r="15" spans="2:5" x14ac:dyDescent="0.2">
      <c r="B15" s="348" t="s">
        <v>562</v>
      </c>
      <c r="C15" s="283"/>
      <c r="D15" s="80"/>
      <c r="E15" s="71"/>
    </row>
    <row r="16" spans="2:5" x14ac:dyDescent="0.2">
      <c r="B16" s="287"/>
      <c r="C16" s="283"/>
      <c r="D16" s="80"/>
      <c r="E16" s="71"/>
    </row>
    <row r="17" spans="2:5" x14ac:dyDescent="0.2">
      <c r="B17" s="287"/>
      <c r="C17" s="283"/>
      <c r="D17" s="80"/>
      <c r="E17" s="71"/>
    </row>
    <row r="18" spans="2:5" x14ac:dyDescent="0.2">
      <c r="B18" s="287"/>
      <c r="C18" s="283"/>
      <c r="D18" s="80"/>
      <c r="E18" s="71"/>
    </row>
    <row r="19" spans="2:5" x14ac:dyDescent="0.2">
      <c r="B19" s="287"/>
      <c r="C19" s="283"/>
      <c r="D19" s="80"/>
      <c r="E19" s="71"/>
    </row>
    <row r="20" spans="2:5" x14ac:dyDescent="0.2">
      <c r="B20" s="287"/>
      <c r="C20" s="283"/>
      <c r="D20" s="80"/>
      <c r="E20" s="71"/>
    </row>
    <row r="21" spans="2:5" x14ac:dyDescent="0.2">
      <c r="B21" s="287"/>
      <c r="C21" s="283"/>
      <c r="D21" s="80"/>
      <c r="E21" s="71"/>
    </row>
    <row r="22" spans="2:5" x14ac:dyDescent="0.2">
      <c r="B22" s="287"/>
      <c r="C22" s="283"/>
      <c r="D22" s="80"/>
      <c r="E22" s="71"/>
    </row>
    <row r="23" spans="2:5" x14ac:dyDescent="0.2">
      <c r="B23" s="287"/>
      <c r="C23" s="283"/>
      <c r="D23" s="80"/>
      <c r="E23" s="71"/>
    </row>
    <row r="24" spans="2:5" x14ac:dyDescent="0.2">
      <c r="B24" s="287"/>
      <c r="C24" s="283"/>
      <c r="D24" s="80"/>
      <c r="E24" s="71"/>
    </row>
    <row r="25" spans="2:5" x14ac:dyDescent="0.2">
      <c r="B25" s="287"/>
      <c r="C25" s="283"/>
      <c r="D25" s="80"/>
      <c r="E25" s="71"/>
    </row>
    <row r="26" spans="2:5" x14ac:dyDescent="0.2">
      <c r="B26" s="287"/>
      <c r="C26" s="283"/>
      <c r="D26" s="80"/>
      <c r="E26" s="71"/>
    </row>
    <row r="27" spans="2:5" x14ac:dyDescent="0.2">
      <c r="B27" s="287"/>
      <c r="C27" s="283"/>
      <c r="D27" s="80"/>
      <c r="E27" s="71"/>
    </row>
    <row r="28" spans="2:5" x14ac:dyDescent="0.2">
      <c r="B28" s="287"/>
      <c r="C28" s="283"/>
      <c r="D28" s="80"/>
      <c r="E28" s="71"/>
    </row>
    <row r="29" spans="2:5" x14ac:dyDescent="0.2">
      <c r="B29" s="287"/>
      <c r="C29" s="283"/>
      <c r="D29" s="80"/>
      <c r="E29" s="71"/>
    </row>
    <row r="30" spans="2:5" x14ac:dyDescent="0.2">
      <c r="B30" s="287"/>
      <c r="C30" s="283"/>
      <c r="D30" s="80"/>
      <c r="E30" s="71"/>
    </row>
    <row r="31" spans="2:5" x14ac:dyDescent="0.2">
      <c r="B31" s="287"/>
      <c r="C31" s="283"/>
      <c r="D31" s="80"/>
      <c r="E31" s="71"/>
    </row>
    <row r="32" spans="2:5" x14ac:dyDescent="0.2">
      <c r="B32" s="287"/>
      <c r="C32" s="283"/>
      <c r="D32" s="80"/>
      <c r="E32" s="71"/>
    </row>
    <row r="33" spans="2:5" x14ac:dyDescent="0.2">
      <c r="B33" s="287"/>
      <c r="C33" s="283"/>
      <c r="D33" s="80"/>
      <c r="E33" s="71"/>
    </row>
    <row r="34" spans="2:5" x14ac:dyDescent="0.2">
      <c r="B34" s="287"/>
      <c r="C34" s="283"/>
      <c r="D34" s="80"/>
      <c r="E34" s="71"/>
    </row>
    <row r="35" spans="2:5" x14ac:dyDescent="0.2">
      <c r="B35" s="287"/>
      <c r="C35" s="283"/>
      <c r="D35" s="80"/>
      <c r="E35" s="71"/>
    </row>
    <row r="36" spans="2:5" x14ac:dyDescent="0.2">
      <c r="B36" s="287"/>
      <c r="C36" s="283"/>
      <c r="D36" s="80"/>
      <c r="E36" s="71"/>
    </row>
    <row r="37" spans="2:5" x14ac:dyDescent="0.2">
      <c r="B37" s="287"/>
      <c r="C37" s="283"/>
      <c r="D37" s="80"/>
      <c r="E37" s="71"/>
    </row>
    <row r="38" spans="2:5" x14ac:dyDescent="0.2">
      <c r="B38" s="287"/>
      <c r="C38" s="283"/>
      <c r="D38" s="80"/>
      <c r="E38" s="71"/>
    </row>
    <row r="39" spans="2:5" x14ac:dyDescent="0.2">
      <c r="B39" s="287"/>
      <c r="C39" s="283"/>
      <c r="D39" s="80"/>
      <c r="E39" s="71"/>
    </row>
    <row r="40" spans="2:5" x14ac:dyDescent="0.2">
      <c r="B40" s="287"/>
      <c r="C40" s="283"/>
      <c r="D40" s="80"/>
      <c r="E40" s="71"/>
    </row>
    <row r="41" spans="2:5" x14ac:dyDescent="0.2">
      <c r="B41" s="449" t="s">
        <v>216</v>
      </c>
      <c r="C41" s="450"/>
      <c r="D41" s="451"/>
      <c r="E41" s="208">
        <f>SUM(E15:E40)</f>
        <v>0</v>
      </c>
    </row>
    <row r="44" spans="2:5" ht="15.75" x14ac:dyDescent="0.25">
      <c r="B44" s="206" t="s">
        <v>352</v>
      </c>
      <c r="C44" s="207"/>
      <c r="D44" s="207"/>
      <c r="E44" s="207"/>
    </row>
    <row r="45" spans="2:5" ht="15.75" x14ac:dyDescent="0.25">
      <c r="B45" s="206"/>
      <c r="C45" s="207"/>
      <c r="D45" s="207"/>
      <c r="E45" s="207"/>
    </row>
    <row r="46" spans="2:5" ht="25.5" x14ac:dyDescent="0.2">
      <c r="B46" s="37" t="s">
        <v>307</v>
      </c>
      <c r="C46" s="37" t="s">
        <v>107</v>
      </c>
      <c r="D46" s="37" t="s">
        <v>108</v>
      </c>
      <c r="E46" s="37" t="s">
        <v>123</v>
      </c>
    </row>
    <row r="47" spans="2:5" x14ac:dyDescent="0.2">
      <c r="B47" s="352" t="s">
        <v>562</v>
      </c>
      <c r="C47" s="283" t="s">
        <v>571</v>
      </c>
      <c r="D47" s="341" t="s">
        <v>553</v>
      </c>
      <c r="E47" s="71">
        <v>3434725.81</v>
      </c>
    </row>
    <row r="48" spans="2:5" x14ac:dyDescent="0.2">
      <c r="B48" s="352"/>
      <c r="C48" s="283"/>
      <c r="D48" s="80"/>
      <c r="E48" s="71"/>
    </row>
    <row r="49" spans="2:5" x14ac:dyDescent="0.2">
      <c r="B49" s="352"/>
      <c r="C49" s="283"/>
      <c r="D49" s="80"/>
      <c r="E49" s="71"/>
    </row>
    <row r="50" spans="2:5" x14ac:dyDescent="0.2">
      <c r="B50" s="352"/>
      <c r="C50" s="283"/>
      <c r="D50" s="80"/>
      <c r="E50" s="71"/>
    </row>
    <row r="51" spans="2:5" x14ac:dyDescent="0.2">
      <c r="B51" s="73"/>
      <c r="C51" s="283"/>
      <c r="D51" s="80"/>
      <c r="E51" s="71"/>
    </row>
    <row r="52" spans="2:5" x14ac:dyDescent="0.2">
      <c r="B52" s="73"/>
      <c r="C52" s="283"/>
      <c r="D52" s="80"/>
      <c r="E52" s="71"/>
    </row>
    <row r="53" spans="2:5" x14ac:dyDescent="0.2">
      <c r="B53" s="73"/>
      <c r="C53" s="283"/>
      <c r="D53" s="80"/>
      <c r="E53" s="71"/>
    </row>
    <row r="54" spans="2:5" x14ac:dyDescent="0.2">
      <c r="B54" s="73"/>
      <c r="C54" s="283"/>
      <c r="D54" s="80"/>
      <c r="E54" s="71"/>
    </row>
    <row r="55" spans="2:5" x14ac:dyDescent="0.2">
      <c r="B55" s="73"/>
      <c r="C55" s="283"/>
      <c r="D55" s="80"/>
      <c r="E55" s="71"/>
    </row>
    <row r="56" spans="2:5" x14ac:dyDescent="0.2">
      <c r="B56" s="73"/>
      <c r="C56" s="283"/>
      <c r="D56" s="80"/>
      <c r="E56" s="71"/>
    </row>
    <row r="57" spans="2:5" x14ac:dyDescent="0.2">
      <c r="B57" s="73"/>
      <c r="C57" s="283"/>
      <c r="D57" s="80"/>
      <c r="E57" s="71"/>
    </row>
    <row r="58" spans="2:5" x14ac:dyDescent="0.2">
      <c r="B58" s="73"/>
      <c r="C58" s="283"/>
      <c r="D58" s="80"/>
      <c r="E58" s="71"/>
    </row>
    <row r="59" spans="2:5" x14ac:dyDescent="0.2">
      <c r="B59" s="73"/>
      <c r="C59" s="283"/>
      <c r="D59" s="80"/>
      <c r="E59" s="71"/>
    </row>
    <row r="60" spans="2:5" x14ac:dyDescent="0.2">
      <c r="B60" s="73"/>
      <c r="C60" s="283"/>
      <c r="D60" s="80"/>
      <c r="E60" s="71"/>
    </row>
    <row r="61" spans="2:5" x14ac:dyDescent="0.2">
      <c r="B61" s="73"/>
      <c r="C61" s="283"/>
      <c r="D61" s="80"/>
      <c r="E61" s="71"/>
    </row>
    <row r="62" spans="2:5" x14ac:dyDescent="0.2">
      <c r="B62" s="73"/>
      <c r="C62" s="283"/>
      <c r="D62" s="80"/>
      <c r="E62" s="71"/>
    </row>
    <row r="63" spans="2:5" x14ac:dyDescent="0.2">
      <c r="B63" s="73"/>
      <c r="C63" s="283"/>
      <c r="D63" s="80"/>
      <c r="E63" s="71"/>
    </row>
    <row r="64" spans="2:5" x14ac:dyDescent="0.2">
      <c r="B64" s="73"/>
      <c r="C64" s="283"/>
      <c r="D64" s="80"/>
      <c r="E64" s="71"/>
    </row>
    <row r="65" spans="2:7" x14ac:dyDescent="0.2">
      <c r="B65" s="73"/>
      <c r="C65" s="283"/>
      <c r="D65" s="80"/>
      <c r="E65" s="71"/>
    </row>
    <row r="66" spans="2:7" x14ac:dyDescent="0.2">
      <c r="B66" s="73"/>
      <c r="C66" s="283"/>
      <c r="D66" s="80"/>
      <c r="E66" s="71"/>
    </row>
    <row r="67" spans="2:7" x14ac:dyDescent="0.2">
      <c r="B67" s="73"/>
      <c r="C67" s="283"/>
      <c r="D67" s="80"/>
      <c r="E67" s="71"/>
    </row>
    <row r="68" spans="2:7" x14ac:dyDescent="0.2">
      <c r="B68" s="73"/>
      <c r="C68" s="283"/>
      <c r="D68" s="80"/>
      <c r="E68" s="71"/>
    </row>
    <row r="69" spans="2:7" x14ac:dyDescent="0.2">
      <c r="B69" s="73"/>
      <c r="C69" s="283"/>
      <c r="D69" s="80"/>
      <c r="E69" s="71"/>
    </row>
    <row r="70" spans="2:7" x14ac:dyDescent="0.2">
      <c r="B70" s="73"/>
      <c r="C70" s="283"/>
      <c r="D70" s="80"/>
      <c r="E70" s="71"/>
    </row>
    <row r="71" spans="2:7" x14ac:dyDescent="0.2">
      <c r="B71" s="73"/>
      <c r="C71" s="283"/>
      <c r="D71" s="80"/>
      <c r="E71" s="71"/>
    </row>
    <row r="72" spans="2:7" x14ac:dyDescent="0.2">
      <c r="B72" s="73"/>
      <c r="C72" s="283"/>
      <c r="D72" s="80"/>
      <c r="E72" s="71"/>
    </row>
    <row r="73" spans="2:7" x14ac:dyDescent="0.2">
      <c r="B73" s="449" t="s">
        <v>216</v>
      </c>
      <c r="C73" s="450"/>
      <c r="D73" s="451"/>
      <c r="E73" s="208">
        <f>SUM(E47:E72)</f>
        <v>3434725.81</v>
      </c>
    </row>
    <row r="76" spans="2:7" ht="15.75" x14ac:dyDescent="0.25">
      <c r="B76" s="209" t="s">
        <v>359</v>
      </c>
      <c r="C76" s="207"/>
      <c r="D76" s="207"/>
      <c r="E76" s="207"/>
      <c r="F76" s="210"/>
      <c r="G76" s="207"/>
    </row>
    <row r="77" spans="2:7" ht="15.75" x14ac:dyDescent="0.25">
      <c r="B77" s="206"/>
      <c r="C77" s="207"/>
      <c r="D77" s="207"/>
      <c r="E77" s="207"/>
      <c r="F77" s="210"/>
      <c r="G77" s="207"/>
    </row>
    <row r="78" spans="2:7" ht="42" customHeight="1" x14ac:dyDescent="0.2">
      <c r="B78" s="37" t="s">
        <v>307</v>
      </c>
      <c r="C78" s="37" t="s">
        <v>183</v>
      </c>
      <c r="D78" s="37" t="s">
        <v>361</v>
      </c>
      <c r="E78" s="49" t="s">
        <v>362</v>
      </c>
      <c r="F78" s="49" t="s">
        <v>360</v>
      </c>
      <c r="G78" s="49" t="s">
        <v>184</v>
      </c>
    </row>
    <row r="79" spans="2:7" x14ac:dyDescent="0.2">
      <c r="B79" s="89"/>
      <c r="C79" s="37"/>
      <c r="D79" s="53"/>
      <c r="E79" s="53"/>
      <c r="F79" s="53" t="s">
        <v>186</v>
      </c>
      <c r="G79" s="53" t="s">
        <v>110</v>
      </c>
    </row>
    <row r="80" spans="2:7" x14ac:dyDescent="0.2">
      <c r="B80" s="70" t="s">
        <v>562</v>
      </c>
      <c r="C80" s="284"/>
      <c r="D80" s="71"/>
      <c r="E80" s="71"/>
      <c r="F80" s="72"/>
      <c r="G80" s="66"/>
    </row>
    <row r="81" spans="2:7" x14ac:dyDescent="0.2">
      <c r="B81" s="70"/>
      <c r="C81" s="284"/>
      <c r="D81" s="71"/>
      <c r="E81" s="71"/>
      <c r="F81" s="72"/>
      <c r="G81" s="66"/>
    </row>
    <row r="82" spans="2:7" x14ac:dyDescent="0.2">
      <c r="B82" s="70"/>
      <c r="C82" s="284"/>
      <c r="D82" s="71"/>
      <c r="E82" s="71"/>
      <c r="F82" s="72"/>
      <c r="G82" s="66"/>
    </row>
    <row r="83" spans="2:7" x14ac:dyDescent="0.2">
      <c r="B83" s="70"/>
      <c r="C83" s="284"/>
      <c r="D83" s="71"/>
      <c r="E83" s="71"/>
      <c r="F83" s="72"/>
      <c r="G83" s="66"/>
    </row>
    <row r="84" spans="2:7" x14ac:dyDescent="0.2">
      <c r="B84" s="70"/>
      <c r="C84" s="284"/>
      <c r="D84" s="71"/>
      <c r="E84" s="71"/>
      <c r="F84" s="72"/>
      <c r="G84" s="66"/>
    </row>
    <row r="85" spans="2:7" x14ac:dyDescent="0.2">
      <c r="B85" s="70"/>
      <c r="C85" s="284"/>
      <c r="D85" s="71"/>
      <c r="E85" s="71"/>
      <c r="F85" s="72"/>
      <c r="G85" s="66"/>
    </row>
    <row r="86" spans="2:7" x14ac:dyDescent="0.2">
      <c r="B86" s="70"/>
      <c r="C86" s="284"/>
      <c r="D86" s="71"/>
      <c r="E86" s="71"/>
      <c r="F86" s="72"/>
      <c r="G86" s="66"/>
    </row>
    <row r="87" spans="2:7" x14ac:dyDescent="0.2">
      <c r="B87" s="70"/>
      <c r="C87" s="284"/>
      <c r="D87" s="71"/>
      <c r="E87" s="71"/>
      <c r="F87" s="72"/>
      <c r="G87" s="66"/>
    </row>
    <row r="88" spans="2:7" x14ac:dyDescent="0.2">
      <c r="B88" s="70"/>
      <c r="C88" s="284"/>
      <c r="D88" s="71"/>
      <c r="E88" s="71"/>
      <c r="F88" s="72"/>
      <c r="G88" s="66"/>
    </row>
    <row r="89" spans="2:7" x14ac:dyDescent="0.2">
      <c r="B89" s="70"/>
      <c r="C89" s="284"/>
      <c r="D89" s="71"/>
      <c r="E89" s="71"/>
      <c r="F89" s="72"/>
      <c r="G89" s="66"/>
    </row>
    <row r="90" spans="2:7" x14ac:dyDescent="0.2">
      <c r="B90" s="70"/>
      <c r="C90" s="284"/>
      <c r="D90" s="71"/>
      <c r="E90" s="71"/>
      <c r="F90" s="72"/>
      <c r="G90" s="66"/>
    </row>
    <row r="91" spans="2:7" x14ac:dyDescent="0.2">
      <c r="B91" s="70"/>
      <c r="C91" s="284"/>
      <c r="D91" s="71"/>
      <c r="E91" s="71"/>
      <c r="F91" s="72"/>
      <c r="G91" s="66"/>
    </row>
    <row r="92" spans="2:7" x14ac:dyDescent="0.2">
      <c r="B92" s="70"/>
      <c r="C92" s="284"/>
      <c r="D92" s="71"/>
      <c r="E92" s="71"/>
      <c r="F92" s="72"/>
      <c r="G92" s="66"/>
    </row>
    <row r="93" spans="2:7" x14ac:dyDescent="0.2">
      <c r="B93" s="70"/>
      <c r="C93" s="284"/>
      <c r="D93" s="71"/>
      <c r="E93" s="71"/>
      <c r="F93" s="72"/>
      <c r="G93" s="66"/>
    </row>
    <row r="94" spans="2:7" x14ac:dyDescent="0.2">
      <c r="B94" s="70"/>
      <c r="C94" s="284"/>
      <c r="D94" s="71"/>
      <c r="E94" s="71"/>
      <c r="F94" s="72"/>
      <c r="G94" s="66"/>
    </row>
    <row r="95" spans="2:7" x14ac:dyDescent="0.2">
      <c r="B95" s="70"/>
      <c r="C95" s="284"/>
      <c r="D95" s="71"/>
      <c r="E95" s="71"/>
      <c r="F95" s="72"/>
      <c r="G95" s="66"/>
    </row>
    <row r="96" spans="2:7" x14ac:dyDescent="0.2">
      <c r="B96" s="70"/>
      <c r="C96" s="284"/>
      <c r="D96" s="71"/>
      <c r="E96" s="71"/>
      <c r="F96" s="72"/>
      <c r="G96" s="66"/>
    </row>
    <row r="97" spans="2:7" x14ac:dyDescent="0.2">
      <c r="B97" s="70"/>
      <c r="C97" s="284"/>
      <c r="D97" s="71"/>
      <c r="E97" s="71"/>
      <c r="F97" s="72"/>
      <c r="G97" s="66"/>
    </row>
    <row r="98" spans="2:7" x14ac:dyDescent="0.2">
      <c r="B98" s="447" t="s">
        <v>185</v>
      </c>
      <c r="C98" s="448"/>
      <c r="D98" s="448"/>
      <c r="E98" s="448"/>
      <c r="F98" s="448"/>
      <c r="G98" s="90">
        <f>SUM(G80:G97)</f>
        <v>0</v>
      </c>
    </row>
  </sheetData>
  <sheetProtection sheet="1" insertRows="0" deleteRows="0"/>
  <mergeCells count="4">
    <mergeCell ref="B98:F98"/>
    <mergeCell ref="B41:D41"/>
    <mergeCell ref="B6:E9"/>
    <mergeCell ref="B73:D73"/>
  </mergeCells>
  <pageMargins left="0.75" right="0.75" top="1" bottom="1" header="0.5" footer="0.5"/>
  <pageSetup paperSize="9" scale="30" orientation="landscape" r:id="rId1"/>
  <headerFooter alignWithMargins="0">
    <oddFooter>&amp;C_x000D_&amp;1#&amp;"Calibri"&amp;10&amp;K008000 APA-INTERNAL</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DF27ED-6264-4D48-A75B-9B9656113080}">
  <sheetPr>
    <tabColor theme="9" tint="0.79998168889431442"/>
  </sheetPr>
  <dimension ref="A1"/>
  <sheetViews>
    <sheetView showGridLines="0" workbookViewId="0"/>
  </sheetViews>
  <sheetFormatPr defaultRowHeight="12.75" x14ac:dyDescent="0.2"/>
  <sheetData/>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3234AC-E767-4AAA-9E8F-7FA62D7ED2AF}">
  <sheetPr codeName="Sheet26">
    <tabColor rgb="FF17415D"/>
  </sheetPr>
  <dimension ref="B1:I408"/>
  <sheetViews>
    <sheetView showGridLines="0" zoomScaleNormal="100" workbookViewId="0">
      <pane xSplit="1" ySplit="9" topLeftCell="B10" activePane="bottomRight" state="frozen"/>
      <selection pane="topRight" activeCell="B1" sqref="B1"/>
      <selection pane="bottomLeft" activeCell="A10" sqref="A10"/>
      <selection pane="bottomRight"/>
    </sheetView>
  </sheetViews>
  <sheetFormatPr defaultColWidth="8.5703125" defaultRowHeight="12.75" x14ac:dyDescent="0.2"/>
  <cols>
    <col min="1" max="1" width="11.42578125" customWidth="1"/>
    <col min="2" max="2" width="47.42578125" customWidth="1"/>
    <col min="3" max="3" width="30.5703125" customWidth="1"/>
    <col min="4" max="4" width="71.42578125" customWidth="1"/>
    <col min="5" max="9" width="30.5703125" customWidth="1"/>
    <col min="10" max="60" width="10.5703125" customWidth="1"/>
    <col min="62" max="62" width="13.5703125" customWidth="1"/>
  </cols>
  <sheetData>
    <row r="1" spans="2:4" ht="20.25" x14ac:dyDescent="0.2">
      <c r="B1" s="135" t="s">
        <v>302</v>
      </c>
      <c r="C1" s="135"/>
    </row>
    <row r="2" spans="2:4" ht="25.5" customHeight="1" x14ac:dyDescent="0.2">
      <c r="B2" s="135" t="str">
        <f>IF(Tradingname=0," ",Tradingname)</f>
        <v>APA Pipelines Investments (BWP) Pty Limited</v>
      </c>
      <c r="C2" s="135"/>
    </row>
    <row r="3" spans="2:4" ht="19.5" customHeight="1" x14ac:dyDescent="0.3">
      <c r="B3" s="135" t="s">
        <v>109</v>
      </c>
      <c r="C3" s="99">
        <f>IF(Yearending=0, "01/01/2000", Yearending)</f>
        <v>45838</v>
      </c>
    </row>
    <row r="4" spans="2:4" ht="20.25" x14ac:dyDescent="0.2">
      <c r="B4" s="91" t="s">
        <v>187</v>
      </c>
      <c r="C4" s="91"/>
    </row>
    <row r="5" spans="2:4" ht="12" customHeight="1" x14ac:dyDescent="0.2"/>
    <row r="6" spans="2:4" ht="12" customHeight="1" x14ac:dyDescent="0.2">
      <c r="B6" s="434" t="s">
        <v>190</v>
      </c>
      <c r="C6" s="434"/>
      <c r="D6" s="434"/>
    </row>
    <row r="7" spans="2:4" ht="12" customHeight="1" x14ac:dyDescent="0.2">
      <c r="B7" s="434"/>
      <c r="C7" s="434"/>
      <c r="D7" s="434"/>
    </row>
    <row r="8" spans="2:4" ht="12" customHeight="1" x14ac:dyDescent="0.2">
      <c r="B8" s="434"/>
      <c r="C8" s="434"/>
      <c r="D8" s="434"/>
    </row>
    <row r="9" spans="2:4" ht="12" customHeight="1" x14ac:dyDescent="0.2">
      <c r="B9" s="434"/>
      <c r="C9" s="434"/>
      <c r="D9" s="434"/>
    </row>
    <row r="10" spans="2:4" ht="12" customHeight="1" x14ac:dyDescent="0.2"/>
    <row r="11" spans="2:4" ht="12" customHeight="1" x14ac:dyDescent="0.2"/>
    <row r="12" spans="2:4" ht="15.75" x14ac:dyDescent="0.25">
      <c r="B12" s="196" t="s">
        <v>214</v>
      </c>
    </row>
    <row r="14" spans="2:4" x14ac:dyDescent="0.2">
      <c r="B14" s="51" t="s">
        <v>307</v>
      </c>
      <c r="C14" s="50" t="s">
        <v>189</v>
      </c>
      <c r="D14" s="50" t="s">
        <v>188</v>
      </c>
    </row>
    <row r="15" spans="2:4" x14ac:dyDescent="0.2">
      <c r="B15" s="353" t="s">
        <v>563</v>
      </c>
      <c r="C15" s="62" t="s">
        <v>206</v>
      </c>
      <c r="D15" s="355" t="s">
        <v>551</v>
      </c>
    </row>
    <row r="16" spans="2:4" x14ac:dyDescent="0.2">
      <c r="B16" s="353" t="s">
        <v>563</v>
      </c>
      <c r="C16" s="62" t="s">
        <v>552</v>
      </c>
      <c r="D16" s="62" t="s">
        <v>551</v>
      </c>
    </row>
    <row r="17" spans="2:6" x14ac:dyDescent="0.2">
      <c r="B17" s="297"/>
      <c r="C17" s="62"/>
      <c r="D17" s="62"/>
    </row>
    <row r="18" spans="2:6" x14ac:dyDescent="0.2">
      <c r="B18" s="297"/>
      <c r="C18" s="104"/>
      <c r="D18" s="104"/>
    </row>
    <row r="19" spans="2:6" x14ac:dyDescent="0.2">
      <c r="B19" s="297"/>
      <c r="C19" s="104"/>
      <c r="D19" s="104"/>
    </row>
    <row r="22" spans="2:6" ht="15.75" x14ac:dyDescent="0.25">
      <c r="B22" s="196" t="s">
        <v>376</v>
      </c>
    </row>
    <row r="24" spans="2:6" s="5" customFormat="1" x14ac:dyDescent="0.2">
      <c r="B24" s="101"/>
      <c r="C24" s="102" t="s">
        <v>375</v>
      </c>
    </row>
    <row r="25" spans="2:6" s="5" customFormat="1" x14ac:dyDescent="0.2">
      <c r="B25" s="101"/>
      <c r="C25" s="101" t="s">
        <v>212</v>
      </c>
      <c r="D25" s="195"/>
    </row>
    <row r="26" spans="2:6" ht="14.25" x14ac:dyDescent="0.2">
      <c r="B26" s="112" t="s">
        <v>363</v>
      </c>
      <c r="C26" s="71">
        <f>C42/365</f>
        <v>158.69808219178029</v>
      </c>
      <c r="D26" s="194"/>
      <c r="E26" s="6"/>
      <c r="F26" s="6"/>
    </row>
    <row r="27" spans="2:6" ht="14.25" x14ac:dyDescent="0.2">
      <c r="B27" s="112" t="s">
        <v>453</v>
      </c>
      <c r="C27" s="71">
        <v>0</v>
      </c>
      <c r="D27" s="194"/>
      <c r="E27" s="6"/>
      <c r="F27" s="6"/>
    </row>
    <row r="28" spans="2:6" ht="14.25" x14ac:dyDescent="0.2">
      <c r="B28" s="112" t="s">
        <v>365</v>
      </c>
      <c r="C28" s="71">
        <v>0</v>
      </c>
      <c r="D28" s="194"/>
      <c r="E28" s="6"/>
      <c r="F28" s="6"/>
    </row>
    <row r="29" spans="2:6" ht="14.25" x14ac:dyDescent="0.2">
      <c r="B29" s="112" t="s">
        <v>366</v>
      </c>
      <c r="C29" s="71">
        <v>0</v>
      </c>
      <c r="D29" s="194"/>
      <c r="E29" s="6"/>
      <c r="F29" s="6"/>
    </row>
    <row r="30" spans="2:6" ht="25.5" x14ac:dyDescent="0.2">
      <c r="B30" s="193" t="s">
        <v>367</v>
      </c>
      <c r="C30" s="71">
        <v>0</v>
      </c>
      <c r="D30" s="194"/>
      <c r="E30" s="6"/>
      <c r="F30" s="6"/>
    </row>
    <row r="31" spans="2:6" ht="14.25" x14ac:dyDescent="0.2">
      <c r="B31" s="112" t="s">
        <v>454</v>
      </c>
      <c r="C31" s="71">
        <v>0</v>
      </c>
      <c r="D31" s="194"/>
      <c r="E31" s="6"/>
      <c r="F31" s="6"/>
    </row>
    <row r="32" spans="2:6" ht="14.25" x14ac:dyDescent="0.2">
      <c r="B32" s="112" t="s">
        <v>369</v>
      </c>
      <c r="C32" s="71">
        <v>0</v>
      </c>
      <c r="D32" s="194"/>
      <c r="E32" s="6"/>
      <c r="F32" s="6"/>
    </row>
    <row r="33" spans="2:9" x14ac:dyDescent="0.2">
      <c r="B33" s="112" t="s">
        <v>370</v>
      </c>
      <c r="C33" s="71">
        <v>0</v>
      </c>
      <c r="D33" s="6"/>
      <c r="E33" s="6"/>
      <c r="F33" s="6"/>
    </row>
    <row r="34" spans="2:9" x14ac:dyDescent="0.2">
      <c r="B34" s="112" t="s">
        <v>371</v>
      </c>
      <c r="C34" s="71">
        <v>0</v>
      </c>
      <c r="D34" s="6"/>
      <c r="E34" s="6"/>
      <c r="F34" s="6"/>
    </row>
    <row r="35" spans="2:9" x14ac:dyDescent="0.2">
      <c r="B35" s="112" t="s">
        <v>311</v>
      </c>
      <c r="C35" s="71">
        <v>0</v>
      </c>
    </row>
    <row r="38" spans="2:9" ht="15.75" x14ac:dyDescent="0.25">
      <c r="B38" s="196" t="s">
        <v>215</v>
      </c>
    </row>
    <row r="40" spans="2:9" s="5" customFormat="1" ht="25.5" x14ac:dyDescent="0.2">
      <c r="B40" s="101"/>
      <c r="C40" s="102" t="s">
        <v>211</v>
      </c>
      <c r="D40" s="102" t="s">
        <v>210</v>
      </c>
      <c r="E40" s="102" t="s">
        <v>206</v>
      </c>
      <c r="F40" s="102" t="s">
        <v>355</v>
      </c>
      <c r="G40" s="102" t="s">
        <v>207</v>
      </c>
      <c r="H40" s="102" t="s">
        <v>208</v>
      </c>
      <c r="I40" s="102" t="s">
        <v>209</v>
      </c>
    </row>
    <row r="41" spans="2:9" s="5" customFormat="1" x14ac:dyDescent="0.2">
      <c r="B41" s="101"/>
      <c r="C41" s="103" t="s">
        <v>212</v>
      </c>
      <c r="D41" s="103" t="s">
        <v>212</v>
      </c>
      <c r="E41" s="103" t="s">
        <v>212</v>
      </c>
      <c r="F41" s="103" t="s">
        <v>212</v>
      </c>
      <c r="G41" s="102"/>
      <c r="H41" s="102"/>
      <c r="I41" s="102"/>
    </row>
    <row r="42" spans="2:9" x14ac:dyDescent="0.2">
      <c r="B42" s="192" t="s">
        <v>18</v>
      </c>
      <c r="C42" s="11">
        <f>SUM(C43:C408)</f>
        <v>57924.799999999806</v>
      </c>
      <c r="D42" s="11">
        <f>SUM(D43:D408)</f>
        <v>0</v>
      </c>
      <c r="E42" s="11">
        <f>SUM(E43:E408)</f>
        <v>32546.016999999978</v>
      </c>
      <c r="F42" s="11" t="s">
        <v>457</v>
      </c>
      <c r="G42" s="11">
        <f>SUM(G43:G408)</f>
        <v>128053.98300000002</v>
      </c>
      <c r="H42" s="11">
        <f>SUM(H43:H408)</f>
        <v>102675.20000000048</v>
      </c>
      <c r="I42" s="11">
        <f>SUM(I43:I408)</f>
        <v>25378.783000000007</v>
      </c>
    </row>
    <row r="43" spans="2:9" x14ac:dyDescent="0.2">
      <c r="B43" s="191">
        <f>IF(Yearstart=0, "1/01/1999", Yearstart)</f>
        <v>45474</v>
      </c>
      <c r="C43" s="360">
        <v>163.95</v>
      </c>
      <c r="D43" s="81"/>
      <c r="E43" s="81">
        <v>150.53399999999999</v>
      </c>
      <c r="F43" s="81">
        <v>440</v>
      </c>
      <c r="G43" s="11">
        <f>F43-E43</f>
        <v>289.46600000000001</v>
      </c>
      <c r="H43" s="11">
        <f>'5. Historical demand'!F43-'5. Historical demand'!C43-'5. Historical demand'!D43</f>
        <v>276.05</v>
      </c>
      <c r="I43" s="11">
        <f>C43+D43-E43</f>
        <v>13.415999999999997</v>
      </c>
    </row>
    <row r="44" spans="2:9" x14ac:dyDescent="0.2">
      <c r="B44" s="191">
        <f t="shared" ref="B44:B107" si="0">IFERROR(IF(Yearending&gt;B43, B43+1, ""),"")</f>
        <v>45475</v>
      </c>
      <c r="C44" s="81">
        <v>163.95</v>
      </c>
      <c r="D44" s="81"/>
      <c r="E44" s="81">
        <v>155.05099999999999</v>
      </c>
      <c r="F44" s="81">
        <v>440</v>
      </c>
      <c r="G44" s="11">
        <f t="shared" ref="G44:G107" si="1">IFERROR(IF(Yearending&gt;B43,F44-E44,""),"")</f>
        <v>284.94900000000001</v>
      </c>
      <c r="H44" s="11">
        <f>IFERROR(IF(Yearending&gt;B43,'5. Historical demand'!F44-'5. Historical demand'!C44-'5. Historical demand'!D44,""),"")</f>
        <v>276.05</v>
      </c>
      <c r="I44" s="11">
        <f t="shared" ref="I44:I107" si="2">IFERROR(IF(Yearending&gt;B43,C44+D44-E44,""),"")</f>
        <v>8.8990000000000009</v>
      </c>
    </row>
    <row r="45" spans="2:9" x14ac:dyDescent="0.2">
      <c r="B45" s="191">
        <f t="shared" si="0"/>
        <v>45476</v>
      </c>
      <c r="C45" s="81">
        <v>163.95</v>
      </c>
      <c r="D45" s="81"/>
      <c r="E45" s="81">
        <v>158.85900000000001</v>
      </c>
      <c r="F45" s="81">
        <v>440</v>
      </c>
      <c r="G45" s="11">
        <f t="shared" si="1"/>
        <v>281.14099999999996</v>
      </c>
      <c r="H45" s="11">
        <f>IFERROR(IF(Yearending&gt;B44,'5. Historical demand'!F45-'5. Historical demand'!C45-'5. Historical demand'!D45,""),"")</f>
        <v>276.05</v>
      </c>
      <c r="I45" s="11">
        <f t="shared" si="2"/>
        <v>5.0909999999999798</v>
      </c>
    </row>
    <row r="46" spans="2:9" x14ac:dyDescent="0.2">
      <c r="B46" s="191">
        <f t="shared" si="0"/>
        <v>45477</v>
      </c>
      <c r="C46" s="81">
        <v>163.95</v>
      </c>
      <c r="D46" s="81"/>
      <c r="E46" s="81">
        <v>163.96199999999999</v>
      </c>
      <c r="F46" s="81">
        <v>440</v>
      </c>
      <c r="G46" s="11">
        <f t="shared" si="1"/>
        <v>276.03800000000001</v>
      </c>
      <c r="H46" s="11">
        <f>IFERROR(IF(Yearending&gt;B45,'5. Historical demand'!F46-'5. Historical demand'!C46-'5. Historical demand'!D46,""),"")</f>
        <v>276.05</v>
      </c>
      <c r="I46" s="11">
        <f t="shared" si="2"/>
        <v>-1.2000000000000455E-2</v>
      </c>
    </row>
    <row r="47" spans="2:9" x14ac:dyDescent="0.2">
      <c r="B47" s="191">
        <f t="shared" si="0"/>
        <v>45478</v>
      </c>
      <c r="C47" s="81">
        <v>163.95</v>
      </c>
      <c r="D47" s="81"/>
      <c r="E47" s="81">
        <v>156.05199999999999</v>
      </c>
      <c r="F47" s="81">
        <v>440</v>
      </c>
      <c r="G47" s="11">
        <f t="shared" si="1"/>
        <v>283.94799999999998</v>
      </c>
      <c r="H47" s="11">
        <f>IFERROR(IF(Yearending&gt;B46,'5. Historical demand'!F47-'5. Historical demand'!C47-'5. Historical demand'!D47,""),"")</f>
        <v>276.05</v>
      </c>
      <c r="I47" s="11">
        <f t="shared" si="2"/>
        <v>7.8979999999999961</v>
      </c>
    </row>
    <row r="48" spans="2:9" x14ac:dyDescent="0.2">
      <c r="B48" s="191">
        <f t="shared" si="0"/>
        <v>45479</v>
      </c>
      <c r="C48" s="81">
        <v>163.95</v>
      </c>
      <c r="D48" s="81"/>
      <c r="E48" s="81">
        <v>108</v>
      </c>
      <c r="F48" s="81">
        <v>440</v>
      </c>
      <c r="G48" s="11">
        <f t="shared" si="1"/>
        <v>332</v>
      </c>
      <c r="H48" s="11">
        <f>IFERROR(IF(Yearending&gt;B47,'5. Historical demand'!F48-'5. Historical demand'!C48-'5. Historical demand'!D48,""),"")</f>
        <v>276.05</v>
      </c>
      <c r="I48" s="11">
        <f t="shared" si="2"/>
        <v>55.949999999999989</v>
      </c>
    </row>
    <row r="49" spans="2:9" x14ac:dyDescent="0.2">
      <c r="B49" s="191">
        <f t="shared" si="0"/>
        <v>45480</v>
      </c>
      <c r="C49" s="81">
        <v>163.95</v>
      </c>
      <c r="D49" s="81"/>
      <c r="E49" s="81">
        <v>125.041</v>
      </c>
      <c r="F49" s="81">
        <v>440</v>
      </c>
      <c r="G49" s="11">
        <f t="shared" si="1"/>
        <v>314.959</v>
      </c>
      <c r="H49" s="11">
        <f>IFERROR(IF(Yearending&gt;B48,'5. Historical demand'!F49-'5. Historical demand'!C49-'5. Historical demand'!D49,""),"")</f>
        <v>276.05</v>
      </c>
      <c r="I49" s="11">
        <f t="shared" si="2"/>
        <v>38.908999999999992</v>
      </c>
    </row>
    <row r="50" spans="2:9" x14ac:dyDescent="0.2">
      <c r="B50" s="191">
        <f t="shared" si="0"/>
        <v>45481</v>
      </c>
      <c r="C50" s="81">
        <v>163.95</v>
      </c>
      <c r="D50" s="81"/>
      <c r="E50" s="81">
        <v>134.066</v>
      </c>
      <c r="F50" s="81">
        <v>440</v>
      </c>
      <c r="G50" s="11">
        <f t="shared" si="1"/>
        <v>305.93399999999997</v>
      </c>
      <c r="H50" s="11">
        <f>IFERROR(IF(Yearending&gt;B49,'5. Historical demand'!F50-'5. Historical demand'!C50-'5. Historical demand'!D50,""),"")</f>
        <v>276.05</v>
      </c>
      <c r="I50" s="11">
        <f t="shared" si="2"/>
        <v>29.883999999999986</v>
      </c>
    </row>
    <row r="51" spans="2:9" x14ac:dyDescent="0.2">
      <c r="B51" s="191">
        <f t="shared" si="0"/>
        <v>45482</v>
      </c>
      <c r="C51" s="81">
        <v>163.95</v>
      </c>
      <c r="D51" s="81"/>
      <c r="E51" s="81">
        <v>135.999</v>
      </c>
      <c r="F51" s="81">
        <v>440</v>
      </c>
      <c r="G51" s="11">
        <f t="shared" si="1"/>
        <v>304.00099999999998</v>
      </c>
      <c r="H51" s="11">
        <f>IFERROR(IF(Yearending&gt;B50,'5. Historical demand'!F51-'5. Historical demand'!C51-'5. Historical demand'!D51,""),"")</f>
        <v>276.05</v>
      </c>
      <c r="I51" s="11">
        <f t="shared" si="2"/>
        <v>27.950999999999993</v>
      </c>
    </row>
    <row r="52" spans="2:9" x14ac:dyDescent="0.2">
      <c r="B52" s="191">
        <f t="shared" si="0"/>
        <v>45483</v>
      </c>
      <c r="C52" s="81">
        <v>163.95</v>
      </c>
      <c r="D52" s="81"/>
      <c r="E52" s="81">
        <v>128.042</v>
      </c>
      <c r="F52" s="81">
        <v>440</v>
      </c>
      <c r="G52" s="11">
        <f t="shared" si="1"/>
        <v>311.95799999999997</v>
      </c>
      <c r="H52" s="11">
        <f>IFERROR(IF(Yearending&gt;B51,'5. Historical demand'!F52-'5. Historical demand'!C52-'5. Historical demand'!D52,""),"")</f>
        <v>276.05</v>
      </c>
      <c r="I52" s="11">
        <f t="shared" si="2"/>
        <v>35.907999999999987</v>
      </c>
    </row>
    <row r="53" spans="2:9" x14ac:dyDescent="0.2">
      <c r="B53" s="191">
        <f t="shared" si="0"/>
        <v>45484</v>
      </c>
      <c r="C53" s="81">
        <v>163.95</v>
      </c>
      <c r="D53" s="81"/>
      <c r="E53" s="81">
        <v>122.038</v>
      </c>
      <c r="F53" s="81">
        <v>440</v>
      </c>
      <c r="G53" s="11">
        <f t="shared" si="1"/>
        <v>317.96199999999999</v>
      </c>
      <c r="H53" s="11">
        <f>IFERROR(IF(Yearending&gt;B52,'5. Historical demand'!F53-'5. Historical demand'!C53-'5. Historical demand'!D53,""),"")</f>
        <v>276.05</v>
      </c>
      <c r="I53" s="11">
        <f t="shared" si="2"/>
        <v>41.911999999999992</v>
      </c>
    </row>
    <row r="54" spans="2:9" x14ac:dyDescent="0.2">
      <c r="B54" s="191">
        <f t="shared" si="0"/>
        <v>45485</v>
      </c>
      <c r="C54" s="81">
        <v>163.95</v>
      </c>
      <c r="D54" s="81"/>
      <c r="E54" s="81">
        <v>137.03700000000001</v>
      </c>
      <c r="F54" s="81">
        <v>440</v>
      </c>
      <c r="G54" s="11">
        <f t="shared" si="1"/>
        <v>302.96299999999997</v>
      </c>
      <c r="H54" s="11">
        <f>IFERROR(IF(Yearending&gt;B53,'5. Historical demand'!F54-'5. Historical demand'!C54-'5. Historical demand'!D54,""),"")</f>
        <v>276.05</v>
      </c>
      <c r="I54" s="11">
        <f t="shared" si="2"/>
        <v>26.912999999999982</v>
      </c>
    </row>
    <row r="55" spans="2:9" x14ac:dyDescent="0.2">
      <c r="B55" s="191">
        <f t="shared" si="0"/>
        <v>45486</v>
      </c>
      <c r="C55" s="81">
        <v>163.95</v>
      </c>
      <c r="D55" s="81"/>
      <c r="E55" s="81">
        <v>131.04</v>
      </c>
      <c r="F55" s="81">
        <v>440</v>
      </c>
      <c r="G55" s="11">
        <f t="shared" si="1"/>
        <v>308.96000000000004</v>
      </c>
      <c r="H55" s="11">
        <f>IFERROR(IF(Yearending&gt;B54,'5. Historical demand'!F55-'5. Historical demand'!C55-'5. Historical demand'!D55,""),"")</f>
        <v>276.05</v>
      </c>
      <c r="I55" s="11">
        <f t="shared" si="2"/>
        <v>32.909999999999997</v>
      </c>
    </row>
    <row r="56" spans="2:9" x14ac:dyDescent="0.2">
      <c r="B56" s="191">
        <f t="shared" si="0"/>
        <v>45487</v>
      </c>
      <c r="C56" s="81">
        <v>163.95</v>
      </c>
      <c r="D56" s="81"/>
      <c r="E56" s="81">
        <v>126.051</v>
      </c>
      <c r="F56" s="81">
        <v>440</v>
      </c>
      <c r="G56" s="11">
        <f t="shared" si="1"/>
        <v>313.94900000000001</v>
      </c>
      <c r="H56" s="11">
        <f>IFERROR(IF(Yearending&gt;B55,'5. Historical demand'!F56-'5. Historical demand'!C56-'5. Historical demand'!D56,""),"")</f>
        <v>276.05</v>
      </c>
      <c r="I56" s="11">
        <f t="shared" si="2"/>
        <v>37.898999999999987</v>
      </c>
    </row>
    <row r="57" spans="2:9" x14ac:dyDescent="0.2">
      <c r="B57" s="191">
        <f t="shared" si="0"/>
        <v>45488</v>
      </c>
      <c r="C57" s="81">
        <v>163.95</v>
      </c>
      <c r="D57" s="81"/>
      <c r="E57" s="81">
        <v>87.906000000000006</v>
      </c>
      <c r="F57" s="81">
        <v>440</v>
      </c>
      <c r="G57" s="11">
        <f t="shared" si="1"/>
        <v>352.09399999999999</v>
      </c>
      <c r="H57" s="11">
        <f>IFERROR(IF(Yearending&gt;B56,'5. Historical demand'!F57-'5. Historical demand'!C57-'5. Historical demand'!D57,""),"")</f>
        <v>276.05</v>
      </c>
      <c r="I57" s="11">
        <f t="shared" si="2"/>
        <v>76.043999999999983</v>
      </c>
    </row>
    <row r="58" spans="2:9" x14ac:dyDescent="0.2">
      <c r="B58" s="191">
        <f t="shared" si="0"/>
        <v>45489</v>
      </c>
      <c r="C58" s="81">
        <v>163.95</v>
      </c>
      <c r="D58" s="81"/>
      <c r="E58" s="81">
        <v>71.849999999999994</v>
      </c>
      <c r="F58" s="81">
        <v>440</v>
      </c>
      <c r="G58" s="11">
        <f t="shared" si="1"/>
        <v>368.15</v>
      </c>
      <c r="H58" s="11">
        <f>IFERROR(IF(Yearending&gt;B57,'5. Historical demand'!F58-'5. Historical demand'!C58-'5. Historical demand'!D58,""),"")</f>
        <v>276.05</v>
      </c>
      <c r="I58" s="11">
        <f t="shared" si="2"/>
        <v>92.1</v>
      </c>
    </row>
    <row r="59" spans="2:9" x14ac:dyDescent="0.2">
      <c r="B59" s="191">
        <f t="shared" si="0"/>
        <v>45490</v>
      </c>
      <c r="C59" s="81">
        <v>163.95</v>
      </c>
      <c r="D59" s="81"/>
      <c r="E59" s="81">
        <v>107.03400000000001</v>
      </c>
      <c r="F59" s="81">
        <v>440</v>
      </c>
      <c r="G59" s="11">
        <f t="shared" si="1"/>
        <v>332.96600000000001</v>
      </c>
      <c r="H59" s="11">
        <f>IFERROR(IF(Yearending&gt;B58,'5. Historical demand'!F59-'5. Historical demand'!C59-'5. Historical demand'!D59,""),"")</f>
        <v>276.05</v>
      </c>
      <c r="I59" s="11">
        <f t="shared" si="2"/>
        <v>56.915999999999983</v>
      </c>
    </row>
    <row r="60" spans="2:9" x14ac:dyDescent="0.2">
      <c r="B60" s="191">
        <f t="shared" si="0"/>
        <v>45491</v>
      </c>
      <c r="C60" s="81">
        <v>163.95</v>
      </c>
      <c r="D60" s="81"/>
      <c r="E60" s="81">
        <v>94.037999999999997</v>
      </c>
      <c r="F60" s="81">
        <v>440</v>
      </c>
      <c r="G60" s="11">
        <f t="shared" si="1"/>
        <v>345.96199999999999</v>
      </c>
      <c r="H60" s="11">
        <f>IFERROR(IF(Yearending&gt;B59,'5. Historical demand'!F60-'5. Historical demand'!C60-'5. Historical demand'!D60,""),"")</f>
        <v>276.05</v>
      </c>
      <c r="I60" s="11">
        <f t="shared" si="2"/>
        <v>69.911999999999992</v>
      </c>
    </row>
    <row r="61" spans="2:9" x14ac:dyDescent="0.2">
      <c r="B61" s="191">
        <f t="shared" si="0"/>
        <v>45492</v>
      </c>
      <c r="C61" s="81">
        <v>163.95</v>
      </c>
      <c r="D61" s="81"/>
      <c r="E61" s="81">
        <v>87.037000000000006</v>
      </c>
      <c r="F61" s="81">
        <v>440</v>
      </c>
      <c r="G61" s="11">
        <f t="shared" si="1"/>
        <v>352.96299999999997</v>
      </c>
      <c r="H61" s="11">
        <f>IFERROR(IF(Yearending&gt;B60,'5. Historical demand'!F61-'5. Historical demand'!C61-'5. Historical demand'!D61,""),"")</f>
        <v>276.05</v>
      </c>
      <c r="I61" s="11">
        <f t="shared" si="2"/>
        <v>76.912999999999982</v>
      </c>
    </row>
    <row r="62" spans="2:9" x14ac:dyDescent="0.2">
      <c r="B62" s="191">
        <f t="shared" si="0"/>
        <v>45493</v>
      </c>
      <c r="C62" s="81">
        <v>163.95</v>
      </c>
      <c r="D62" s="81"/>
      <c r="E62" s="81">
        <v>96.54</v>
      </c>
      <c r="F62" s="81">
        <v>440</v>
      </c>
      <c r="G62" s="11">
        <f t="shared" si="1"/>
        <v>343.46</v>
      </c>
      <c r="H62" s="11">
        <f>IFERROR(IF(Yearending&gt;B61,'5. Historical demand'!F62-'5. Historical demand'!C62-'5. Historical demand'!D62,""),"")</f>
        <v>276.05</v>
      </c>
      <c r="I62" s="11">
        <f t="shared" si="2"/>
        <v>67.409999999999982</v>
      </c>
    </row>
    <row r="63" spans="2:9" x14ac:dyDescent="0.2">
      <c r="B63" s="191">
        <f t="shared" si="0"/>
        <v>45494</v>
      </c>
      <c r="C63" s="81">
        <v>163.95</v>
      </c>
      <c r="D63" s="81"/>
      <c r="E63" s="81">
        <v>81.539000000000001</v>
      </c>
      <c r="F63" s="81">
        <v>440</v>
      </c>
      <c r="G63" s="11">
        <f t="shared" si="1"/>
        <v>358.46100000000001</v>
      </c>
      <c r="H63" s="11">
        <f>IFERROR(IF(Yearending&gt;B62,'5. Historical demand'!F63-'5. Historical demand'!C63-'5. Historical demand'!D63,""),"")</f>
        <v>276.05</v>
      </c>
      <c r="I63" s="11">
        <f t="shared" si="2"/>
        <v>82.410999999999987</v>
      </c>
    </row>
    <row r="64" spans="2:9" x14ac:dyDescent="0.2">
      <c r="B64" s="191">
        <f t="shared" si="0"/>
        <v>45495</v>
      </c>
      <c r="C64" s="81">
        <v>163.95</v>
      </c>
      <c r="D64" s="81"/>
      <c r="E64" s="81">
        <v>55.04</v>
      </c>
      <c r="F64" s="81">
        <v>440</v>
      </c>
      <c r="G64" s="11">
        <f t="shared" si="1"/>
        <v>384.96</v>
      </c>
      <c r="H64" s="11">
        <f>IFERROR(IF(Yearending&gt;B63,'5. Historical demand'!F64-'5. Historical demand'!C64-'5. Historical demand'!D64,""),"")</f>
        <v>276.05</v>
      </c>
      <c r="I64" s="11">
        <f t="shared" si="2"/>
        <v>108.91</v>
      </c>
    </row>
    <row r="65" spans="2:9" x14ac:dyDescent="0.2">
      <c r="B65" s="191">
        <f t="shared" si="0"/>
        <v>45496</v>
      </c>
      <c r="C65" s="81">
        <v>163.95</v>
      </c>
      <c r="D65" s="81"/>
      <c r="E65" s="81">
        <v>89.04</v>
      </c>
      <c r="F65" s="81">
        <v>440</v>
      </c>
      <c r="G65" s="11">
        <f t="shared" si="1"/>
        <v>350.96</v>
      </c>
      <c r="H65" s="11">
        <f>IFERROR(IF(Yearending&gt;B64,'5. Historical demand'!F65-'5. Historical demand'!C65-'5. Historical demand'!D65,""),"")</f>
        <v>276.05</v>
      </c>
      <c r="I65" s="11">
        <f t="shared" si="2"/>
        <v>74.909999999999982</v>
      </c>
    </row>
    <row r="66" spans="2:9" x14ac:dyDescent="0.2">
      <c r="B66" s="191">
        <f t="shared" si="0"/>
        <v>45497</v>
      </c>
      <c r="C66" s="81">
        <v>163.95</v>
      </c>
      <c r="D66" s="81"/>
      <c r="E66" s="81">
        <v>64.046000000000006</v>
      </c>
      <c r="F66" s="81">
        <v>440</v>
      </c>
      <c r="G66" s="11">
        <f t="shared" si="1"/>
        <v>375.95400000000001</v>
      </c>
      <c r="H66" s="11">
        <f>IFERROR(IF(Yearending&gt;B65,'5. Historical demand'!F66-'5. Historical demand'!C66-'5. Historical demand'!D66,""),"")</f>
        <v>276.05</v>
      </c>
      <c r="I66" s="11">
        <f t="shared" si="2"/>
        <v>99.903999999999982</v>
      </c>
    </row>
    <row r="67" spans="2:9" x14ac:dyDescent="0.2">
      <c r="B67" s="191">
        <f t="shared" si="0"/>
        <v>45498</v>
      </c>
      <c r="C67" s="81">
        <v>163.95</v>
      </c>
      <c r="D67" s="81"/>
      <c r="E67" s="81">
        <v>87.445999999999998</v>
      </c>
      <c r="F67" s="81">
        <v>440</v>
      </c>
      <c r="G67" s="11">
        <f t="shared" si="1"/>
        <v>352.55399999999997</v>
      </c>
      <c r="H67" s="11">
        <f>IFERROR(IF(Yearending&gt;B66,'5. Historical demand'!F67-'5. Historical demand'!C67-'5. Historical demand'!D67,""),"")</f>
        <v>276.05</v>
      </c>
      <c r="I67" s="11">
        <f t="shared" si="2"/>
        <v>76.503999999999991</v>
      </c>
    </row>
    <row r="68" spans="2:9" x14ac:dyDescent="0.2">
      <c r="B68" s="191">
        <f t="shared" si="0"/>
        <v>45499</v>
      </c>
      <c r="C68" s="81">
        <v>163.95</v>
      </c>
      <c r="D68" s="81"/>
      <c r="E68" s="81">
        <v>104.04300000000001</v>
      </c>
      <c r="F68" s="81">
        <v>440</v>
      </c>
      <c r="G68" s="11">
        <f t="shared" si="1"/>
        <v>335.95699999999999</v>
      </c>
      <c r="H68" s="11">
        <f>IFERROR(IF(Yearending&gt;B67,'5. Historical demand'!F68-'5. Historical demand'!C68-'5. Historical demand'!D68,""),"")</f>
        <v>276.05</v>
      </c>
      <c r="I68" s="11">
        <f t="shared" si="2"/>
        <v>59.906999999999982</v>
      </c>
    </row>
    <row r="69" spans="2:9" x14ac:dyDescent="0.2">
      <c r="B69" s="191">
        <f t="shared" si="0"/>
        <v>45500</v>
      </c>
      <c r="C69" s="81">
        <v>163.95</v>
      </c>
      <c r="D69" s="81"/>
      <c r="E69" s="81">
        <v>99.046000000000006</v>
      </c>
      <c r="F69" s="81">
        <v>440</v>
      </c>
      <c r="G69" s="11">
        <f t="shared" si="1"/>
        <v>340.95400000000001</v>
      </c>
      <c r="H69" s="11">
        <f>IFERROR(IF(Yearending&gt;B68,'5. Historical demand'!F69-'5. Historical demand'!C69-'5. Historical demand'!D69,""),"")</f>
        <v>276.05</v>
      </c>
      <c r="I69" s="11">
        <f t="shared" si="2"/>
        <v>64.903999999999982</v>
      </c>
    </row>
    <row r="70" spans="2:9" x14ac:dyDescent="0.2">
      <c r="B70" s="191">
        <f t="shared" si="0"/>
        <v>45501</v>
      </c>
      <c r="C70" s="81">
        <v>163.95</v>
      </c>
      <c r="D70" s="81"/>
      <c r="E70" s="81">
        <v>93.046000000000006</v>
      </c>
      <c r="F70" s="81">
        <v>440</v>
      </c>
      <c r="G70" s="11">
        <f t="shared" si="1"/>
        <v>346.95400000000001</v>
      </c>
      <c r="H70" s="11">
        <f>IFERROR(IF(Yearending&gt;B69,'5. Historical demand'!F70-'5. Historical demand'!C70-'5. Historical demand'!D70,""),"")</f>
        <v>276.05</v>
      </c>
      <c r="I70" s="11">
        <f t="shared" si="2"/>
        <v>70.903999999999982</v>
      </c>
    </row>
    <row r="71" spans="2:9" x14ac:dyDescent="0.2">
      <c r="B71" s="191">
        <f t="shared" si="0"/>
        <v>45502</v>
      </c>
      <c r="C71" s="81">
        <v>163.95</v>
      </c>
      <c r="D71" s="81"/>
      <c r="E71" s="81">
        <v>115.047</v>
      </c>
      <c r="F71" s="81">
        <v>440</v>
      </c>
      <c r="G71" s="11">
        <f t="shared" si="1"/>
        <v>324.95299999999997</v>
      </c>
      <c r="H71" s="11">
        <f>IFERROR(IF(Yearending&gt;B70,'5. Historical demand'!F71-'5. Historical demand'!C71-'5. Historical demand'!D71,""),"")</f>
        <v>276.05</v>
      </c>
      <c r="I71" s="11">
        <f t="shared" si="2"/>
        <v>48.902999999999992</v>
      </c>
    </row>
    <row r="72" spans="2:9" x14ac:dyDescent="0.2">
      <c r="B72" s="191">
        <f t="shared" si="0"/>
        <v>45503</v>
      </c>
      <c r="C72" s="81">
        <v>163.95</v>
      </c>
      <c r="D72" s="81"/>
      <c r="E72" s="81">
        <v>121.04600000000001</v>
      </c>
      <c r="F72" s="81">
        <v>440</v>
      </c>
      <c r="G72" s="11">
        <f t="shared" si="1"/>
        <v>318.95400000000001</v>
      </c>
      <c r="H72" s="11">
        <f>IFERROR(IF(Yearending&gt;B71,'5. Historical demand'!F72-'5. Historical demand'!C72-'5. Historical demand'!D72,""),"")</f>
        <v>276.05</v>
      </c>
      <c r="I72" s="11">
        <f t="shared" si="2"/>
        <v>42.903999999999982</v>
      </c>
    </row>
    <row r="73" spans="2:9" x14ac:dyDescent="0.2">
      <c r="B73" s="191">
        <f t="shared" si="0"/>
        <v>45504</v>
      </c>
      <c r="C73" s="81">
        <v>163.95</v>
      </c>
      <c r="D73" s="81"/>
      <c r="E73" s="81">
        <v>109.048</v>
      </c>
      <c r="F73" s="81">
        <v>440</v>
      </c>
      <c r="G73" s="11">
        <f t="shared" si="1"/>
        <v>330.952</v>
      </c>
      <c r="H73" s="11">
        <f>IFERROR(IF(Yearending&gt;B72,'5. Historical demand'!F73-'5. Historical demand'!C73-'5. Historical demand'!D73,""),"")</f>
        <v>276.05</v>
      </c>
      <c r="I73" s="11">
        <f t="shared" si="2"/>
        <v>54.901999999999987</v>
      </c>
    </row>
    <row r="74" spans="2:9" x14ac:dyDescent="0.2">
      <c r="B74" s="191">
        <f t="shared" si="0"/>
        <v>45505</v>
      </c>
      <c r="C74" s="81">
        <v>163.95</v>
      </c>
      <c r="D74" s="81"/>
      <c r="E74" s="81">
        <v>109.048</v>
      </c>
      <c r="F74" s="81">
        <v>440</v>
      </c>
      <c r="G74" s="11">
        <f t="shared" si="1"/>
        <v>330.952</v>
      </c>
      <c r="H74" s="11">
        <f>IFERROR(IF(Yearending&gt;B73,'5. Historical demand'!F74-'5. Historical demand'!C74-'5. Historical demand'!D74,""),"")</f>
        <v>276.05</v>
      </c>
      <c r="I74" s="11">
        <f t="shared" si="2"/>
        <v>54.901999999999987</v>
      </c>
    </row>
    <row r="75" spans="2:9" x14ac:dyDescent="0.2">
      <c r="B75" s="191">
        <f t="shared" si="0"/>
        <v>45506</v>
      </c>
      <c r="C75" s="81">
        <v>163.95</v>
      </c>
      <c r="D75" s="81"/>
      <c r="E75" s="81">
        <v>91.364999999999995</v>
      </c>
      <c r="F75" s="81">
        <v>440</v>
      </c>
      <c r="G75" s="11">
        <f t="shared" si="1"/>
        <v>348.63499999999999</v>
      </c>
      <c r="H75" s="11">
        <f>IFERROR(IF(Yearending&gt;B74,'5. Historical demand'!F75-'5. Historical demand'!C75-'5. Historical demand'!D75,""),"")</f>
        <v>276.05</v>
      </c>
      <c r="I75" s="11">
        <f t="shared" si="2"/>
        <v>72.584999999999994</v>
      </c>
    </row>
    <row r="76" spans="2:9" x14ac:dyDescent="0.2">
      <c r="B76" s="191">
        <f t="shared" si="0"/>
        <v>45507</v>
      </c>
      <c r="C76" s="81">
        <v>163.95</v>
      </c>
      <c r="D76" s="81"/>
      <c r="E76" s="81">
        <v>73.042000000000002</v>
      </c>
      <c r="F76" s="81">
        <v>440</v>
      </c>
      <c r="G76" s="11">
        <f t="shared" si="1"/>
        <v>366.95799999999997</v>
      </c>
      <c r="H76" s="11">
        <f>IFERROR(IF(Yearending&gt;B75,'5. Historical demand'!F76-'5. Historical demand'!C76-'5. Historical demand'!D76,""),"")</f>
        <v>276.05</v>
      </c>
      <c r="I76" s="11">
        <f t="shared" si="2"/>
        <v>90.907999999999987</v>
      </c>
    </row>
    <row r="77" spans="2:9" x14ac:dyDescent="0.2">
      <c r="B77" s="191">
        <f t="shared" si="0"/>
        <v>45508</v>
      </c>
      <c r="C77" s="81">
        <v>163.95</v>
      </c>
      <c r="D77" s="81"/>
      <c r="E77" s="81">
        <v>66.036000000000001</v>
      </c>
      <c r="F77" s="81">
        <v>440</v>
      </c>
      <c r="G77" s="11">
        <f t="shared" si="1"/>
        <v>373.964</v>
      </c>
      <c r="H77" s="11">
        <f>IFERROR(IF(Yearending&gt;B76,'5. Historical demand'!F77-'5. Historical demand'!C77-'5. Historical demand'!D77,""),"")</f>
        <v>276.05</v>
      </c>
      <c r="I77" s="11">
        <f t="shared" si="2"/>
        <v>97.913999999999987</v>
      </c>
    </row>
    <row r="78" spans="2:9" x14ac:dyDescent="0.2">
      <c r="B78" s="191">
        <f t="shared" si="0"/>
        <v>45509</v>
      </c>
      <c r="C78" s="81">
        <v>163.95</v>
      </c>
      <c r="D78" s="81"/>
      <c r="E78" s="81">
        <v>111.03700000000001</v>
      </c>
      <c r="F78" s="81">
        <v>440</v>
      </c>
      <c r="G78" s="11">
        <f t="shared" si="1"/>
        <v>328.96299999999997</v>
      </c>
      <c r="H78" s="11">
        <f>IFERROR(IF(Yearending&gt;B77,'5. Historical demand'!F78-'5. Historical demand'!C78-'5. Historical demand'!D78,""),"")</f>
        <v>276.05</v>
      </c>
      <c r="I78" s="11">
        <f t="shared" si="2"/>
        <v>52.912999999999982</v>
      </c>
    </row>
    <row r="79" spans="2:9" x14ac:dyDescent="0.2">
      <c r="B79" s="191">
        <f t="shared" si="0"/>
        <v>45510</v>
      </c>
      <c r="C79" s="81">
        <v>163.95</v>
      </c>
      <c r="D79" s="81"/>
      <c r="E79" s="81">
        <v>107.051</v>
      </c>
      <c r="F79" s="81">
        <v>440</v>
      </c>
      <c r="G79" s="11">
        <f t="shared" si="1"/>
        <v>332.94900000000001</v>
      </c>
      <c r="H79" s="11">
        <f>IFERROR(IF(Yearending&gt;B78,'5. Historical demand'!F79-'5. Historical demand'!C79-'5. Historical demand'!D79,""),"")</f>
        <v>276.05</v>
      </c>
      <c r="I79" s="11">
        <f t="shared" si="2"/>
        <v>56.898999999999987</v>
      </c>
    </row>
    <row r="80" spans="2:9" x14ac:dyDescent="0.2">
      <c r="B80" s="191">
        <f t="shared" si="0"/>
        <v>45511</v>
      </c>
      <c r="C80" s="81">
        <v>163.95</v>
      </c>
      <c r="D80" s="81"/>
      <c r="E80" s="81">
        <v>75.051000000000002</v>
      </c>
      <c r="F80" s="81">
        <v>440</v>
      </c>
      <c r="G80" s="11">
        <f t="shared" si="1"/>
        <v>364.94900000000001</v>
      </c>
      <c r="H80" s="11">
        <f>IFERROR(IF(Yearending&gt;B79,'5. Historical demand'!F80-'5. Historical demand'!C80-'5. Historical demand'!D80,""),"")</f>
        <v>276.05</v>
      </c>
      <c r="I80" s="11">
        <f t="shared" si="2"/>
        <v>88.898999999999987</v>
      </c>
    </row>
    <row r="81" spans="2:9" x14ac:dyDescent="0.2">
      <c r="B81" s="191">
        <f t="shared" si="0"/>
        <v>45512</v>
      </c>
      <c r="C81" s="81">
        <v>163.95</v>
      </c>
      <c r="D81" s="81"/>
      <c r="E81" s="81">
        <v>103.833</v>
      </c>
      <c r="F81" s="81">
        <v>440</v>
      </c>
      <c r="G81" s="11">
        <f t="shared" si="1"/>
        <v>336.16700000000003</v>
      </c>
      <c r="H81" s="11">
        <f>IFERROR(IF(Yearending&gt;B80,'5. Historical demand'!F81-'5. Historical demand'!C81-'5. Historical demand'!D81,""),"")</f>
        <v>276.05</v>
      </c>
      <c r="I81" s="11">
        <f t="shared" si="2"/>
        <v>60.11699999999999</v>
      </c>
    </row>
    <row r="82" spans="2:9" x14ac:dyDescent="0.2">
      <c r="B82" s="191">
        <f t="shared" si="0"/>
        <v>45513</v>
      </c>
      <c r="C82" s="81">
        <v>163.95</v>
      </c>
      <c r="D82" s="81"/>
      <c r="E82" s="81">
        <v>164.05</v>
      </c>
      <c r="F82" s="81">
        <v>440</v>
      </c>
      <c r="G82" s="11">
        <f t="shared" si="1"/>
        <v>275.95</v>
      </c>
      <c r="H82" s="11">
        <f>IFERROR(IF(Yearending&gt;B81,'5. Historical demand'!F82-'5. Historical demand'!C82-'5. Historical demand'!D82,""),"")</f>
        <v>276.05</v>
      </c>
      <c r="I82" s="11">
        <f t="shared" si="2"/>
        <v>-0.10000000000002274</v>
      </c>
    </row>
    <row r="83" spans="2:9" x14ac:dyDescent="0.2">
      <c r="B83" s="191">
        <f t="shared" si="0"/>
        <v>45514</v>
      </c>
      <c r="C83" s="81">
        <v>163.95</v>
      </c>
      <c r="D83" s="81"/>
      <c r="E83" s="81">
        <v>140.05099999999999</v>
      </c>
      <c r="F83" s="81">
        <v>440</v>
      </c>
      <c r="G83" s="11">
        <f t="shared" si="1"/>
        <v>299.94900000000001</v>
      </c>
      <c r="H83" s="11">
        <f>IFERROR(IF(Yearending&gt;B82,'5. Historical demand'!F83-'5. Historical demand'!C83-'5. Historical demand'!D83,""),"")</f>
        <v>276.05</v>
      </c>
      <c r="I83" s="11">
        <f t="shared" si="2"/>
        <v>23.899000000000001</v>
      </c>
    </row>
    <row r="84" spans="2:9" x14ac:dyDescent="0.2">
      <c r="B84" s="191">
        <f t="shared" si="0"/>
        <v>45515</v>
      </c>
      <c r="C84" s="81">
        <v>163.95</v>
      </c>
      <c r="D84" s="81"/>
      <c r="E84" s="81">
        <v>149.84299999999999</v>
      </c>
      <c r="F84" s="81">
        <v>440</v>
      </c>
      <c r="G84" s="11">
        <f t="shared" si="1"/>
        <v>290.15700000000004</v>
      </c>
      <c r="H84" s="11">
        <f>IFERROR(IF(Yearending&gt;B83,'5. Historical demand'!F84-'5. Historical demand'!C84-'5. Historical demand'!D84,""),"")</f>
        <v>276.05</v>
      </c>
      <c r="I84" s="11">
        <f t="shared" si="2"/>
        <v>14.106999999999999</v>
      </c>
    </row>
    <row r="85" spans="2:9" x14ac:dyDescent="0.2">
      <c r="B85" s="191">
        <f t="shared" si="0"/>
        <v>45516</v>
      </c>
      <c r="C85" s="81">
        <v>163.95</v>
      </c>
      <c r="D85" s="81"/>
      <c r="E85" s="81">
        <v>164</v>
      </c>
      <c r="F85" s="81">
        <v>440</v>
      </c>
      <c r="G85" s="11">
        <f t="shared" si="1"/>
        <v>276</v>
      </c>
      <c r="H85" s="11">
        <f>IFERROR(IF(Yearending&gt;B84,'5. Historical demand'!F85-'5. Historical demand'!C85-'5. Historical demand'!D85,""),"")</f>
        <v>276.05</v>
      </c>
      <c r="I85" s="11">
        <f t="shared" si="2"/>
        <v>-5.0000000000011369E-2</v>
      </c>
    </row>
    <row r="86" spans="2:9" x14ac:dyDescent="0.2">
      <c r="B86" s="191">
        <f t="shared" si="0"/>
        <v>45517</v>
      </c>
      <c r="C86" s="81">
        <v>163.95</v>
      </c>
      <c r="D86" s="81"/>
      <c r="E86" s="81">
        <v>162.05199999999999</v>
      </c>
      <c r="F86" s="81">
        <v>440</v>
      </c>
      <c r="G86" s="11">
        <f t="shared" si="1"/>
        <v>277.94799999999998</v>
      </c>
      <c r="H86" s="11">
        <f>IFERROR(IF(Yearending&gt;B85,'5. Historical demand'!F86-'5. Historical demand'!C86-'5. Historical demand'!D86,""),"")</f>
        <v>276.05</v>
      </c>
      <c r="I86" s="11">
        <f t="shared" si="2"/>
        <v>1.8979999999999961</v>
      </c>
    </row>
    <row r="87" spans="2:9" x14ac:dyDescent="0.2">
      <c r="B87" s="191">
        <f t="shared" si="0"/>
        <v>45518</v>
      </c>
      <c r="C87" s="81">
        <v>163.95</v>
      </c>
      <c r="D87" s="81"/>
      <c r="E87" s="81">
        <v>30.05</v>
      </c>
      <c r="F87" s="81">
        <v>440</v>
      </c>
      <c r="G87" s="11">
        <f t="shared" si="1"/>
        <v>409.95</v>
      </c>
      <c r="H87" s="11">
        <f>IFERROR(IF(Yearending&gt;B86,'5. Historical demand'!F87-'5. Historical demand'!C87-'5. Historical demand'!D87,""),"")</f>
        <v>276.05</v>
      </c>
      <c r="I87" s="11">
        <f t="shared" si="2"/>
        <v>133.89999999999998</v>
      </c>
    </row>
    <row r="88" spans="2:9" x14ac:dyDescent="0.2">
      <c r="B88" s="191">
        <f t="shared" si="0"/>
        <v>45519</v>
      </c>
      <c r="C88" s="81">
        <v>163.95</v>
      </c>
      <c r="D88" s="81"/>
      <c r="E88" s="81">
        <v>51.04</v>
      </c>
      <c r="F88" s="81">
        <v>440</v>
      </c>
      <c r="G88" s="11">
        <f t="shared" si="1"/>
        <v>388.96</v>
      </c>
      <c r="H88" s="11">
        <f>IFERROR(IF(Yearending&gt;B87,'5. Historical demand'!F88-'5. Historical demand'!C88-'5. Historical demand'!D88,""),"")</f>
        <v>276.05</v>
      </c>
      <c r="I88" s="11">
        <f t="shared" si="2"/>
        <v>112.91</v>
      </c>
    </row>
    <row r="89" spans="2:9" x14ac:dyDescent="0.2">
      <c r="B89" s="191">
        <f t="shared" si="0"/>
        <v>45520</v>
      </c>
      <c r="C89" s="81">
        <v>163.95</v>
      </c>
      <c r="D89" s="81"/>
      <c r="E89" s="81">
        <v>25.541</v>
      </c>
      <c r="F89" s="81">
        <v>440</v>
      </c>
      <c r="G89" s="11">
        <f t="shared" si="1"/>
        <v>414.459</v>
      </c>
      <c r="H89" s="11">
        <f>IFERROR(IF(Yearending&gt;B88,'5. Historical demand'!F89-'5. Historical demand'!C89-'5. Historical demand'!D89,""),"")</f>
        <v>276.05</v>
      </c>
      <c r="I89" s="11">
        <f t="shared" si="2"/>
        <v>138.40899999999999</v>
      </c>
    </row>
    <row r="90" spans="2:9" x14ac:dyDescent="0.2">
      <c r="B90" s="191">
        <f t="shared" si="0"/>
        <v>45521</v>
      </c>
      <c r="C90" s="81">
        <v>163.95</v>
      </c>
      <c r="D90" s="81"/>
      <c r="E90" s="81">
        <v>93.549000000000007</v>
      </c>
      <c r="F90" s="81">
        <v>440</v>
      </c>
      <c r="G90" s="11">
        <f t="shared" si="1"/>
        <v>346.45100000000002</v>
      </c>
      <c r="H90" s="11">
        <f>IFERROR(IF(Yearending&gt;B89,'5. Historical demand'!F90-'5. Historical demand'!C90-'5. Historical demand'!D90,""),"")</f>
        <v>276.05</v>
      </c>
      <c r="I90" s="11">
        <f t="shared" si="2"/>
        <v>70.400999999999982</v>
      </c>
    </row>
    <row r="91" spans="2:9" x14ac:dyDescent="0.2">
      <c r="B91" s="191">
        <f t="shared" si="0"/>
        <v>45522</v>
      </c>
      <c r="C91" s="81">
        <v>163.95</v>
      </c>
      <c r="D91" s="81"/>
      <c r="E91" s="81">
        <v>65.049000000000007</v>
      </c>
      <c r="F91" s="81">
        <v>440</v>
      </c>
      <c r="G91" s="11">
        <f t="shared" si="1"/>
        <v>374.95100000000002</v>
      </c>
      <c r="H91" s="11">
        <f>IFERROR(IF(Yearending&gt;B90,'5. Historical demand'!F91-'5. Historical demand'!C91-'5. Historical demand'!D91,""),"")</f>
        <v>276.05</v>
      </c>
      <c r="I91" s="11">
        <f t="shared" si="2"/>
        <v>98.900999999999982</v>
      </c>
    </row>
    <row r="92" spans="2:9" x14ac:dyDescent="0.2">
      <c r="B92" s="191">
        <f t="shared" si="0"/>
        <v>45523</v>
      </c>
      <c r="C92" s="81">
        <v>163.95</v>
      </c>
      <c r="D92" s="81"/>
      <c r="E92" s="81">
        <v>157.46</v>
      </c>
      <c r="F92" s="81">
        <v>440</v>
      </c>
      <c r="G92" s="11">
        <f t="shared" si="1"/>
        <v>282.53999999999996</v>
      </c>
      <c r="H92" s="11">
        <f>IFERROR(IF(Yearending&gt;B91,'5. Historical demand'!F92-'5. Historical demand'!C92-'5. Historical demand'!D92,""),"")</f>
        <v>276.05</v>
      </c>
      <c r="I92" s="11">
        <f t="shared" si="2"/>
        <v>6.4899999999999807</v>
      </c>
    </row>
    <row r="93" spans="2:9" x14ac:dyDescent="0.2">
      <c r="B93" s="191">
        <f t="shared" si="0"/>
        <v>45524</v>
      </c>
      <c r="C93" s="81">
        <v>163.95</v>
      </c>
      <c r="D93" s="81"/>
      <c r="E93" s="81">
        <v>137.047</v>
      </c>
      <c r="F93" s="81">
        <v>440</v>
      </c>
      <c r="G93" s="11">
        <f t="shared" si="1"/>
        <v>302.95299999999997</v>
      </c>
      <c r="H93" s="11">
        <f>IFERROR(IF(Yearending&gt;B92,'5. Historical demand'!F93-'5. Historical demand'!C93-'5. Historical demand'!D93,""),"")</f>
        <v>276.05</v>
      </c>
      <c r="I93" s="11">
        <f t="shared" si="2"/>
        <v>26.902999999999992</v>
      </c>
    </row>
    <row r="94" spans="2:9" x14ac:dyDescent="0.2">
      <c r="B94" s="191">
        <f t="shared" si="0"/>
        <v>45525</v>
      </c>
      <c r="C94" s="81">
        <v>163.95</v>
      </c>
      <c r="D94" s="81"/>
      <c r="E94" s="81">
        <v>68.046000000000006</v>
      </c>
      <c r="F94" s="81">
        <v>440</v>
      </c>
      <c r="G94" s="11">
        <f t="shared" si="1"/>
        <v>371.95400000000001</v>
      </c>
      <c r="H94" s="11">
        <f>IFERROR(IF(Yearending&gt;B93,'5. Historical demand'!F94-'5. Historical demand'!C94-'5. Historical demand'!D94,""),"")</f>
        <v>276.05</v>
      </c>
      <c r="I94" s="11">
        <f t="shared" si="2"/>
        <v>95.903999999999982</v>
      </c>
    </row>
    <row r="95" spans="2:9" x14ac:dyDescent="0.2">
      <c r="B95" s="191">
        <f t="shared" si="0"/>
        <v>45526</v>
      </c>
      <c r="C95" s="81">
        <v>163.95</v>
      </c>
      <c r="D95" s="81"/>
      <c r="E95" s="81">
        <v>99.05</v>
      </c>
      <c r="F95" s="81">
        <v>440</v>
      </c>
      <c r="G95" s="11">
        <f t="shared" si="1"/>
        <v>340.95</v>
      </c>
      <c r="H95" s="11">
        <f>IFERROR(IF(Yearending&gt;B94,'5. Historical demand'!F95-'5. Historical demand'!C95-'5. Historical demand'!D95,""),"")</f>
        <v>276.05</v>
      </c>
      <c r="I95" s="11">
        <f t="shared" si="2"/>
        <v>64.899999999999991</v>
      </c>
    </row>
    <row r="96" spans="2:9" x14ac:dyDescent="0.2">
      <c r="B96" s="191">
        <f t="shared" si="0"/>
        <v>45527</v>
      </c>
      <c r="C96" s="81">
        <v>163.95</v>
      </c>
      <c r="D96" s="81"/>
      <c r="E96" s="81">
        <v>5.1829999999999998</v>
      </c>
      <c r="F96" s="81">
        <v>440</v>
      </c>
      <c r="G96" s="11">
        <f t="shared" si="1"/>
        <v>434.81700000000001</v>
      </c>
      <c r="H96" s="11">
        <f>IFERROR(IF(Yearending&gt;B95,'5. Historical demand'!F96-'5. Historical demand'!C96-'5. Historical demand'!D96,""),"")</f>
        <v>276.05</v>
      </c>
      <c r="I96" s="11">
        <f t="shared" si="2"/>
        <v>158.767</v>
      </c>
    </row>
    <row r="97" spans="2:9" x14ac:dyDescent="0.2">
      <c r="B97" s="191">
        <f t="shared" si="0"/>
        <v>45528</v>
      </c>
      <c r="C97" s="81">
        <v>163.95</v>
      </c>
      <c r="D97" s="81"/>
      <c r="E97" s="81">
        <v>7.5999999999999943</v>
      </c>
      <c r="F97" s="81">
        <v>440</v>
      </c>
      <c r="G97" s="11">
        <f t="shared" si="1"/>
        <v>432.4</v>
      </c>
      <c r="H97" s="11">
        <f>IFERROR(IF(Yearending&gt;B96,'5. Historical demand'!F97-'5. Historical demand'!C97-'5. Historical demand'!D97,""),"")</f>
        <v>276.05</v>
      </c>
      <c r="I97" s="11">
        <f t="shared" si="2"/>
        <v>156.35</v>
      </c>
    </row>
    <row r="98" spans="2:9" x14ac:dyDescent="0.2">
      <c r="B98" s="191">
        <f t="shared" si="0"/>
        <v>45529</v>
      </c>
      <c r="C98" s="81">
        <v>163.95</v>
      </c>
      <c r="D98" s="81"/>
      <c r="E98" s="81">
        <v>-0.39300000000000068</v>
      </c>
      <c r="F98" s="81">
        <v>440</v>
      </c>
      <c r="G98" s="11">
        <f t="shared" si="1"/>
        <v>440.39300000000003</v>
      </c>
      <c r="H98" s="11">
        <f>IFERROR(IF(Yearending&gt;B97,'5. Historical demand'!F98-'5. Historical demand'!C98-'5. Historical demand'!D98,""),"")</f>
        <v>276.05</v>
      </c>
      <c r="I98" s="11">
        <f t="shared" si="2"/>
        <v>164.34299999999999</v>
      </c>
    </row>
    <row r="99" spans="2:9" x14ac:dyDescent="0.2">
      <c r="B99" s="191">
        <f t="shared" si="0"/>
        <v>45530</v>
      </c>
      <c r="C99" s="81">
        <v>163.95</v>
      </c>
      <c r="D99" s="81"/>
      <c r="E99" s="81">
        <v>1.9309999999999974</v>
      </c>
      <c r="F99" s="81">
        <v>440</v>
      </c>
      <c r="G99" s="11">
        <f t="shared" si="1"/>
        <v>438.06900000000002</v>
      </c>
      <c r="H99" s="11">
        <f>IFERROR(IF(Yearending&gt;B98,'5. Historical demand'!F99-'5. Historical demand'!C99-'5. Historical demand'!D99,""),"")</f>
        <v>276.05</v>
      </c>
      <c r="I99" s="11">
        <f t="shared" si="2"/>
        <v>162.01900000000001</v>
      </c>
    </row>
    <row r="100" spans="2:9" x14ac:dyDescent="0.2">
      <c r="B100" s="191">
        <f t="shared" si="0"/>
        <v>45531</v>
      </c>
      <c r="C100" s="81">
        <v>163.95</v>
      </c>
      <c r="D100" s="81"/>
      <c r="E100" s="81">
        <v>11.000999999999999</v>
      </c>
      <c r="F100" s="81">
        <v>440</v>
      </c>
      <c r="G100" s="11">
        <f t="shared" si="1"/>
        <v>428.99900000000002</v>
      </c>
      <c r="H100" s="11">
        <f>IFERROR(IF(Yearending&gt;B99,'5. Historical demand'!F100-'5. Historical demand'!C100-'5. Historical demand'!D100,""),"")</f>
        <v>276.05</v>
      </c>
      <c r="I100" s="11">
        <f t="shared" si="2"/>
        <v>152.94899999999998</v>
      </c>
    </row>
    <row r="101" spans="2:9" x14ac:dyDescent="0.2">
      <c r="B101" s="191">
        <f t="shared" si="0"/>
        <v>45532</v>
      </c>
      <c r="C101" s="81">
        <v>163.95</v>
      </c>
      <c r="D101" s="81"/>
      <c r="E101" s="81">
        <v>5.3710000000000004</v>
      </c>
      <c r="F101" s="81">
        <v>440</v>
      </c>
      <c r="G101" s="11">
        <f t="shared" si="1"/>
        <v>434.62900000000002</v>
      </c>
      <c r="H101" s="11">
        <f>IFERROR(IF(Yearending&gt;B100,'5. Historical demand'!F101-'5. Historical demand'!C101-'5. Historical demand'!D101,""),"")</f>
        <v>276.05</v>
      </c>
      <c r="I101" s="11">
        <f t="shared" si="2"/>
        <v>158.57899999999998</v>
      </c>
    </row>
    <row r="102" spans="2:9" x14ac:dyDescent="0.2">
      <c r="B102" s="191">
        <f t="shared" si="0"/>
        <v>45533</v>
      </c>
      <c r="C102" s="81">
        <v>163.95</v>
      </c>
      <c r="D102" s="81"/>
      <c r="E102" s="81">
        <v>12.286999999999999</v>
      </c>
      <c r="F102" s="81">
        <v>440</v>
      </c>
      <c r="G102" s="11">
        <f t="shared" si="1"/>
        <v>427.71300000000002</v>
      </c>
      <c r="H102" s="11">
        <f>IFERROR(IF(Yearending&gt;B101,'5. Historical demand'!F102-'5. Historical demand'!C102-'5. Historical demand'!D102,""),"")</f>
        <v>276.05</v>
      </c>
      <c r="I102" s="11">
        <f t="shared" si="2"/>
        <v>151.66299999999998</v>
      </c>
    </row>
    <row r="103" spans="2:9" x14ac:dyDescent="0.2">
      <c r="B103" s="191">
        <f t="shared" si="0"/>
        <v>45534</v>
      </c>
      <c r="C103" s="81">
        <v>163.95</v>
      </c>
      <c r="D103" s="81"/>
      <c r="E103" s="81">
        <v>-3.4560000000000004</v>
      </c>
      <c r="F103" s="81">
        <v>440</v>
      </c>
      <c r="G103" s="11">
        <f t="shared" si="1"/>
        <v>443.45600000000002</v>
      </c>
      <c r="H103" s="11">
        <f>IFERROR(IF(Yearending&gt;B102,'5. Historical demand'!F103-'5. Historical demand'!C103-'5. Historical demand'!D103,""),"")</f>
        <v>276.05</v>
      </c>
      <c r="I103" s="11">
        <f t="shared" si="2"/>
        <v>167.40599999999998</v>
      </c>
    </row>
    <row r="104" spans="2:9" x14ac:dyDescent="0.2">
      <c r="B104" s="191">
        <f t="shared" si="0"/>
        <v>45535</v>
      </c>
      <c r="C104" s="81">
        <v>163.95</v>
      </c>
      <c r="D104" s="81"/>
      <c r="E104" s="81">
        <v>1.3269999999999982</v>
      </c>
      <c r="F104" s="81">
        <v>440</v>
      </c>
      <c r="G104" s="11">
        <f t="shared" si="1"/>
        <v>438.673</v>
      </c>
      <c r="H104" s="11">
        <f>IFERROR(IF(Yearending&gt;B103,'5. Historical demand'!F104-'5. Historical demand'!C104-'5. Historical demand'!D104,""),"")</f>
        <v>276.05</v>
      </c>
      <c r="I104" s="11">
        <f t="shared" si="2"/>
        <v>162.62299999999999</v>
      </c>
    </row>
    <row r="105" spans="2:9" x14ac:dyDescent="0.2">
      <c r="B105" s="191">
        <f t="shared" si="0"/>
        <v>45536</v>
      </c>
      <c r="C105" s="81">
        <v>163.95</v>
      </c>
      <c r="D105" s="81"/>
      <c r="E105" s="81">
        <v>1.2560000000000002</v>
      </c>
      <c r="F105" s="81">
        <v>440</v>
      </c>
      <c r="G105" s="11">
        <f t="shared" si="1"/>
        <v>438.74400000000003</v>
      </c>
      <c r="H105" s="11">
        <f>IFERROR(IF(Yearending&gt;B104,'5. Historical demand'!F105-'5. Historical demand'!C105-'5. Historical demand'!D105,""),"")</f>
        <v>276.05</v>
      </c>
      <c r="I105" s="11">
        <f t="shared" si="2"/>
        <v>162.69399999999999</v>
      </c>
    </row>
    <row r="106" spans="2:9" x14ac:dyDescent="0.2">
      <c r="B106" s="191">
        <f t="shared" si="0"/>
        <v>45537</v>
      </c>
      <c r="C106" s="81">
        <v>163.95</v>
      </c>
      <c r="D106" s="81"/>
      <c r="E106" s="81">
        <v>120.048</v>
      </c>
      <c r="F106" s="81">
        <v>440</v>
      </c>
      <c r="G106" s="11">
        <f t="shared" si="1"/>
        <v>319.952</v>
      </c>
      <c r="H106" s="11">
        <f>IFERROR(IF(Yearending&gt;B105,'5. Historical demand'!F106-'5. Historical demand'!C106-'5. Historical demand'!D106,""),"")</f>
        <v>276.05</v>
      </c>
      <c r="I106" s="11">
        <f t="shared" si="2"/>
        <v>43.901999999999987</v>
      </c>
    </row>
    <row r="107" spans="2:9" x14ac:dyDescent="0.2">
      <c r="B107" s="191">
        <f t="shared" si="0"/>
        <v>45538</v>
      </c>
      <c r="C107" s="81">
        <v>163.95</v>
      </c>
      <c r="D107" s="81"/>
      <c r="E107" s="81">
        <v>163.03899999999999</v>
      </c>
      <c r="F107" s="81">
        <v>440</v>
      </c>
      <c r="G107" s="11">
        <f t="shared" si="1"/>
        <v>276.96100000000001</v>
      </c>
      <c r="H107" s="11">
        <f>IFERROR(IF(Yearending&gt;B106,'5. Historical demand'!F107-'5. Historical demand'!C107-'5. Historical demand'!D107,""),"")</f>
        <v>276.05</v>
      </c>
      <c r="I107" s="11">
        <f t="shared" si="2"/>
        <v>0.91100000000000136</v>
      </c>
    </row>
    <row r="108" spans="2:9" x14ac:dyDescent="0.2">
      <c r="B108" s="191">
        <f t="shared" ref="B108:B171" si="3">IFERROR(IF(Yearending&gt;B107, B107+1, ""),"")</f>
        <v>45539</v>
      </c>
      <c r="C108" s="81">
        <v>163.95</v>
      </c>
      <c r="D108" s="81"/>
      <c r="E108" s="81">
        <v>163.04</v>
      </c>
      <c r="F108" s="81">
        <v>440</v>
      </c>
      <c r="G108" s="11">
        <f t="shared" ref="G108:G171" si="4">IFERROR(IF(Yearending&gt;B107,F108-E108,""),"")</f>
        <v>276.96000000000004</v>
      </c>
      <c r="H108" s="11">
        <f>IFERROR(IF(Yearending&gt;B107,'5. Historical demand'!F108-'5. Historical demand'!C108-'5. Historical demand'!D108,""),"")</f>
        <v>276.05</v>
      </c>
      <c r="I108" s="11">
        <f t="shared" ref="I108:I171" si="5">IFERROR(IF(Yearending&gt;B107,C108+D108-E108,""),"")</f>
        <v>0.90999999999999659</v>
      </c>
    </row>
    <row r="109" spans="2:9" x14ac:dyDescent="0.2">
      <c r="B109" s="191">
        <f t="shared" si="3"/>
        <v>45540</v>
      </c>
      <c r="C109" s="81">
        <v>163.95</v>
      </c>
      <c r="D109" s="81"/>
      <c r="E109" s="81">
        <v>118.04900000000001</v>
      </c>
      <c r="F109" s="81">
        <v>440</v>
      </c>
      <c r="G109" s="11">
        <f t="shared" si="4"/>
        <v>321.95100000000002</v>
      </c>
      <c r="H109" s="11">
        <f>IFERROR(IF(Yearending&gt;B108,'5. Historical demand'!F109-'5. Historical demand'!C109-'5. Historical demand'!D109,""),"")</f>
        <v>276.05</v>
      </c>
      <c r="I109" s="11">
        <f t="shared" si="5"/>
        <v>45.900999999999982</v>
      </c>
    </row>
    <row r="110" spans="2:9" x14ac:dyDescent="0.2">
      <c r="B110" s="191">
        <f t="shared" si="3"/>
        <v>45541</v>
      </c>
      <c r="C110" s="81">
        <v>163.95</v>
      </c>
      <c r="D110" s="81"/>
      <c r="E110" s="81">
        <v>105.05</v>
      </c>
      <c r="F110" s="81">
        <v>440</v>
      </c>
      <c r="G110" s="11">
        <f t="shared" si="4"/>
        <v>334.95</v>
      </c>
      <c r="H110" s="11">
        <f>IFERROR(IF(Yearending&gt;B109,'5. Historical demand'!F110-'5. Historical demand'!C110-'5. Historical demand'!D110,""),"")</f>
        <v>276.05</v>
      </c>
      <c r="I110" s="11">
        <f t="shared" si="5"/>
        <v>58.899999999999991</v>
      </c>
    </row>
    <row r="111" spans="2:9" x14ac:dyDescent="0.2">
      <c r="B111" s="191">
        <f t="shared" si="3"/>
        <v>45542</v>
      </c>
      <c r="C111" s="81">
        <v>163.95</v>
      </c>
      <c r="D111" s="81"/>
      <c r="E111" s="81">
        <v>40.049999999999997</v>
      </c>
      <c r="F111" s="81">
        <v>440</v>
      </c>
      <c r="G111" s="11">
        <f t="shared" si="4"/>
        <v>399.95</v>
      </c>
      <c r="H111" s="11">
        <f>IFERROR(IF(Yearending&gt;B110,'5. Historical demand'!F111-'5. Historical demand'!C111-'5. Historical demand'!D111,""),"")</f>
        <v>276.05</v>
      </c>
      <c r="I111" s="11">
        <f t="shared" si="5"/>
        <v>123.89999999999999</v>
      </c>
    </row>
    <row r="112" spans="2:9" x14ac:dyDescent="0.2">
      <c r="B112" s="191">
        <f t="shared" si="3"/>
        <v>45543</v>
      </c>
      <c r="C112" s="81">
        <v>163.95</v>
      </c>
      <c r="D112" s="81"/>
      <c r="E112" s="81">
        <v>45.994999999999997</v>
      </c>
      <c r="F112" s="81">
        <v>440</v>
      </c>
      <c r="G112" s="11">
        <f t="shared" si="4"/>
        <v>394.005</v>
      </c>
      <c r="H112" s="11">
        <f>IFERROR(IF(Yearending&gt;B111,'5. Historical demand'!F112-'5. Historical demand'!C112-'5. Historical demand'!D112,""),"")</f>
        <v>276.05</v>
      </c>
      <c r="I112" s="11">
        <f t="shared" si="5"/>
        <v>117.95499999999998</v>
      </c>
    </row>
    <row r="113" spans="2:9" x14ac:dyDescent="0.2">
      <c r="B113" s="191">
        <f t="shared" si="3"/>
        <v>45544</v>
      </c>
      <c r="C113" s="81">
        <v>163.95</v>
      </c>
      <c r="D113" s="81"/>
      <c r="E113" s="81">
        <v>62.05</v>
      </c>
      <c r="F113" s="81">
        <v>440</v>
      </c>
      <c r="G113" s="11">
        <f t="shared" si="4"/>
        <v>377.95</v>
      </c>
      <c r="H113" s="11">
        <f>IFERROR(IF(Yearending&gt;B112,'5. Historical demand'!F113-'5. Historical demand'!C113-'5. Historical demand'!D113,""),"")</f>
        <v>276.05</v>
      </c>
      <c r="I113" s="11">
        <f t="shared" si="5"/>
        <v>101.89999999999999</v>
      </c>
    </row>
    <row r="114" spans="2:9" x14ac:dyDescent="0.2">
      <c r="B114" s="191">
        <f t="shared" si="3"/>
        <v>45545</v>
      </c>
      <c r="C114" s="81">
        <v>163.95</v>
      </c>
      <c r="D114" s="81"/>
      <c r="E114" s="81">
        <v>62.999000000000002</v>
      </c>
      <c r="F114" s="81">
        <v>440</v>
      </c>
      <c r="G114" s="11">
        <f t="shared" si="4"/>
        <v>377.00099999999998</v>
      </c>
      <c r="H114" s="11">
        <f>IFERROR(IF(Yearending&gt;B113,'5. Historical demand'!F114-'5. Historical demand'!C114-'5. Historical demand'!D114,""),"")</f>
        <v>276.05</v>
      </c>
      <c r="I114" s="11">
        <f t="shared" si="5"/>
        <v>100.95099999999999</v>
      </c>
    </row>
    <row r="115" spans="2:9" x14ac:dyDescent="0.2">
      <c r="B115" s="191">
        <f t="shared" si="3"/>
        <v>45546</v>
      </c>
      <c r="C115" s="81">
        <v>163.95</v>
      </c>
      <c r="D115" s="81"/>
      <c r="E115" s="81">
        <v>32.049999999999997</v>
      </c>
      <c r="F115" s="81">
        <v>440</v>
      </c>
      <c r="G115" s="11">
        <f t="shared" si="4"/>
        <v>407.95</v>
      </c>
      <c r="H115" s="11">
        <f>IFERROR(IF(Yearending&gt;B114,'5. Historical demand'!F115-'5. Historical demand'!C115-'5. Historical demand'!D115,""),"")</f>
        <v>276.05</v>
      </c>
      <c r="I115" s="11">
        <f t="shared" si="5"/>
        <v>131.89999999999998</v>
      </c>
    </row>
    <row r="116" spans="2:9" x14ac:dyDescent="0.2">
      <c r="B116" s="191">
        <f t="shared" si="3"/>
        <v>45547</v>
      </c>
      <c r="C116" s="81">
        <v>163.95</v>
      </c>
      <c r="D116" s="81"/>
      <c r="E116" s="81">
        <v>0.248</v>
      </c>
      <c r="F116" s="81">
        <v>440</v>
      </c>
      <c r="G116" s="11">
        <f t="shared" si="4"/>
        <v>439.75200000000001</v>
      </c>
      <c r="H116" s="11">
        <f>IFERROR(IF(Yearending&gt;B115,'5. Historical demand'!F116-'5. Historical demand'!C116-'5. Historical demand'!D116,""),"")</f>
        <v>276.05</v>
      </c>
      <c r="I116" s="11">
        <f t="shared" si="5"/>
        <v>163.702</v>
      </c>
    </row>
    <row r="117" spans="2:9" x14ac:dyDescent="0.2">
      <c r="B117" s="191">
        <f t="shared" si="3"/>
        <v>45548</v>
      </c>
      <c r="C117" s="81">
        <v>163.95</v>
      </c>
      <c r="D117" s="81"/>
      <c r="E117" s="81">
        <v>9.5129999999999999</v>
      </c>
      <c r="F117" s="81">
        <v>440</v>
      </c>
      <c r="G117" s="11">
        <f t="shared" si="4"/>
        <v>430.48700000000002</v>
      </c>
      <c r="H117" s="11">
        <f>IFERROR(IF(Yearending&gt;B116,'5. Historical demand'!F117-'5. Historical demand'!C117-'5. Historical demand'!D117,""),"")</f>
        <v>276.05</v>
      </c>
      <c r="I117" s="11">
        <f t="shared" si="5"/>
        <v>154.43699999999998</v>
      </c>
    </row>
    <row r="118" spans="2:9" x14ac:dyDescent="0.2">
      <c r="B118" s="191">
        <f t="shared" si="3"/>
        <v>45549</v>
      </c>
      <c r="C118" s="81">
        <v>163.95</v>
      </c>
      <c r="D118" s="81"/>
      <c r="E118" s="81">
        <v>4.4619999999999997</v>
      </c>
      <c r="F118" s="81">
        <v>440</v>
      </c>
      <c r="G118" s="11">
        <f t="shared" si="4"/>
        <v>435.53800000000001</v>
      </c>
      <c r="H118" s="11">
        <f>IFERROR(IF(Yearending&gt;B117,'5. Historical demand'!F118-'5. Historical demand'!C118-'5. Historical demand'!D118,""),"")</f>
        <v>276.05</v>
      </c>
      <c r="I118" s="11">
        <f t="shared" si="5"/>
        <v>159.488</v>
      </c>
    </row>
    <row r="119" spans="2:9" x14ac:dyDescent="0.2">
      <c r="B119" s="191">
        <f t="shared" si="3"/>
        <v>45550</v>
      </c>
      <c r="C119" s="81">
        <v>163.95</v>
      </c>
      <c r="D119" s="81"/>
      <c r="E119" s="81">
        <v>-3.1129999999999995</v>
      </c>
      <c r="F119" s="81">
        <v>440</v>
      </c>
      <c r="G119" s="11">
        <f t="shared" si="4"/>
        <v>443.113</v>
      </c>
      <c r="H119" s="11">
        <f>IFERROR(IF(Yearending&gt;B118,'5. Historical demand'!F119-'5. Historical demand'!C119-'5. Historical demand'!D119,""),"")</f>
        <v>276.05</v>
      </c>
      <c r="I119" s="11">
        <f t="shared" si="5"/>
        <v>167.06299999999999</v>
      </c>
    </row>
    <row r="120" spans="2:9" x14ac:dyDescent="0.2">
      <c r="B120" s="191">
        <f t="shared" si="3"/>
        <v>45551</v>
      </c>
      <c r="C120" s="81">
        <v>163.95</v>
      </c>
      <c r="D120" s="81"/>
      <c r="E120" s="81">
        <v>5.4950000000000001</v>
      </c>
      <c r="F120" s="81">
        <v>440</v>
      </c>
      <c r="G120" s="11">
        <f t="shared" si="4"/>
        <v>434.505</v>
      </c>
      <c r="H120" s="11">
        <f>IFERROR(IF(Yearending&gt;B119,'5. Historical demand'!F120-'5. Historical demand'!C120-'5. Historical demand'!D120,""),"")</f>
        <v>276.05</v>
      </c>
      <c r="I120" s="11">
        <f t="shared" si="5"/>
        <v>158.45499999999998</v>
      </c>
    </row>
    <row r="121" spans="2:9" x14ac:dyDescent="0.2">
      <c r="B121" s="191">
        <f t="shared" si="3"/>
        <v>45552</v>
      </c>
      <c r="C121" s="81">
        <v>163.95</v>
      </c>
      <c r="D121" s="81"/>
      <c r="E121" s="81">
        <v>7.0810000000000004</v>
      </c>
      <c r="F121" s="81">
        <v>440</v>
      </c>
      <c r="G121" s="11">
        <f t="shared" si="4"/>
        <v>432.91899999999998</v>
      </c>
      <c r="H121" s="11">
        <f>IFERROR(IF(Yearending&gt;B120,'5. Historical demand'!F121-'5. Historical demand'!C121-'5. Historical demand'!D121,""),"")</f>
        <v>276.05</v>
      </c>
      <c r="I121" s="11">
        <f t="shared" si="5"/>
        <v>156.869</v>
      </c>
    </row>
    <row r="122" spans="2:9" x14ac:dyDescent="0.2">
      <c r="B122" s="191">
        <f t="shared" si="3"/>
        <v>45553</v>
      </c>
      <c r="C122" s="81">
        <v>163.95</v>
      </c>
      <c r="D122" s="81"/>
      <c r="E122" s="81">
        <v>9.0120000000000005</v>
      </c>
      <c r="F122" s="81">
        <v>440</v>
      </c>
      <c r="G122" s="11">
        <f t="shared" si="4"/>
        <v>430.988</v>
      </c>
      <c r="H122" s="11">
        <f>IFERROR(IF(Yearending&gt;B121,'5. Historical demand'!F122-'5. Historical demand'!C122-'5. Historical demand'!D122,""),"")</f>
        <v>276.05</v>
      </c>
      <c r="I122" s="11">
        <f t="shared" si="5"/>
        <v>154.93799999999999</v>
      </c>
    </row>
    <row r="123" spans="2:9" x14ac:dyDescent="0.2">
      <c r="B123" s="191">
        <f t="shared" si="3"/>
        <v>45554</v>
      </c>
      <c r="C123" s="81">
        <v>163.95</v>
      </c>
      <c r="D123" s="81"/>
      <c r="E123" s="81">
        <v>42.287999999999997</v>
      </c>
      <c r="F123" s="81">
        <v>440</v>
      </c>
      <c r="G123" s="11">
        <f t="shared" si="4"/>
        <v>397.71199999999999</v>
      </c>
      <c r="H123" s="11">
        <f>IFERROR(IF(Yearending&gt;B122,'5. Historical demand'!F123-'5. Historical demand'!C123-'5. Historical demand'!D123,""),"")</f>
        <v>276.05</v>
      </c>
      <c r="I123" s="11">
        <f t="shared" si="5"/>
        <v>121.66199999999999</v>
      </c>
    </row>
    <row r="124" spans="2:9" x14ac:dyDescent="0.2">
      <c r="B124" s="191">
        <f t="shared" si="3"/>
        <v>45555</v>
      </c>
      <c r="C124" s="81">
        <v>163.95</v>
      </c>
      <c r="D124" s="81"/>
      <c r="E124" s="81">
        <v>84.287999999999997</v>
      </c>
      <c r="F124" s="81">
        <v>440</v>
      </c>
      <c r="G124" s="11">
        <f t="shared" si="4"/>
        <v>355.71199999999999</v>
      </c>
      <c r="H124" s="11">
        <f>IFERROR(IF(Yearending&gt;B123,'5. Historical demand'!F124-'5. Historical demand'!C124-'5. Historical demand'!D124,""),"")</f>
        <v>276.05</v>
      </c>
      <c r="I124" s="11">
        <f t="shared" si="5"/>
        <v>79.661999999999992</v>
      </c>
    </row>
    <row r="125" spans="2:9" x14ac:dyDescent="0.2">
      <c r="B125" s="191">
        <f t="shared" si="3"/>
        <v>45556</v>
      </c>
      <c r="C125" s="81">
        <v>163.95</v>
      </c>
      <c r="D125" s="81"/>
      <c r="E125" s="81">
        <v>56.290999999999997</v>
      </c>
      <c r="F125" s="81">
        <v>440</v>
      </c>
      <c r="G125" s="11">
        <f t="shared" si="4"/>
        <v>383.709</v>
      </c>
      <c r="H125" s="11">
        <f>IFERROR(IF(Yearending&gt;B124,'5. Historical demand'!F125-'5. Historical demand'!C125-'5. Historical demand'!D125,""),"")</f>
        <v>276.05</v>
      </c>
      <c r="I125" s="11">
        <f t="shared" si="5"/>
        <v>107.65899999999999</v>
      </c>
    </row>
    <row r="126" spans="2:9" x14ac:dyDescent="0.2">
      <c r="B126" s="191">
        <f t="shared" si="3"/>
        <v>45557</v>
      </c>
      <c r="C126" s="81">
        <v>163.95</v>
      </c>
      <c r="D126" s="81"/>
      <c r="E126" s="81">
        <v>54.286999999999999</v>
      </c>
      <c r="F126" s="81">
        <v>440</v>
      </c>
      <c r="G126" s="11">
        <f t="shared" si="4"/>
        <v>385.71300000000002</v>
      </c>
      <c r="H126" s="11">
        <f>IFERROR(IF(Yearending&gt;B125,'5. Historical demand'!F126-'5. Historical demand'!C126-'5. Historical demand'!D126,""),"")</f>
        <v>276.05</v>
      </c>
      <c r="I126" s="11">
        <f t="shared" si="5"/>
        <v>109.66299999999998</v>
      </c>
    </row>
    <row r="127" spans="2:9" x14ac:dyDescent="0.2">
      <c r="B127" s="191">
        <f t="shared" si="3"/>
        <v>45558</v>
      </c>
      <c r="C127" s="81">
        <v>163.95</v>
      </c>
      <c r="D127" s="81"/>
      <c r="E127" s="81">
        <v>102.04900000000001</v>
      </c>
      <c r="F127" s="81">
        <v>440</v>
      </c>
      <c r="G127" s="11">
        <f t="shared" si="4"/>
        <v>337.95100000000002</v>
      </c>
      <c r="H127" s="11">
        <f>IFERROR(IF(Yearending&gt;B126,'5. Historical demand'!F127-'5. Historical demand'!C127-'5. Historical demand'!D127,""),"")</f>
        <v>276.05</v>
      </c>
      <c r="I127" s="11">
        <f t="shared" si="5"/>
        <v>61.900999999999982</v>
      </c>
    </row>
    <row r="128" spans="2:9" x14ac:dyDescent="0.2">
      <c r="B128" s="191">
        <f t="shared" si="3"/>
        <v>45559</v>
      </c>
      <c r="C128" s="81">
        <v>163.95</v>
      </c>
      <c r="D128" s="81"/>
      <c r="E128" s="81">
        <v>80.05</v>
      </c>
      <c r="F128" s="81">
        <v>440</v>
      </c>
      <c r="G128" s="11">
        <f t="shared" si="4"/>
        <v>359.95</v>
      </c>
      <c r="H128" s="11">
        <f>IFERROR(IF(Yearending&gt;B127,'5. Historical demand'!F128-'5. Historical demand'!C128-'5. Historical demand'!D128,""),"")</f>
        <v>276.05</v>
      </c>
      <c r="I128" s="11">
        <f t="shared" si="5"/>
        <v>83.899999999999991</v>
      </c>
    </row>
    <row r="129" spans="2:9" x14ac:dyDescent="0.2">
      <c r="B129" s="191">
        <f t="shared" si="3"/>
        <v>45560</v>
      </c>
      <c r="C129" s="81">
        <v>163.95</v>
      </c>
      <c r="D129" s="81"/>
      <c r="E129" s="81">
        <v>119.04900000000001</v>
      </c>
      <c r="F129" s="81">
        <v>440</v>
      </c>
      <c r="G129" s="11">
        <f t="shared" si="4"/>
        <v>320.95100000000002</v>
      </c>
      <c r="H129" s="11">
        <f>IFERROR(IF(Yearending&gt;B128,'5. Historical demand'!F129-'5. Historical demand'!C129-'5. Historical demand'!D129,""),"")</f>
        <v>276.05</v>
      </c>
      <c r="I129" s="11">
        <f t="shared" si="5"/>
        <v>44.900999999999982</v>
      </c>
    </row>
    <row r="130" spans="2:9" x14ac:dyDescent="0.2">
      <c r="B130" s="191">
        <f t="shared" si="3"/>
        <v>45561</v>
      </c>
      <c r="C130" s="81">
        <v>163.95</v>
      </c>
      <c r="D130" s="81"/>
      <c r="E130" s="81">
        <v>78.716999999999999</v>
      </c>
      <c r="F130" s="81">
        <v>440</v>
      </c>
      <c r="G130" s="11">
        <f t="shared" si="4"/>
        <v>361.28300000000002</v>
      </c>
      <c r="H130" s="11">
        <f>IFERROR(IF(Yearending&gt;B129,'5. Historical demand'!F130-'5. Historical demand'!C130-'5. Historical demand'!D130,""),"")</f>
        <v>276.05</v>
      </c>
      <c r="I130" s="11">
        <f t="shared" si="5"/>
        <v>85.23299999999999</v>
      </c>
    </row>
    <row r="131" spans="2:9" x14ac:dyDescent="0.2">
      <c r="B131" s="191">
        <f t="shared" si="3"/>
        <v>45562</v>
      </c>
      <c r="C131" s="81">
        <v>163.95</v>
      </c>
      <c r="D131" s="81"/>
      <c r="E131" s="81">
        <v>97.283000000000001</v>
      </c>
      <c r="F131" s="81">
        <v>440</v>
      </c>
      <c r="G131" s="11">
        <f t="shared" si="4"/>
        <v>342.71699999999998</v>
      </c>
      <c r="H131" s="11">
        <f>IFERROR(IF(Yearending&gt;B130,'5. Historical demand'!F131-'5. Historical demand'!C131-'5. Historical demand'!D131,""),"")</f>
        <v>276.05</v>
      </c>
      <c r="I131" s="11">
        <f t="shared" si="5"/>
        <v>66.666999999999987</v>
      </c>
    </row>
    <row r="132" spans="2:9" x14ac:dyDescent="0.2">
      <c r="B132" s="191">
        <f t="shared" si="3"/>
        <v>45563</v>
      </c>
      <c r="C132" s="81">
        <v>163.95</v>
      </c>
      <c r="D132" s="81"/>
      <c r="E132" s="81">
        <v>55.786999999999999</v>
      </c>
      <c r="F132" s="81">
        <v>440</v>
      </c>
      <c r="G132" s="11">
        <f t="shared" si="4"/>
        <v>384.21300000000002</v>
      </c>
      <c r="H132" s="11">
        <f>IFERROR(IF(Yearending&gt;B131,'5. Historical demand'!F132-'5. Historical demand'!C132-'5. Historical demand'!D132,""),"")</f>
        <v>276.05</v>
      </c>
      <c r="I132" s="11">
        <f t="shared" si="5"/>
        <v>108.16299999999998</v>
      </c>
    </row>
    <row r="133" spans="2:9" x14ac:dyDescent="0.2">
      <c r="B133" s="191">
        <f t="shared" si="3"/>
        <v>45564</v>
      </c>
      <c r="C133" s="81">
        <v>163.95</v>
      </c>
      <c r="D133" s="81"/>
      <c r="E133" s="81">
        <v>76.287999999999997</v>
      </c>
      <c r="F133" s="81">
        <v>440</v>
      </c>
      <c r="G133" s="11">
        <f t="shared" si="4"/>
        <v>363.71199999999999</v>
      </c>
      <c r="H133" s="11">
        <f>IFERROR(IF(Yearending&gt;B132,'5. Historical demand'!F133-'5. Historical demand'!C133-'5. Historical demand'!D133,""),"")</f>
        <v>276.05</v>
      </c>
      <c r="I133" s="11">
        <f t="shared" si="5"/>
        <v>87.661999999999992</v>
      </c>
    </row>
    <row r="134" spans="2:9" x14ac:dyDescent="0.2">
      <c r="B134" s="191">
        <f t="shared" si="3"/>
        <v>45565</v>
      </c>
      <c r="C134" s="81">
        <v>163.95</v>
      </c>
      <c r="D134" s="81"/>
      <c r="E134" s="81">
        <v>82.287000000000006</v>
      </c>
      <c r="F134" s="81">
        <v>440</v>
      </c>
      <c r="G134" s="11">
        <f t="shared" si="4"/>
        <v>357.71299999999997</v>
      </c>
      <c r="H134" s="11">
        <f>IFERROR(IF(Yearending&gt;B133,'5. Historical demand'!F134-'5. Historical demand'!C134-'5. Historical demand'!D134,""),"")</f>
        <v>276.05</v>
      </c>
      <c r="I134" s="11">
        <f t="shared" si="5"/>
        <v>81.662999999999982</v>
      </c>
    </row>
    <row r="135" spans="2:9" x14ac:dyDescent="0.2">
      <c r="B135" s="191">
        <f t="shared" si="3"/>
        <v>45566</v>
      </c>
      <c r="C135" s="81">
        <v>163.95</v>
      </c>
      <c r="D135" s="81"/>
      <c r="E135" s="81">
        <v>67.042000000000002</v>
      </c>
      <c r="F135" s="81">
        <v>440</v>
      </c>
      <c r="G135" s="11">
        <f t="shared" si="4"/>
        <v>372.95799999999997</v>
      </c>
      <c r="H135" s="11">
        <f>IFERROR(IF(Yearending&gt;B134,'5. Historical demand'!F135-'5. Historical demand'!C135-'5. Historical demand'!D135,""),"")</f>
        <v>276.05</v>
      </c>
      <c r="I135" s="11">
        <f t="shared" si="5"/>
        <v>96.907999999999987</v>
      </c>
    </row>
    <row r="136" spans="2:9" x14ac:dyDescent="0.2">
      <c r="B136" s="191">
        <f t="shared" si="3"/>
        <v>45567</v>
      </c>
      <c r="C136" s="81">
        <v>163.95</v>
      </c>
      <c r="D136" s="81"/>
      <c r="E136" s="81">
        <v>16.318000000000001</v>
      </c>
      <c r="F136" s="81">
        <v>440</v>
      </c>
      <c r="G136" s="11">
        <f t="shared" si="4"/>
        <v>423.68200000000002</v>
      </c>
      <c r="H136" s="11">
        <f>IFERROR(IF(Yearending&gt;B135,'5. Historical demand'!F136-'5. Historical demand'!C136-'5. Historical demand'!D136,""),"")</f>
        <v>276.05</v>
      </c>
      <c r="I136" s="11">
        <f t="shared" si="5"/>
        <v>147.63199999999998</v>
      </c>
    </row>
    <row r="137" spans="2:9" x14ac:dyDescent="0.2">
      <c r="B137" s="191">
        <f t="shared" si="3"/>
        <v>45568</v>
      </c>
      <c r="C137" s="81">
        <v>163.95</v>
      </c>
      <c r="D137" s="81"/>
      <c r="E137" s="81">
        <v>0.309</v>
      </c>
      <c r="F137" s="81">
        <v>440</v>
      </c>
      <c r="G137" s="11">
        <f t="shared" si="4"/>
        <v>439.69099999999997</v>
      </c>
      <c r="H137" s="11">
        <f>IFERROR(IF(Yearending&gt;B136,'5. Historical demand'!F137-'5. Historical demand'!C137-'5. Historical demand'!D137,""),"")</f>
        <v>276.05</v>
      </c>
      <c r="I137" s="11">
        <f t="shared" si="5"/>
        <v>163.64099999999999</v>
      </c>
    </row>
    <row r="138" spans="2:9" x14ac:dyDescent="0.2">
      <c r="B138" s="191">
        <f t="shared" si="3"/>
        <v>45569</v>
      </c>
      <c r="C138" s="81">
        <v>163.95</v>
      </c>
      <c r="D138" s="81"/>
      <c r="E138" s="81">
        <v>0</v>
      </c>
      <c r="F138" s="81">
        <v>440</v>
      </c>
      <c r="G138" s="11">
        <f t="shared" si="4"/>
        <v>440</v>
      </c>
      <c r="H138" s="11">
        <f>IFERROR(IF(Yearending&gt;B137,'5. Historical demand'!F138-'5. Historical demand'!C138-'5. Historical demand'!D138,""),"")</f>
        <v>276.05</v>
      </c>
      <c r="I138" s="11">
        <f t="shared" si="5"/>
        <v>163.95</v>
      </c>
    </row>
    <row r="139" spans="2:9" x14ac:dyDescent="0.2">
      <c r="B139" s="191">
        <f t="shared" si="3"/>
        <v>45570</v>
      </c>
      <c r="C139" s="81">
        <v>163.95</v>
      </c>
      <c r="D139" s="81"/>
      <c r="E139" s="81">
        <v>25.808</v>
      </c>
      <c r="F139" s="81">
        <v>440</v>
      </c>
      <c r="G139" s="11">
        <f t="shared" si="4"/>
        <v>414.19200000000001</v>
      </c>
      <c r="H139" s="11">
        <f>IFERROR(IF(Yearending&gt;B138,'5. Historical demand'!F139-'5. Historical demand'!C139-'5. Historical demand'!D139,""),"")</f>
        <v>276.05</v>
      </c>
      <c r="I139" s="11">
        <f t="shared" si="5"/>
        <v>138.142</v>
      </c>
    </row>
    <row r="140" spans="2:9" x14ac:dyDescent="0.2">
      <c r="B140" s="191">
        <f t="shared" si="3"/>
        <v>45571</v>
      </c>
      <c r="C140" s="81">
        <v>163.95</v>
      </c>
      <c r="D140" s="81"/>
      <c r="E140" s="81">
        <v>5.0490000000000004</v>
      </c>
      <c r="F140" s="81">
        <v>440</v>
      </c>
      <c r="G140" s="11">
        <f t="shared" si="4"/>
        <v>434.95100000000002</v>
      </c>
      <c r="H140" s="11">
        <f>IFERROR(IF(Yearending&gt;B139,'5. Historical demand'!F140-'5. Historical demand'!C140-'5. Historical demand'!D140,""),"")</f>
        <v>276.05</v>
      </c>
      <c r="I140" s="11">
        <f t="shared" si="5"/>
        <v>158.90099999999998</v>
      </c>
    </row>
    <row r="141" spans="2:9" x14ac:dyDescent="0.2">
      <c r="B141" s="191">
        <f t="shared" si="3"/>
        <v>45572</v>
      </c>
      <c r="C141" s="81">
        <v>163.95</v>
      </c>
      <c r="D141" s="81"/>
      <c r="E141" s="81">
        <v>47.31</v>
      </c>
      <c r="F141" s="81">
        <v>440</v>
      </c>
      <c r="G141" s="11">
        <f t="shared" si="4"/>
        <v>392.69</v>
      </c>
      <c r="H141" s="11">
        <f>IFERROR(IF(Yearending&gt;B140,'5. Historical demand'!F141-'5. Historical demand'!C141-'5. Historical demand'!D141,""),"")</f>
        <v>276.05</v>
      </c>
      <c r="I141" s="11">
        <f t="shared" si="5"/>
        <v>116.63999999999999</v>
      </c>
    </row>
    <row r="142" spans="2:9" x14ac:dyDescent="0.2">
      <c r="B142" s="191">
        <f t="shared" si="3"/>
        <v>45573</v>
      </c>
      <c r="C142" s="81">
        <v>163.95</v>
      </c>
      <c r="D142" s="81"/>
      <c r="E142" s="81">
        <v>88.31</v>
      </c>
      <c r="F142" s="81">
        <v>440</v>
      </c>
      <c r="G142" s="11">
        <f t="shared" si="4"/>
        <v>351.69</v>
      </c>
      <c r="H142" s="11">
        <f>IFERROR(IF(Yearending&gt;B141,'5. Historical demand'!F142-'5. Historical demand'!C142-'5. Historical demand'!D142,""),"")</f>
        <v>276.05</v>
      </c>
      <c r="I142" s="11">
        <f t="shared" si="5"/>
        <v>75.639999999999986</v>
      </c>
    </row>
    <row r="143" spans="2:9" x14ac:dyDescent="0.2">
      <c r="B143" s="191">
        <f t="shared" si="3"/>
        <v>45574</v>
      </c>
      <c r="C143" s="81">
        <v>163.95</v>
      </c>
      <c r="D143" s="81"/>
      <c r="E143" s="81">
        <v>97.29</v>
      </c>
      <c r="F143" s="81">
        <v>440</v>
      </c>
      <c r="G143" s="11">
        <f t="shared" si="4"/>
        <v>342.71</v>
      </c>
      <c r="H143" s="11">
        <f>IFERROR(IF(Yearending&gt;B142,'5. Historical demand'!F143-'5. Historical demand'!C143-'5. Historical demand'!D143,""),"")</f>
        <v>276.05</v>
      </c>
      <c r="I143" s="11">
        <f t="shared" si="5"/>
        <v>66.659999999999982</v>
      </c>
    </row>
    <row r="144" spans="2:9" x14ac:dyDescent="0.2">
      <c r="B144" s="191">
        <f t="shared" si="3"/>
        <v>45575</v>
      </c>
      <c r="C144" s="81">
        <v>163.95</v>
      </c>
      <c r="D144" s="81"/>
      <c r="E144" s="81">
        <v>0</v>
      </c>
      <c r="F144" s="81">
        <v>440</v>
      </c>
      <c r="G144" s="11">
        <f t="shared" si="4"/>
        <v>440</v>
      </c>
      <c r="H144" s="11">
        <f>IFERROR(IF(Yearending&gt;B143,'5. Historical demand'!F144-'5. Historical demand'!C144-'5. Historical demand'!D144,""),"")</f>
        <v>276.05</v>
      </c>
      <c r="I144" s="11">
        <f t="shared" si="5"/>
        <v>163.95</v>
      </c>
    </row>
    <row r="145" spans="2:9" x14ac:dyDescent="0.2">
      <c r="B145" s="191">
        <f t="shared" si="3"/>
        <v>45576</v>
      </c>
      <c r="C145" s="81">
        <v>163.95</v>
      </c>
      <c r="D145" s="81"/>
      <c r="E145" s="81">
        <v>0</v>
      </c>
      <c r="F145" s="81">
        <v>440</v>
      </c>
      <c r="G145" s="11">
        <f t="shared" si="4"/>
        <v>440</v>
      </c>
      <c r="H145" s="11">
        <f>IFERROR(IF(Yearending&gt;B144,'5. Historical demand'!F145-'5. Historical demand'!C145-'5. Historical demand'!D145,""),"")</f>
        <v>276.05</v>
      </c>
      <c r="I145" s="11">
        <f t="shared" si="5"/>
        <v>163.95</v>
      </c>
    </row>
    <row r="146" spans="2:9" x14ac:dyDescent="0.2">
      <c r="B146" s="191">
        <f t="shared" si="3"/>
        <v>45577</v>
      </c>
      <c r="C146" s="81">
        <v>163.95</v>
      </c>
      <c r="D146" s="81"/>
      <c r="E146" s="81">
        <v>88.308999999999997</v>
      </c>
      <c r="F146" s="81">
        <v>440</v>
      </c>
      <c r="G146" s="11">
        <f t="shared" si="4"/>
        <v>351.69100000000003</v>
      </c>
      <c r="H146" s="11">
        <f>IFERROR(IF(Yearending&gt;B145,'5. Historical demand'!F146-'5. Historical demand'!C146-'5. Historical demand'!D146,""),"")</f>
        <v>276.05</v>
      </c>
      <c r="I146" s="11">
        <f t="shared" si="5"/>
        <v>75.640999999999991</v>
      </c>
    </row>
    <row r="147" spans="2:9" x14ac:dyDescent="0.2">
      <c r="B147" s="191">
        <f t="shared" si="3"/>
        <v>45578</v>
      </c>
      <c r="C147" s="81">
        <v>163.95</v>
      </c>
      <c r="D147" s="81"/>
      <c r="E147" s="81">
        <v>68.811000000000007</v>
      </c>
      <c r="F147" s="81">
        <v>440</v>
      </c>
      <c r="G147" s="11">
        <f t="shared" si="4"/>
        <v>371.18899999999996</v>
      </c>
      <c r="H147" s="11">
        <f>IFERROR(IF(Yearending&gt;B146,'5. Historical demand'!F147-'5. Historical demand'!C147-'5. Historical demand'!D147,""),"")</f>
        <v>276.05</v>
      </c>
      <c r="I147" s="11">
        <f t="shared" si="5"/>
        <v>95.138999999999982</v>
      </c>
    </row>
    <row r="148" spans="2:9" x14ac:dyDescent="0.2">
      <c r="B148" s="191">
        <f t="shared" si="3"/>
        <v>45579</v>
      </c>
      <c r="C148" s="81">
        <v>163.95</v>
      </c>
      <c r="D148" s="81"/>
      <c r="E148" s="81">
        <v>87.05</v>
      </c>
      <c r="F148" s="81">
        <v>440</v>
      </c>
      <c r="G148" s="11">
        <f t="shared" si="4"/>
        <v>352.95</v>
      </c>
      <c r="H148" s="11">
        <f>IFERROR(IF(Yearending&gt;B147,'5. Historical demand'!F148-'5. Historical demand'!C148-'5. Historical demand'!D148,""),"")</f>
        <v>276.05</v>
      </c>
      <c r="I148" s="11">
        <f t="shared" si="5"/>
        <v>76.899999999999991</v>
      </c>
    </row>
    <row r="149" spans="2:9" x14ac:dyDescent="0.2">
      <c r="B149" s="191">
        <f t="shared" si="3"/>
        <v>45580</v>
      </c>
      <c r="C149" s="81">
        <v>163.95</v>
      </c>
      <c r="D149" s="81"/>
      <c r="E149" s="81">
        <v>91.073999999999998</v>
      </c>
      <c r="F149" s="81">
        <v>440</v>
      </c>
      <c r="G149" s="11">
        <f t="shared" si="4"/>
        <v>348.92599999999999</v>
      </c>
      <c r="H149" s="11">
        <f>IFERROR(IF(Yearending&gt;B148,'5. Historical demand'!F149-'5. Historical demand'!C149-'5. Historical demand'!D149,""),"")</f>
        <v>276.05</v>
      </c>
      <c r="I149" s="11">
        <f t="shared" si="5"/>
        <v>72.875999999999991</v>
      </c>
    </row>
    <row r="150" spans="2:9" x14ac:dyDescent="0.2">
      <c r="B150" s="191">
        <f t="shared" si="3"/>
        <v>45581</v>
      </c>
      <c r="C150" s="81">
        <v>163.95</v>
      </c>
      <c r="D150" s="81"/>
      <c r="E150" s="81">
        <v>75.304000000000002</v>
      </c>
      <c r="F150" s="81">
        <v>440</v>
      </c>
      <c r="G150" s="11">
        <f t="shared" si="4"/>
        <v>364.69600000000003</v>
      </c>
      <c r="H150" s="11">
        <f>IFERROR(IF(Yearending&gt;B149,'5. Historical demand'!F150-'5. Historical demand'!C150-'5. Historical demand'!D150,""),"")</f>
        <v>276.05</v>
      </c>
      <c r="I150" s="11">
        <f t="shared" si="5"/>
        <v>88.645999999999987</v>
      </c>
    </row>
    <row r="151" spans="2:9" x14ac:dyDescent="0.2">
      <c r="B151" s="191">
        <f t="shared" si="3"/>
        <v>45582</v>
      </c>
      <c r="C151" s="81">
        <v>163.95</v>
      </c>
      <c r="D151" s="81"/>
      <c r="E151" s="81">
        <v>92.305999999999997</v>
      </c>
      <c r="F151" s="81">
        <v>440</v>
      </c>
      <c r="G151" s="11">
        <f t="shared" si="4"/>
        <v>347.69400000000002</v>
      </c>
      <c r="H151" s="11">
        <f>IFERROR(IF(Yearending&gt;B150,'5. Historical demand'!F151-'5. Historical demand'!C151-'5. Historical demand'!D151,""),"")</f>
        <v>276.05</v>
      </c>
      <c r="I151" s="11">
        <f t="shared" si="5"/>
        <v>71.643999999999991</v>
      </c>
    </row>
    <row r="152" spans="2:9" x14ac:dyDescent="0.2">
      <c r="B152" s="191">
        <f t="shared" si="3"/>
        <v>45583</v>
      </c>
      <c r="C152" s="81">
        <v>163.95</v>
      </c>
      <c r="D152" s="81"/>
      <c r="E152" s="81">
        <v>88.305000000000007</v>
      </c>
      <c r="F152" s="81">
        <v>440</v>
      </c>
      <c r="G152" s="11">
        <f t="shared" si="4"/>
        <v>351.69499999999999</v>
      </c>
      <c r="H152" s="11">
        <f>IFERROR(IF(Yearending&gt;B151,'5. Historical demand'!F152-'5. Historical demand'!C152-'5. Historical demand'!D152,""),"")</f>
        <v>276.05</v>
      </c>
      <c r="I152" s="11">
        <f t="shared" si="5"/>
        <v>75.644999999999982</v>
      </c>
    </row>
    <row r="153" spans="2:9" x14ac:dyDescent="0.2">
      <c r="B153" s="191">
        <f t="shared" si="3"/>
        <v>45584</v>
      </c>
      <c r="C153" s="81">
        <v>163.95</v>
      </c>
      <c r="D153" s="81"/>
      <c r="E153" s="81">
        <v>82.305000000000007</v>
      </c>
      <c r="F153" s="81">
        <v>440</v>
      </c>
      <c r="G153" s="11">
        <f t="shared" si="4"/>
        <v>357.69499999999999</v>
      </c>
      <c r="H153" s="11">
        <f>IFERROR(IF(Yearending&gt;B152,'5. Historical demand'!F153-'5. Historical demand'!C153-'5. Historical demand'!D153,""),"")</f>
        <v>276.05</v>
      </c>
      <c r="I153" s="11">
        <f t="shared" si="5"/>
        <v>81.644999999999982</v>
      </c>
    </row>
    <row r="154" spans="2:9" x14ac:dyDescent="0.2">
      <c r="B154" s="191">
        <f t="shared" si="3"/>
        <v>45585</v>
      </c>
      <c r="C154" s="81">
        <v>163.95</v>
      </c>
      <c r="D154" s="81"/>
      <c r="E154" s="81">
        <v>80.305999999999997</v>
      </c>
      <c r="F154" s="81">
        <v>440</v>
      </c>
      <c r="G154" s="11">
        <f t="shared" si="4"/>
        <v>359.69400000000002</v>
      </c>
      <c r="H154" s="11">
        <f>IFERROR(IF(Yearending&gt;B153,'5. Historical demand'!F154-'5. Historical demand'!C154-'5. Historical demand'!D154,""),"")</f>
        <v>276.05</v>
      </c>
      <c r="I154" s="11">
        <f t="shared" si="5"/>
        <v>83.643999999999991</v>
      </c>
    </row>
    <row r="155" spans="2:9" x14ac:dyDescent="0.2">
      <c r="B155" s="191">
        <f t="shared" si="3"/>
        <v>45586</v>
      </c>
      <c r="C155" s="81">
        <v>163.95</v>
      </c>
      <c r="D155" s="81"/>
      <c r="E155" s="81">
        <v>26.074999999999999</v>
      </c>
      <c r="F155" s="81">
        <v>440</v>
      </c>
      <c r="G155" s="11">
        <f t="shared" si="4"/>
        <v>413.92500000000001</v>
      </c>
      <c r="H155" s="11">
        <f>IFERROR(IF(Yearending&gt;B154,'5. Historical demand'!F155-'5. Historical demand'!C155-'5. Historical demand'!D155,""),"")</f>
        <v>276.05</v>
      </c>
      <c r="I155" s="11">
        <f t="shared" si="5"/>
        <v>137.875</v>
      </c>
    </row>
    <row r="156" spans="2:9" x14ac:dyDescent="0.2">
      <c r="B156" s="191">
        <f t="shared" si="3"/>
        <v>45587</v>
      </c>
      <c r="C156" s="81">
        <v>163.95</v>
      </c>
      <c r="D156" s="81"/>
      <c r="E156" s="81">
        <v>71.075000000000003</v>
      </c>
      <c r="F156" s="81">
        <v>440</v>
      </c>
      <c r="G156" s="11">
        <f t="shared" si="4"/>
        <v>368.92500000000001</v>
      </c>
      <c r="H156" s="11">
        <f>IFERROR(IF(Yearending&gt;B155,'5. Historical demand'!F156-'5. Historical demand'!C156-'5. Historical demand'!D156,""),"")</f>
        <v>276.05</v>
      </c>
      <c r="I156" s="11">
        <f t="shared" si="5"/>
        <v>92.874999999999986</v>
      </c>
    </row>
    <row r="157" spans="2:9" x14ac:dyDescent="0.2">
      <c r="B157" s="191">
        <f t="shared" si="3"/>
        <v>45588</v>
      </c>
      <c r="C157" s="81">
        <v>163.95</v>
      </c>
      <c r="D157" s="81"/>
      <c r="E157" s="81">
        <v>92</v>
      </c>
      <c r="F157" s="81">
        <v>440</v>
      </c>
      <c r="G157" s="11">
        <f t="shared" si="4"/>
        <v>348</v>
      </c>
      <c r="H157" s="11">
        <f>IFERROR(IF(Yearending&gt;B156,'5. Historical demand'!F157-'5. Historical demand'!C157-'5. Historical demand'!D157,""),"")</f>
        <v>276.05</v>
      </c>
      <c r="I157" s="11">
        <f t="shared" si="5"/>
        <v>71.949999999999989</v>
      </c>
    </row>
    <row r="158" spans="2:9" x14ac:dyDescent="0.2">
      <c r="B158" s="191">
        <f t="shared" si="3"/>
        <v>45589</v>
      </c>
      <c r="C158" s="81">
        <v>163.95</v>
      </c>
      <c r="D158" s="81"/>
      <c r="E158" s="81">
        <v>163.99100000000001</v>
      </c>
      <c r="F158" s="81">
        <v>440</v>
      </c>
      <c r="G158" s="11">
        <f t="shared" si="4"/>
        <v>276.00900000000001</v>
      </c>
      <c r="H158" s="11">
        <f>IFERROR(IF(Yearending&gt;B157,'5. Historical demand'!F158-'5. Historical demand'!C158-'5. Historical demand'!D158,""),"")</f>
        <v>276.05</v>
      </c>
      <c r="I158" s="11">
        <f t="shared" si="5"/>
        <v>-4.1000000000025238E-2</v>
      </c>
    </row>
    <row r="159" spans="2:9" x14ac:dyDescent="0.2">
      <c r="B159" s="191">
        <f t="shared" si="3"/>
        <v>45590</v>
      </c>
      <c r="C159" s="81">
        <v>163.95</v>
      </c>
      <c r="D159" s="81"/>
      <c r="E159" s="81">
        <v>163.995</v>
      </c>
      <c r="F159" s="81">
        <v>440</v>
      </c>
      <c r="G159" s="11">
        <f t="shared" si="4"/>
        <v>276.005</v>
      </c>
      <c r="H159" s="11">
        <f>IFERROR(IF(Yearending&gt;B158,'5. Historical demand'!F159-'5. Historical demand'!C159-'5. Historical demand'!D159,""),"")</f>
        <v>276.05</v>
      </c>
      <c r="I159" s="11">
        <f t="shared" si="5"/>
        <v>-4.5000000000015916E-2</v>
      </c>
    </row>
    <row r="160" spans="2:9" x14ac:dyDescent="0.2">
      <c r="B160" s="191">
        <f t="shared" si="3"/>
        <v>45591</v>
      </c>
      <c r="C160" s="81">
        <v>163.95</v>
      </c>
      <c r="D160" s="81"/>
      <c r="E160" s="81">
        <v>87.311999999999998</v>
      </c>
      <c r="F160" s="81">
        <v>440</v>
      </c>
      <c r="G160" s="11">
        <f t="shared" si="4"/>
        <v>352.68799999999999</v>
      </c>
      <c r="H160" s="11">
        <f>IFERROR(IF(Yearending&gt;B159,'5. Historical demand'!F160-'5. Historical demand'!C160-'5. Historical demand'!D160,""),"")</f>
        <v>276.05</v>
      </c>
      <c r="I160" s="11">
        <f t="shared" si="5"/>
        <v>76.637999999999991</v>
      </c>
    </row>
    <row r="161" spans="2:9" x14ac:dyDescent="0.2">
      <c r="B161" s="191">
        <f t="shared" si="3"/>
        <v>45592</v>
      </c>
      <c r="C161" s="81">
        <v>163.95</v>
      </c>
      <c r="D161" s="81"/>
      <c r="E161" s="81">
        <v>82.075000000000003</v>
      </c>
      <c r="F161" s="81">
        <v>440</v>
      </c>
      <c r="G161" s="11">
        <f t="shared" si="4"/>
        <v>357.92500000000001</v>
      </c>
      <c r="H161" s="11">
        <f>IFERROR(IF(Yearending&gt;B160,'5. Historical demand'!F161-'5. Historical demand'!C161-'5. Historical demand'!D161,""),"")</f>
        <v>276.05</v>
      </c>
      <c r="I161" s="11">
        <f t="shared" si="5"/>
        <v>81.874999999999986</v>
      </c>
    </row>
    <row r="162" spans="2:9" x14ac:dyDescent="0.2">
      <c r="B162" s="191">
        <f t="shared" si="3"/>
        <v>45593</v>
      </c>
      <c r="C162" s="81">
        <v>163.95</v>
      </c>
      <c r="D162" s="81"/>
      <c r="E162" s="81">
        <v>31.31</v>
      </c>
      <c r="F162" s="81">
        <v>440</v>
      </c>
      <c r="G162" s="11">
        <f t="shared" si="4"/>
        <v>408.69</v>
      </c>
      <c r="H162" s="11">
        <f>IFERROR(IF(Yearending&gt;B161,'5. Historical demand'!F162-'5. Historical demand'!C162-'5. Historical demand'!D162,""),"")</f>
        <v>276.05</v>
      </c>
      <c r="I162" s="11">
        <f t="shared" si="5"/>
        <v>132.63999999999999</v>
      </c>
    </row>
    <row r="163" spans="2:9" x14ac:dyDescent="0.2">
      <c r="B163" s="191">
        <f t="shared" si="3"/>
        <v>45594</v>
      </c>
      <c r="C163" s="81">
        <v>163.95</v>
      </c>
      <c r="D163" s="81"/>
      <c r="E163" s="81">
        <v>76.31</v>
      </c>
      <c r="F163" s="81">
        <v>440</v>
      </c>
      <c r="G163" s="11">
        <f t="shared" si="4"/>
        <v>363.69</v>
      </c>
      <c r="H163" s="11">
        <f>IFERROR(IF(Yearending&gt;B162,'5. Historical demand'!F163-'5. Historical demand'!C163-'5. Historical demand'!D163,""),"")</f>
        <v>276.05</v>
      </c>
      <c r="I163" s="11">
        <f t="shared" si="5"/>
        <v>87.639999999999986</v>
      </c>
    </row>
    <row r="164" spans="2:9" x14ac:dyDescent="0.2">
      <c r="B164" s="191">
        <f t="shared" si="3"/>
        <v>45595</v>
      </c>
      <c r="C164" s="81">
        <v>163.95</v>
      </c>
      <c r="D164" s="81"/>
      <c r="E164" s="81">
        <v>92.804000000000002</v>
      </c>
      <c r="F164" s="81">
        <v>440</v>
      </c>
      <c r="G164" s="11">
        <f t="shared" si="4"/>
        <v>347.19600000000003</v>
      </c>
      <c r="H164" s="11">
        <f>IFERROR(IF(Yearending&gt;B163,'5. Historical demand'!F164-'5. Historical demand'!C164-'5. Historical demand'!D164,""),"")</f>
        <v>276.05</v>
      </c>
      <c r="I164" s="11">
        <f t="shared" si="5"/>
        <v>71.145999999999987</v>
      </c>
    </row>
    <row r="165" spans="2:9" x14ac:dyDescent="0.2">
      <c r="B165" s="191">
        <f t="shared" si="3"/>
        <v>45596</v>
      </c>
      <c r="C165" s="81">
        <v>163.95</v>
      </c>
      <c r="D165" s="81"/>
      <c r="E165" s="81">
        <v>95.56</v>
      </c>
      <c r="F165" s="81">
        <v>440</v>
      </c>
      <c r="G165" s="11">
        <f t="shared" si="4"/>
        <v>344.44</v>
      </c>
      <c r="H165" s="11">
        <f>IFERROR(IF(Yearending&gt;B164,'5. Historical demand'!F165-'5. Historical demand'!C165-'5. Historical demand'!D165,""),"")</f>
        <v>276.05</v>
      </c>
      <c r="I165" s="11">
        <f t="shared" si="5"/>
        <v>68.389999999999986</v>
      </c>
    </row>
    <row r="166" spans="2:9" x14ac:dyDescent="0.2">
      <c r="B166" s="191">
        <f t="shared" si="3"/>
        <v>45597</v>
      </c>
      <c r="C166" s="81">
        <v>163.95</v>
      </c>
      <c r="D166" s="81"/>
      <c r="E166" s="81">
        <v>82.539000000000001</v>
      </c>
      <c r="F166" s="81">
        <v>440</v>
      </c>
      <c r="G166" s="11">
        <f t="shared" si="4"/>
        <v>357.46100000000001</v>
      </c>
      <c r="H166" s="11">
        <f>IFERROR(IF(Yearending&gt;B165,'5. Historical demand'!F166-'5. Historical demand'!C166-'5. Historical demand'!D166,""),"")</f>
        <v>276.05</v>
      </c>
      <c r="I166" s="11">
        <f t="shared" si="5"/>
        <v>81.410999999999987</v>
      </c>
    </row>
    <row r="167" spans="2:9" x14ac:dyDescent="0.2">
      <c r="B167" s="191">
        <f t="shared" si="3"/>
        <v>45598</v>
      </c>
      <c r="C167" s="81">
        <v>163.95</v>
      </c>
      <c r="D167" s="81"/>
      <c r="E167" s="81">
        <v>39.539000000000001</v>
      </c>
      <c r="F167" s="81">
        <v>440</v>
      </c>
      <c r="G167" s="11">
        <f t="shared" si="4"/>
        <v>400.46100000000001</v>
      </c>
      <c r="H167" s="11">
        <f>IFERROR(IF(Yearending&gt;B166,'5. Historical demand'!F167-'5. Historical demand'!C167-'5. Historical demand'!D167,""),"")</f>
        <v>276.05</v>
      </c>
      <c r="I167" s="11">
        <f t="shared" si="5"/>
        <v>124.41099999999999</v>
      </c>
    </row>
    <row r="168" spans="2:9" x14ac:dyDescent="0.2">
      <c r="B168" s="191">
        <f t="shared" si="3"/>
        <v>45599</v>
      </c>
      <c r="C168" s="81">
        <v>163.95</v>
      </c>
      <c r="D168" s="81"/>
      <c r="E168" s="81">
        <v>54.987000000000002</v>
      </c>
      <c r="F168" s="81">
        <v>440</v>
      </c>
      <c r="G168" s="11">
        <f t="shared" si="4"/>
        <v>385.01299999999998</v>
      </c>
      <c r="H168" s="11">
        <f>IFERROR(IF(Yearending&gt;B167,'5. Historical demand'!F168-'5. Historical demand'!C168-'5. Historical demand'!D168,""),"")</f>
        <v>276.05</v>
      </c>
      <c r="I168" s="11">
        <f t="shared" si="5"/>
        <v>108.96299999999999</v>
      </c>
    </row>
    <row r="169" spans="2:9" x14ac:dyDescent="0.2">
      <c r="B169" s="191">
        <f t="shared" si="3"/>
        <v>45600</v>
      </c>
      <c r="C169" s="81">
        <v>163.95</v>
      </c>
      <c r="D169" s="81"/>
      <c r="E169" s="81">
        <v>68.8</v>
      </c>
      <c r="F169" s="81">
        <v>440</v>
      </c>
      <c r="G169" s="11">
        <f t="shared" si="4"/>
        <v>371.2</v>
      </c>
      <c r="H169" s="11">
        <f>IFERROR(IF(Yearending&gt;B168,'5. Historical demand'!F169-'5. Historical demand'!C169-'5. Historical demand'!D169,""),"")</f>
        <v>276.05</v>
      </c>
      <c r="I169" s="11">
        <f t="shared" si="5"/>
        <v>95.149999999999991</v>
      </c>
    </row>
    <row r="170" spans="2:9" x14ac:dyDescent="0.2">
      <c r="B170" s="191">
        <f t="shared" si="3"/>
        <v>45601</v>
      </c>
      <c r="C170" s="81">
        <v>163.95</v>
      </c>
      <c r="D170" s="81"/>
      <c r="E170" s="81">
        <v>78.539000000000001</v>
      </c>
      <c r="F170" s="81">
        <v>440</v>
      </c>
      <c r="G170" s="11">
        <f t="shared" si="4"/>
        <v>361.46100000000001</v>
      </c>
      <c r="H170" s="11">
        <f>IFERROR(IF(Yearending&gt;B169,'5. Historical demand'!F170-'5. Historical demand'!C170-'5. Historical demand'!D170,""),"")</f>
        <v>276.05</v>
      </c>
      <c r="I170" s="11">
        <f t="shared" si="5"/>
        <v>85.410999999999987</v>
      </c>
    </row>
    <row r="171" spans="2:9" x14ac:dyDescent="0.2">
      <c r="B171" s="191">
        <f t="shared" si="3"/>
        <v>45602</v>
      </c>
      <c r="C171" s="81">
        <v>163.95</v>
      </c>
      <c r="D171" s="81"/>
      <c r="E171" s="81">
        <v>75.037999999999997</v>
      </c>
      <c r="F171" s="81">
        <v>440</v>
      </c>
      <c r="G171" s="11">
        <f t="shared" si="4"/>
        <v>364.96199999999999</v>
      </c>
      <c r="H171" s="11">
        <f>IFERROR(IF(Yearending&gt;B170,'5. Historical demand'!F171-'5. Historical demand'!C171-'5. Historical demand'!D171,""),"")</f>
        <v>276.05</v>
      </c>
      <c r="I171" s="11">
        <f t="shared" si="5"/>
        <v>88.911999999999992</v>
      </c>
    </row>
    <row r="172" spans="2:9" x14ac:dyDescent="0.2">
      <c r="B172" s="191">
        <f t="shared" ref="B172:B235" si="6">IFERROR(IF(Yearending&gt;B171, B171+1, ""),"")</f>
        <v>45603</v>
      </c>
      <c r="C172" s="81">
        <v>163.95</v>
      </c>
      <c r="D172" s="81"/>
      <c r="E172" s="81">
        <v>80.287000000000006</v>
      </c>
      <c r="F172" s="81">
        <v>440</v>
      </c>
      <c r="G172" s="11">
        <f t="shared" ref="G172:G235" si="7">IFERROR(IF(Yearending&gt;B171,F172-E172,""),"")</f>
        <v>359.71299999999997</v>
      </c>
      <c r="H172" s="11">
        <f>IFERROR(IF(Yearending&gt;B171,'5. Historical demand'!F172-'5. Historical demand'!C172-'5. Historical demand'!D172,""),"")</f>
        <v>276.05</v>
      </c>
      <c r="I172" s="11">
        <f t="shared" ref="I172:I235" si="8">IFERROR(IF(Yearending&gt;B171,C172+D172-E172,""),"")</f>
        <v>83.662999999999982</v>
      </c>
    </row>
    <row r="173" spans="2:9" x14ac:dyDescent="0.2">
      <c r="B173" s="191">
        <f t="shared" si="6"/>
        <v>45604</v>
      </c>
      <c r="C173" s="81">
        <v>163.95</v>
      </c>
      <c r="D173" s="81"/>
      <c r="E173" s="81">
        <v>104.051</v>
      </c>
      <c r="F173" s="81">
        <v>440</v>
      </c>
      <c r="G173" s="11">
        <f t="shared" si="7"/>
        <v>335.94900000000001</v>
      </c>
      <c r="H173" s="11">
        <f>IFERROR(IF(Yearending&gt;B172,'5. Historical demand'!F173-'5. Historical demand'!C173-'5. Historical demand'!D173,""),"")</f>
        <v>276.05</v>
      </c>
      <c r="I173" s="11">
        <f t="shared" si="8"/>
        <v>59.898999999999987</v>
      </c>
    </row>
    <row r="174" spans="2:9" x14ac:dyDescent="0.2">
      <c r="B174" s="191">
        <f t="shared" si="6"/>
        <v>45605</v>
      </c>
      <c r="C174" s="81">
        <v>163.95</v>
      </c>
      <c r="D174" s="81"/>
      <c r="E174" s="81">
        <v>116.05</v>
      </c>
      <c r="F174" s="81">
        <v>440</v>
      </c>
      <c r="G174" s="11">
        <f t="shared" si="7"/>
        <v>323.95</v>
      </c>
      <c r="H174" s="11">
        <f>IFERROR(IF(Yearending&gt;B173,'5. Historical demand'!F174-'5. Historical demand'!C174-'5. Historical demand'!D174,""),"")</f>
        <v>276.05</v>
      </c>
      <c r="I174" s="11">
        <f t="shared" si="8"/>
        <v>47.899999999999991</v>
      </c>
    </row>
    <row r="175" spans="2:9" x14ac:dyDescent="0.2">
      <c r="B175" s="191">
        <f t="shared" si="6"/>
        <v>45606</v>
      </c>
      <c r="C175" s="81">
        <v>163.95</v>
      </c>
      <c r="D175" s="81"/>
      <c r="E175" s="81">
        <v>106.28400000000001</v>
      </c>
      <c r="F175" s="81">
        <v>440</v>
      </c>
      <c r="G175" s="11">
        <f t="shared" si="7"/>
        <v>333.71600000000001</v>
      </c>
      <c r="H175" s="11">
        <f>IFERROR(IF(Yearending&gt;B174,'5. Historical demand'!F175-'5. Historical demand'!C175-'5. Historical demand'!D175,""),"")</f>
        <v>276.05</v>
      </c>
      <c r="I175" s="11">
        <f t="shared" si="8"/>
        <v>57.665999999999983</v>
      </c>
    </row>
    <row r="176" spans="2:9" x14ac:dyDescent="0.2">
      <c r="B176" s="191">
        <f t="shared" si="6"/>
        <v>45607</v>
      </c>
      <c r="C176" s="81">
        <v>163.95</v>
      </c>
      <c r="D176" s="81"/>
      <c r="E176" s="81">
        <v>121.044</v>
      </c>
      <c r="F176" s="81">
        <v>440</v>
      </c>
      <c r="G176" s="11">
        <f t="shared" si="7"/>
        <v>318.95600000000002</v>
      </c>
      <c r="H176" s="11">
        <f>IFERROR(IF(Yearending&gt;B175,'5. Historical demand'!F176-'5. Historical demand'!C176-'5. Historical demand'!D176,""),"")</f>
        <v>276.05</v>
      </c>
      <c r="I176" s="11">
        <f t="shared" si="8"/>
        <v>42.905999999999992</v>
      </c>
    </row>
    <row r="177" spans="2:9" x14ac:dyDescent="0.2">
      <c r="B177" s="191">
        <f t="shared" si="6"/>
        <v>45608</v>
      </c>
      <c r="C177" s="81">
        <v>163.95</v>
      </c>
      <c r="D177" s="81"/>
      <c r="E177" s="81">
        <v>125.048</v>
      </c>
      <c r="F177" s="81">
        <v>440</v>
      </c>
      <c r="G177" s="11">
        <f t="shared" si="7"/>
        <v>314.952</v>
      </c>
      <c r="H177" s="11">
        <f>IFERROR(IF(Yearending&gt;B176,'5. Historical demand'!F177-'5. Historical demand'!C177-'5. Historical demand'!D177,""),"")</f>
        <v>276.05</v>
      </c>
      <c r="I177" s="11">
        <f t="shared" si="8"/>
        <v>38.901999999999987</v>
      </c>
    </row>
    <row r="178" spans="2:9" x14ac:dyDescent="0.2">
      <c r="B178" s="191">
        <f t="shared" si="6"/>
        <v>45609</v>
      </c>
      <c r="C178" s="81">
        <v>163.95</v>
      </c>
      <c r="D178" s="81"/>
      <c r="E178" s="81">
        <v>125.05</v>
      </c>
      <c r="F178" s="81">
        <v>440</v>
      </c>
      <c r="G178" s="11">
        <f t="shared" si="7"/>
        <v>314.95</v>
      </c>
      <c r="H178" s="11">
        <f>IFERROR(IF(Yearending&gt;B177,'5. Historical demand'!F178-'5. Historical demand'!C178-'5. Historical demand'!D178,""),"")</f>
        <v>276.05</v>
      </c>
      <c r="I178" s="11">
        <f t="shared" si="8"/>
        <v>38.899999999999991</v>
      </c>
    </row>
    <row r="179" spans="2:9" x14ac:dyDescent="0.2">
      <c r="B179" s="191">
        <f t="shared" si="6"/>
        <v>45610</v>
      </c>
      <c r="C179" s="81">
        <v>163.95</v>
      </c>
      <c r="D179" s="81"/>
      <c r="E179" s="81">
        <v>106.78700000000001</v>
      </c>
      <c r="F179" s="81">
        <v>440</v>
      </c>
      <c r="G179" s="11">
        <f t="shared" si="7"/>
        <v>333.21299999999997</v>
      </c>
      <c r="H179" s="11">
        <f>IFERROR(IF(Yearending&gt;B178,'5. Historical demand'!F179-'5. Historical demand'!C179-'5. Historical demand'!D179,""),"")</f>
        <v>276.05</v>
      </c>
      <c r="I179" s="11">
        <f t="shared" si="8"/>
        <v>57.162999999999982</v>
      </c>
    </row>
    <row r="180" spans="2:9" x14ac:dyDescent="0.2">
      <c r="B180" s="191">
        <f t="shared" si="6"/>
        <v>45611</v>
      </c>
      <c r="C180" s="81">
        <v>163.95</v>
      </c>
      <c r="D180" s="81"/>
      <c r="E180" s="81">
        <v>108.289</v>
      </c>
      <c r="F180" s="81">
        <v>440</v>
      </c>
      <c r="G180" s="11">
        <f t="shared" si="7"/>
        <v>331.71100000000001</v>
      </c>
      <c r="H180" s="11">
        <f>IFERROR(IF(Yearending&gt;B179,'5. Historical demand'!F180-'5. Historical demand'!C180-'5. Historical demand'!D180,""),"")</f>
        <v>276.05</v>
      </c>
      <c r="I180" s="11">
        <f t="shared" si="8"/>
        <v>55.660999999999987</v>
      </c>
    </row>
    <row r="181" spans="2:9" x14ac:dyDescent="0.2">
      <c r="B181" s="191">
        <f t="shared" si="6"/>
        <v>45612</v>
      </c>
      <c r="C181" s="81">
        <v>163.95</v>
      </c>
      <c r="D181" s="81"/>
      <c r="E181" s="81">
        <v>122.042</v>
      </c>
      <c r="F181" s="81">
        <v>440</v>
      </c>
      <c r="G181" s="11">
        <f t="shared" si="7"/>
        <v>317.95799999999997</v>
      </c>
      <c r="H181" s="11">
        <f>IFERROR(IF(Yearending&gt;B180,'5. Historical demand'!F181-'5. Historical demand'!C181-'5. Historical demand'!D181,""),"")</f>
        <v>276.05</v>
      </c>
      <c r="I181" s="11">
        <f t="shared" si="8"/>
        <v>41.907999999999987</v>
      </c>
    </row>
    <row r="182" spans="2:9" x14ac:dyDescent="0.2">
      <c r="B182" s="191">
        <f t="shared" si="6"/>
        <v>45613</v>
      </c>
      <c r="C182" s="81">
        <v>163.95</v>
      </c>
      <c r="D182" s="81"/>
      <c r="E182" s="81">
        <v>125.72</v>
      </c>
      <c r="F182" s="81">
        <v>440</v>
      </c>
      <c r="G182" s="11">
        <f t="shared" si="7"/>
        <v>314.27999999999997</v>
      </c>
      <c r="H182" s="11">
        <f>IFERROR(IF(Yearending&gt;B181,'5. Historical demand'!F182-'5. Historical demand'!C182-'5. Historical demand'!D182,""),"")</f>
        <v>276.05</v>
      </c>
      <c r="I182" s="11">
        <f t="shared" si="8"/>
        <v>38.22999999999999</v>
      </c>
    </row>
    <row r="183" spans="2:9" x14ac:dyDescent="0.2">
      <c r="B183" s="191">
        <f t="shared" si="6"/>
        <v>45614</v>
      </c>
      <c r="C183" s="81">
        <v>163.95</v>
      </c>
      <c r="D183" s="81"/>
      <c r="E183" s="81">
        <v>114.292</v>
      </c>
      <c r="F183" s="81">
        <v>440</v>
      </c>
      <c r="G183" s="11">
        <f t="shared" si="7"/>
        <v>325.70799999999997</v>
      </c>
      <c r="H183" s="11">
        <f>IFERROR(IF(Yearending&gt;B182,'5. Historical demand'!F183-'5. Historical demand'!C183-'5. Historical demand'!D183,""),"")</f>
        <v>276.05</v>
      </c>
      <c r="I183" s="11">
        <f t="shared" si="8"/>
        <v>49.657999999999987</v>
      </c>
    </row>
    <row r="184" spans="2:9" x14ac:dyDescent="0.2">
      <c r="B184" s="191">
        <f t="shared" si="6"/>
        <v>45615</v>
      </c>
      <c r="C184" s="81">
        <v>163.95</v>
      </c>
      <c r="D184" s="81"/>
      <c r="E184" s="81">
        <v>115.292</v>
      </c>
      <c r="F184" s="81">
        <v>440</v>
      </c>
      <c r="G184" s="11">
        <f t="shared" si="7"/>
        <v>324.70799999999997</v>
      </c>
      <c r="H184" s="11">
        <f>IFERROR(IF(Yearending&gt;B183,'5. Historical demand'!F184-'5. Historical demand'!C184-'5. Historical demand'!D184,""),"")</f>
        <v>276.05</v>
      </c>
      <c r="I184" s="11">
        <f t="shared" si="8"/>
        <v>48.657999999999987</v>
      </c>
    </row>
    <row r="185" spans="2:9" x14ac:dyDescent="0.2">
      <c r="B185" s="191">
        <f t="shared" si="6"/>
        <v>45616</v>
      </c>
      <c r="C185" s="81">
        <v>163.95</v>
      </c>
      <c r="D185" s="81"/>
      <c r="E185" s="81">
        <v>114.80200000000001</v>
      </c>
      <c r="F185" s="81">
        <v>440</v>
      </c>
      <c r="G185" s="11">
        <f t="shared" si="7"/>
        <v>325.19799999999998</v>
      </c>
      <c r="H185" s="11">
        <f>IFERROR(IF(Yearending&gt;B184,'5. Historical demand'!F185-'5. Historical demand'!C185-'5. Historical demand'!D185,""),"")</f>
        <v>276.05</v>
      </c>
      <c r="I185" s="11">
        <f t="shared" si="8"/>
        <v>49.147999999999982</v>
      </c>
    </row>
    <row r="186" spans="2:9" x14ac:dyDescent="0.2">
      <c r="B186" s="191">
        <f t="shared" si="6"/>
        <v>45617</v>
      </c>
      <c r="C186" s="81">
        <v>163.95</v>
      </c>
      <c r="D186" s="81"/>
      <c r="E186" s="81">
        <v>118.788</v>
      </c>
      <c r="F186" s="81">
        <v>440</v>
      </c>
      <c r="G186" s="11">
        <f t="shared" si="7"/>
        <v>321.21199999999999</v>
      </c>
      <c r="H186" s="11">
        <f>IFERROR(IF(Yearending&gt;B185,'5. Historical demand'!F186-'5. Historical demand'!C186-'5. Historical demand'!D186,""),"")</f>
        <v>276.05</v>
      </c>
      <c r="I186" s="11">
        <f t="shared" si="8"/>
        <v>45.161999999999992</v>
      </c>
    </row>
    <row r="187" spans="2:9" x14ac:dyDescent="0.2">
      <c r="B187" s="191">
        <f t="shared" si="6"/>
        <v>45618</v>
      </c>
      <c r="C187" s="81">
        <v>163.95</v>
      </c>
      <c r="D187" s="81"/>
      <c r="E187" s="81">
        <v>112.783</v>
      </c>
      <c r="F187" s="81">
        <v>440</v>
      </c>
      <c r="G187" s="11">
        <f t="shared" si="7"/>
        <v>327.21699999999998</v>
      </c>
      <c r="H187" s="11">
        <f>IFERROR(IF(Yearending&gt;B186,'5. Historical demand'!F187-'5. Historical demand'!C187-'5. Historical demand'!D187,""),"")</f>
        <v>276.05</v>
      </c>
      <c r="I187" s="11">
        <f t="shared" si="8"/>
        <v>51.166999999999987</v>
      </c>
    </row>
    <row r="188" spans="2:9" x14ac:dyDescent="0.2">
      <c r="B188" s="191">
        <f t="shared" si="6"/>
        <v>45619</v>
      </c>
      <c r="C188" s="81">
        <v>163.95</v>
      </c>
      <c r="D188" s="81"/>
      <c r="E188" s="81">
        <v>101.282</v>
      </c>
      <c r="F188" s="81">
        <v>440</v>
      </c>
      <c r="G188" s="11">
        <f t="shared" si="7"/>
        <v>338.71800000000002</v>
      </c>
      <c r="H188" s="11">
        <f>IFERROR(IF(Yearending&gt;B187,'5. Historical demand'!F188-'5. Historical demand'!C188-'5. Historical demand'!D188,""),"")</f>
        <v>276.05</v>
      </c>
      <c r="I188" s="11">
        <f t="shared" si="8"/>
        <v>62.667999999999992</v>
      </c>
    </row>
    <row r="189" spans="2:9" x14ac:dyDescent="0.2">
      <c r="B189" s="191">
        <f t="shared" si="6"/>
        <v>45620</v>
      </c>
      <c r="C189" s="81">
        <v>163.95</v>
      </c>
      <c r="D189" s="81"/>
      <c r="E189" s="81">
        <v>118.04900000000001</v>
      </c>
      <c r="F189" s="81">
        <v>440</v>
      </c>
      <c r="G189" s="11">
        <f t="shared" si="7"/>
        <v>321.95100000000002</v>
      </c>
      <c r="H189" s="11">
        <f>IFERROR(IF(Yearending&gt;B188,'5. Historical demand'!F189-'5. Historical demand'!C189-'5. Historical demand'!D189,""),"")</f>
        <v>276.05</v>
      </c>
      <c r="I189" s="11">
        <f t="shared" si="8"/>
        <v>45.900999999999982</v>
      </c>
    </row>
    <row r="190" spans="2:9" x14ac:dyDescent="0.2">
      <c r="B190" s="191">
        <f t="shared" si="6"/>
        <v>45621</v>
      </c>
      <c r="C190" s="81">
        <v>163.95</v>
      </c>
      <c r="D190" s="81"/>
      <c r="E190" s="81">
        <v>123.048</v>
      </c>
      <c r="F190" s="81">
        <v>440</v>
      </c>
      <c r="G190" s="11">
        <f t="shared" si="7"/>
        <v>316.952</v>
      </c>
      <c r="H190" s="11">
        <f>IFERROR(IF(Yearending&gt;B189,'5. Historical demand'!F190-'5. Historical demand'!C190-'5. Historical demand'!D190,""),"")</f>
        <v>276.05</v>
      </c>
      <c r="I190" s="11">
        <f t="shared" si="8"/>
        <v>40.901999999999987</v>
      </c>
    </row>
    <row r="191" spans="2:9" x14ac:dyDescent="0.2">
      <c r="B191" s="191">
        <f t="shared" si="6"/>
        <v>45622</v>
      </c>
      <c r="C191" s="81">
        <v>163.95</v>
      </c>
      <c r="D191" s="81"/>
      <c r="E191" s="81">
        <v>129.71899999999999</v>
      </c>
      <c r="F191" s="81">
        <v>440</v>
      </c>
      <c r="G191" s="11">
        <f t="shared" si="7"/>
        <v>310.28100000000001</v>
      </c>
      <c r="H191" s="11">
        <f>IFERROR(IF(Yearending&gt;B190,'5. Historical demand'!F191-'5. Historical demand'!C191-'5. Historical demand'!D191,""),"")</f>
        <v>276.05</v>
      </c>
      <c r="I191" s="11">
        <f t="shared" si="8"/>
        <v>34.230999999999995</v>
      </c>
    </row>
    <row r="192" spans="2:9" x14ac:dyDescent="0.2">
      <c r="B192" s="191">
        <f t="shared" si="6"/>
        <v>45623</v>
      </c>
      <c r="C192" s="81">
        <v>163.95</v>
      </c>
      <c r="D192" s="81"/>
      <c r="E192" s="81">
        <v>139.048</v>
      </c>
      <c r="F192" s="81">
        <v>440</v>
      </c>
      <c r="G192" s="11">
        <f t="shared" si="7"/>
        <v>300.952</v>
      </c>
      <c r="H192" s="11">
        <f>IFERROR(IF(Yearending&gt;B191,'5. Historical demand'!F192-'5. Historical demand'!C192-'5. Historical demand'!D192,""),"")</f>
        <v>276.05</v>
      </c>
      <c r="I192" s="11">
        <f t="shared" si="8"/>
        <v>24.901999999999987</v>
      </c>
    </row>
    <row r="193" spans="2:9" x14ac:dyDescent="0.2">
      <c r="B193" s="191">
        <f t="shared" si="6"/>
        <v>45624</v>
      </c>
      <c r="C193" s="81">
        <v>163.95</v>
      </c>
      <c r="D193" s="81"/>
      <c r="E193" s="81">
        <v>163.72</v>
      </c>
      <c r="F193" s="81">
        <v>440</v>
      </c>
      <c r="G193" s="11">
        <f t="shared" si="7"/>
        <v>276.27999999999997</v>
      </c>
      <c r="H193" s="11">
        <f>IFERROR(IF(Yearending&gt;B192,'5. Historical demand'!F193-'5. Historical demand'!C193-'5. Historical demand'!D193,""),"")</f>
        <v>276.05</v>
      </c>
      <c r="I193" s="11">
        <f t="shared" si="8"/>
        <v>0.22999999999998977</v>
      </c>
    </row>
    <row r="194" spans="2:9" x14ac:dyDescent="0.2">
      <c r="B194" s="191">
        <f t="shared" si="6"/>
        <v>45625</v>
      </c>
      <c r="C194" s="81">
        <v>163.95</v>
      </c>
      <c r="D194" s="81"/>
      <c r="E194" s="81">
        <v>163.999</v>
      </c>
      <c r="F194" s="81">
        <v>440</v>
      </c>
      <c r="G194" s="11">
        <f t="shared" si="7"/>
        <v>276.00099999999998</v>
      </c>
      <c r="H194" s="11">
        <f>IFERROR(IF(Yearending&gt;B193,'5. Historical demand'!F194-'5. Historical demand'!C194-'5. Historical demand'!D194,""),"")</f>
        <v>276.05</v>
      </c>
      <c r="I194" s="11">
        <f t="shared" si="8"/>
        <v>-4.9000000000006594E-2</v>
      </c>
    </row>
    <row r="195" spans="2:9" x14ac:dyDescent="0.2">
      <c r="B195" s="191">
        <f t="shared" si="6"/>
        <v>45626</v>
      </c>
      <c r="C195" s="81">
        <v>163.95</v>
      </c>
      <c r="D195" s="81"/>
      <c r="E195" s="81">
        <v>158.05099999999999</v>
      </c>
      <c r="F195" s="81">
        <v>440</v>
      </c>
      <c r="G195" s="11">
        <f t="shared" si="7"/>
        <v>281.94900000000001</v>
      </c>
      <c r="H195" s="11">
        <f>IFERROR(IF(Yearending&gt;B194,'5. Historical demand'!F195-'5. Historical demand'!C195-'5. Historical demand'!D195,""),"")</f>
        <v>276.05</v>
      </c>
      <c r="I195" s="11">
        <f t="shared" si="8"/>
        <v>5.8990000000000009</v>
      </c>
    </row>
    <row r="196" spans="2:9" x14ac:dyDescent="0.2">
      <c r="B196" s="191">
        <f t="shared" si="6"/>
        <v>45627</v>
      </c>
      <c r="C196" s="81">
        <v>163.95</v>
      </c>
      <c r="D196" s="81"/>
      <c r="E196" s="81">
        <v>124.22</v>
      </c>
      <c r="F196" s="81">
        <v>440</v>
      </c>
      <c r="G196" s="11">
        <f t="shared" si="7"/>
        <v>315.77999999999997</v>
      </c>
      <c r="H196" s="11">
        <f>IFERROR(IF(Yearending&gt;B195,'5. Historical demand'!F196-'5. Historical demand'!C196-'5. Historical demand'!D196,""),"")</f>
        <v>276.05</v>
      </c>
      <c r="I196" s="11">
        <f t="shared" si="8"/>
        <v>39.72999999999999</v>
      </c>
    </row>
    <row r="197" spans="2:9" x14ac:dyDescent="0.2">
      <c r="B197" s="191">
        <f t="shared" si="6"/>
        <v>45628</v>
      </c>
      <c r="C197" s="81">
        <v>163.95</v>
      </c>
      <c r="D197" s="81"/>
      <c r="E197" s="81">
        <v>111.68600000000001</v>
      </c>
      <c r="F197" s="81">
        <v>440</v>
      </c>
      <c r="G197" s="11">
        <f t="shared" si="7"/>
        <v>328.31399999999996</v>
      </c>
      <c r="H197" s="11">
        <f>IFERROR(IF(Yearending&gt;B196,'5. Historical demand'!F197-'5. Historical demand'!C197-'5. Historical demand'!D197,""),"")</f>
        <v>276.05</v>
      </c>
      <c r="I197" s="11">
        <f t="shared" si="8"/>
        <v>52.263999999999982</v>
      </c>
    </row>
    <row r="198" spans="2:9" x14ac:dyDescent="0.2">
      <c r="B198" s="191">
        <f t="shared" si="6"/>
        <v>45629</v>
      </c>
      <c r="C198" s="81">
        <v>163.95</v>
      </c>
      <c r="D198" s="81"/>
      <c r="E198" s="81">
        <v>103.551</v>
      </c>
      <c r="F198" s="81">
        <v>440</v>
      </c>
      <c r="G198" s="11">
        <f t="shared" si="7"/>
        <v>336.44900000000001</v>
      </c>
      <c r="H198" s="11">
        <f>IFERROR(IF(Yearending&gt;B197,'5. Historical demand'!F198-'5. Historical demand'!C198-'5. Historical demand'!D198,""),"")</f>
        <v>276.05</v>
      </c>
      <c r="I198" s="11">
        <f t="shared" si="8"/>
        <v>60.398999999999987</v>
      </c>
    </row>
    <row r="199" spans="2:9" x14ac:dyDescent="0.2">
      <c r="B199" s="191">
        <f t="shared" si="6"/>
        <v>45630</v>
      </c>
      <c r="C199" s="81">
        <v>163.95</v>
      </c>
      <c r="D199" s="81"/>
      <c r="E199" s="81">
        <v>108.05</v>
      </c>
      <c r="F199" s="81">
        <v>440</v>
      </c>
      <c r="G199" s="11">
        <f t="shared" si="7"/>
        <v>331.95</v>
      </c>
      <c r="H199" s="11">
        <f>IFERROR(IF(Yearending&gt;B198,'5. Historical demand'!F199-'5. Historical demand'!C199-'5. Historical demand'!D199,""),"")</f>
        <v>276.05</v>
      </c>
      <c r="I199" s="11">
        <f t="shared" si="8"/>
        <v>55.899999999999991</v>
      </c>
    </row>
    <row r="200" spans="2:9" x14ac:dyDescent="0.2">
      <c r="B200" s="191">
        <f t="shared" si="6"/>
        <v>45631</v>
      </c>
      <c r="C200" s="81">
        <v>163.95</v>
      </c>
      <c r="D200" s="81"/>
      <c r="E200" s="81">
        <v>112.381</v>
      </c>
      <c r="F200" s="81">
        <v>440</v>
      </c>
      <c r="G200" s="11">
        <f t="shared" si="7"/>
        <v>327.61900000000003</v>
      </c>
      <c r="H200" s="11">
        <f>IFERROR(IF(Yearending&gt;B199,'5. Historical demand'!F200-'5. Historical demand'!C200-'5. Historical demand'!D200,""),"")</f>
        <v>276.05</v>
      </c>
      <c r="I200" s="11">
        <f t="shared" si="8"/>
        <v>51.568999999999988</v>
      </c>
    </row>
    <row r="201" spans="2:9" x14ac:dyDescent="0.2">
      <c r="B201" s="191">
        <f t="shared" si="6"/>
        <v>45632</v>
      </c>
      <c r="C201" s="81">
        <v>163.95</v>
      </c>
      <c r="D201" s="81"/>
      <c r="E201" s="81">
        <v>112.05</v>
      </c>
      <c r="F201" s="81">
        <v>440</v>
      </c>
      <c r="G201" s="11">
        <f t="shared" si="7"/>
        <v>327.95</v>
      </c>
      <c r="H201" s="11">
        <f>IFERROR(IF(Yearending&gt;B200,'5. Historical demand'!F201-'5. Historical demand'!C201-'5. Historical demand'!D201,""),"")</f>
        <v>276.05</v>
      </c>
      <c r="I201" s="11">
        <f t="shared" si="8"/>
        <v>51.899999999999991</v>
      </c>
    </row>
    <row r="202" spans="2:9" x14ac:dyDescent="0.2">
      <c r="B202" s="191">
        <f t="shared" si="6"/>
        <v>45633</v>
      </c>
      <c r="C202" s="81">
        <v>163.95</v>
      </c>
      <c r="D202" s="81"/>
      <c r="E202" s="81">
        <v>104.931</v>
      </c>
      <c r="F202" s="81">
        <v>440</v>
      </c>
      <c r="G202" s="11">
        <f t="shared" si="7"/>
        <v>335.06900000000002</v>
      </c>
      <c r="H202" s="11">
        <f>IFERROR(IF(Yearending&gt;B201,'5. Historical demand'!F202-'5. Historical demand'!C202-'5. Historical demand'!D202,""),"")</f>
        <v>276.05</v>
      </c>
      <c r="I202" s="11">
        <f t="shared" si="8"/>
        <v>59.018999999999991</v>
      </c>
    </row>
    <row r="203" spans="2:9" x14ac:dyDescent="0.2">
      <c r="B203" s="191">
        <f t="shared" si="6"/>
        <v>45634</v>
      </c>
      <c r="C203" s="81">
        <v>163.95</v>
      </c>
      <c r="D203" s="81"/>
      <c r="E203" s="81">
        <v>114.932</v>
      </c>
      <c r="F203" s="81">
        <v>440</v>
      </c>
      <c r="G203" s="11">
        <f t="shared" si="7"/>
        <v>325.06799999999998</v>
      </c>
      <c r="H203" s="11">
        <f>IFERROR(IF(Yearending&gt;B202,'5. Historical demand'!F203-'5. Historical demand'!C203-'5. Historical demand'!D203,""),"")</f>
        <v>276.05</v>
      </c>
      <c r="I203" s="11">
        <f t="shared" si="8"/>
        <v>49.017999999999986</v>
      </c>
    </row>
    <row r="204" spans="2:9" x14ac:dyDescent="0.2">
      <c r="B204" s="191">
        <f t="shared" si="6"/>
        <v>45635</v>
      </c>
      <c r="C204" s="81">
        <v>163.95</v>
      </c>
      <c r="D204" s="81"/>
      <c r="E204" s="81">
        <v>127.54300000000001</v>
      </c>
      <c r="F204" s="81">
        <v>440</v>
      </c>
      <c r="G204" s="11">
        <f t="shared" si="7"/>
        <v>312.45699999999999</v>
      </c>
      <c r="H204" s="11">
        <f>IFERROR(IF(Yearending&gt;B203,'5. Historical demand'!F204-'5. Historical demand'!C204-'5. Historical demand'!D204,""),"")</f>
        <v>276.05</v>
      </c>
      <c r="I204" s="11">
        <f t="shared" si="8"/>
        <v>36.406999999999982</v>
      </c>
    </row>
    <row r="205" spans="2:9" x14ac:dyDescent="0.2">
      <c r="B205" s="191">
        <f t="shared" si="6"/>
        <v>45636</v>
      </c>
      <c r="C205" s="81">
        <v>163.95</v>
      </c>
      <c r="D205" s="81"/>
      <c r="E205" s="81">
        <v>144.05099999999999</v>
      </c>
      <c r="F205" s="81">
        <v>440</v>
      </c>
      <c r="G205" s="11">
        <f t="shared" si="7"/>
        <v>295.94900000000001</v>
      </c>
      <c r="H205" s="11">
        <f>IFERROR(IF(Yearending&gt;B204,'5. Historical demand'!F205-'5. Historical demand'!C205-'5. Historical demand'!D205,""),"")</f>
        <v>276.05</v>
      </c>
      <c r="I205" s="11">
        <f t="shared" si="8"/>
        <v>19.899000000000001</v>
      </c>
    </row>
    <row r="206" spans="2:9" x14ac:dyDescent="0.2">
      <c r="B206" s="191">
        <f t="shared" si="6"/>
        <v>45637</v>
      </c>
      <c r="C206" s="81">
        <v>163.95</v>
      </c>
      <c r="D206" s="81"/>
      <c r="E206" s="81">
        <v>128.05000000000001</v>
      </c>
      <c r="F206" s="81">
        <v>440</v>
      </c>
      <c r="G206" s="11">
        <f t="shared" si="7"/>
        <v>311.95</v>
      </c>
      <c r="H206" s="11">
        <f>IFERROR(IF(Yearending&gt;B205,'5. Historical demand'!F206-'5. Historical demand'!C206-'5. Historical demand'!D206,""),"")</f>
        <v>276.05</v>
      </c>
      <c r="I206" s="11">
        <f t="shared" si="8"/>
        <v>35.899999999999977</v>
      </c>
    </row>
    <row r="207" spans="2:9" x14ac:dyDescent="0.2">
      <c r="B207" s="191">
        <f t="shared" si="6"/>
        <v>45638</v>
      </c>
      <c r="C207" s="81">
        <v>163.95</v>
      </c>
      <c r="D207" s="81"/>
      <c r="E207" s="81">
        <v>132.041</v>
      </c>
      <c r="F207" s="81">
        <v>440</v>
      </c>
      <c r="G207" s="11">
        <f t="shared" si="7"/>
        <v>307.959</v>
      </c>
      <c r="H207" s="11">
        <f>IFERROR(IF(Yearending&gt;B206,'5. Historical demand'!F207-'5. Historical demand'!C207-'5. Historical demand'!D207,""),"")</f>
        <v>276.05</v>
      </c>
      <c r="I207" s="11">
        <f t="shared" si="8"/>
        <v>31.908999999999992</v>
      </c>
    </row>
    <row r="208" spans="2:9" x14ac:dyDescent="0.2">
      <c r="B208" s="191">
        <f t="shared" si="6"/>
        <v>45639</v>
      </c>
      <c r="C208" s="81">
        <v>163.95</v>
      </c>
      <c r="D208" s="81"/>
      <c r="E208" s="81">
        <v>131.05000000000001</v>
      </c>
      <c r="F208" s="81">
        <v>440</v>
      </c>
      <c r="G208" s="11">
        <f t="shared" si="7"/>
        <v>308.95</v>
      </c>
      <c r="H208" s="11">
        <f>IFERROR(IF(Yearending&gt;B207,'5. Historical demand'!F208-'5. Historical demand'!C208-'5. Historical demand'!D208,""),"")</f>
        <v>276.05</v>
      </c>
      <c r="I208" s="11">
        <f t="shared" si="8"/>
        <v>32.899999999999977</v>
      </c>
    </row>
    <row r="209" spans="2:9" x14ac:dyDescent="0.2">
      <c r="B209" s="191">
        <f t="shared" si="6"/>
        <v>45640</v>
      </c>
      <c r="C209" s="81">
        <v>163.95</v>
      </c>
      <c r="D209" s="81"/>
      <c r="E209" s="81">
        <v>121.881</v>
      </c>
      <c r="F209" s="81">
        <v>440</v>
      </c>
      <c r="G209" s="11">
        <f t="shared" si="7"/>
        <v>318.11900000000003</v>
      </c>
      <c r="H209" s="11">
        <f>IFERROR(IF(Yearending&gt;B208,'5. Historical demand'!F209-'5. Historical demand'!C209-'5. Historical demand'!D209,""),"")</f>
        <v>276.05</v>
      </c>
      <c r="I209" s="11">
        <f t="shared" si="8"/>
        <v>42.068999999999988</v>
      </c>
    </row>
    <row r="210" spans="2:9" x14ac:dyDescent="0.2">
      <c r="B210" s="191">
        <f t="shared" si="6"/>
        <v>45641</v>
      </c>
      <c r="C210" s="81">
        <v>163.95</v>
      </c>
      <c r="D210" s="81"/>
      <c r="E210" s="81">
        <v>132</v>
      </c>
      <c r="F210" s="81">
        <v>440</v>
      </c>
      <c r="G210" s="11">
        <f t="shared" si="7"/>
        <v>308</v>
      </c>
      <c r="H210" s="11">
        <f>IFERROR(IF(Yearending&gt;B209,'5. Historical demand'!F210-'5. Historical demand'!C210-'5. Historical demand'!D210,""),"")</f>
        <v>276.05</v>
      </c>
      <c r="I210" s="11">
        <f t="shared" si="8"/>
        <v>31.949999999999989</v>
      </c>
    </row>
    <row r="211" spans="2:9" x14ac:dyDescent="0.2">
      <c r="B211" s="191">
        <f t="shared" si="6"/>
        <v>45642</v>
      </c>
      <c r="C211" s="81">
        <v>163.95</v>
      </c>
      <c r="D211" s="81"/>
      <c r="E211" s="81">
        <v>161.34800000000001</v>
      </c>
      <c r="F211" s="81">
        <v>440</v>
      </c>
      <c r="G211" s="11">
        <f t="shared" si="7"/>
        <v>278.65199999999999</v>
      </c>
      <c r="H211" s="11">
        <f>IFERROR(IF(Yearending&gt;B210,'5. Historical demand'!F211-'5. Historical demand'!C211-'5. Historical demand'!D211,""),"")</f>
        <v>276.05</v>
      </c>
      <c r="I211" s="11">
        <f t="shared" si="8"/>
        <v>2.6019999999999754</v>
      </c>
    </row>
    <row r="212" spans="2:9" x14ac:dyDescent="0.2">
      <c r="B212" s="191">
        <f t="shared" si="6"/>
        <v>45643</v>
      </c>
      <c r="C212" s="81">
        <v>163.95</v>
      </c>
      <c r="D212" s="81"/>
      <c r="E212" s="81">
        <v>138.73699999999999</v>
      </c>
      <c r="F212" s="81">
        <v>440</v>
      </c>
      <c r="G212" s="11">
        <f t="shared" si="7"/>
        <v>301.26300000000003</v>
      </c>
      <c r="H212" s="11">
        <f>IFERROR(IF(Yearending&gt;B211,'5. Historical demand'!F212-'5. Historical demand'!C212-'5. Historical demand'!D212,""),"")</f>
        <v>276.05</v>
      </c>
      <c r="I212" s="11">
        <f t="shared" si="8"/>
        <v>25.212999999999994</v>
      </c>
    </row>
    <row r="213" spans="2:9" x14ac:dyDescent="0.2">
      <c r="B213" s="191">
        <f t="shared" si="6"/>
        <v>45644</v>
      </c>
      <c r="C213" s="81">
        <v>163.95</v>
      </c>
      <c r="D213" s="81"/>
      <c r="E213" s="81">
        <v>124.557</v>
      </c>
      <c r="F213" s="81">
        <v>440</v>
      </c>
      <c r="G213" s="11">
        <f t="shared" si="7"/>
        <v>315.44299999999998</v>
      </c>
      <c r="H213" s="11">
        <f>IFERROR(IF(Yearending&gt;B212,'5. Historical demand'!F213-'5. Historical demand'!C213-'5. Historical demand'!D213,""),"")</f>
        <v>276.05</v>
      </c>
      <c r="I213" s="11">
        <f t="shared" si="8"/>
        <v>39.392999999999986</v>
      </c>
    </row>
    <row r="214" spans="2:9" x14ac:dyDescent="0.2">
      <c r="B214" s="191">
        <f t="shared" si="6"/>
        <v>45645</v>
      </c>
      <c r="C214" s="81">
        <v>163.95</v>
      </c>
      <c r="D214" s="81"/>
      <c r="E214" s="81">
        <v>78.866</v>
      </c>
      <c r="F214" s="81">
        <v>440</v>
      </c>
      <c r="G214" s="11">
        <f t="shared" si="7"/>
        <v>361.13400000000001</v>
      </c>
      <c r="H214" s="11">
        <f>IFERROR(IF(Yearending&gt;B213,'5. Historical demand'!F214-'5. Historical demand'!C214-'5. Historical demand'!D214,""),"")</f>
        <v>276.05</v>
      </c>
      <c r="I214" s="11">
        <f t="shared" si="8"/>
        <v>85.083999999999989</v>
      </c>
    </row>
    <row r="215" spans="2:9" x14ac:dyDescent="0.2">
      <c r="B215" s="191">
        <f t="shared" si="6"/>
        <v>45646</v>
      </c>
      <c r="C215" s="81">
        <v>163.95</v>
      </c>
      <c r="D215" s="81"/>
      <c r="E215" s="81">
        <v>66.867999999999995</v>
      </c>
      <c r="F215" s="81">
        <v>440</v>
      </c>
      <c r="G215" s="11">
        <f t="shared" si="7"/>
        <v>373.13200000000001</v>
      </c>
      <c r="H215" s="11">
        <f>IFERROR(IF(Yearending&gt;B214,'5. Historical demand'!F215-'5. Historical demand'!C215-'5. Historical demand'!D215,""),"")</f>
        <v>276.05</v>
      </c>
      <c r="I215" s="11">
        <f t="shared" si="8"/>
        <v>97.081999999999994</v>
      </c>
    </row>
    <row r="216" spans="2:9" x14ac:dyDescent="0.2">
      <c r="B216" s="191">
        <f t="shared" si="6"/>
        <v>45647</v>
      </c>
      <c r="C216" s="81">
        <v>163.95</v>
      </c>
      <c r="D216" s="81"/>
      <c r="E216" s="81">
        <v>74.570999999999998</v>
      </c>
      <c r="F216" s="81">
        <v>440</v>
      </c>
      <c r="G216" s="11">
        <f t="shared" si="7"/>
        <v>365.42899999999997</v>
      </c>
      <c r="H216" s="11">
        <f>IFERROR(IF(Yearending&gt;B215,'5. Historical demand'!F216-'5. Historical demand'!C216-'5. Historical demand'!D216,""),"")</f>
        <v>276.05</v>
      </c>
      <c r="I216" s="11">
        <f t="shared" si="8"/>
        <v>89.378999999999991</v>
      </c>
    </row>
    <row r="217" spans="2:9" x14ac:dyDescent="0.2">
      <c r="B217" s="191">
        <f t="shared" si="6"/>
        <v>45648</v>
      </c>
      <c r="C217" s="81">
        <v>163.95</v>
      </c>
      <c r="D217" s="81"/>
      <c r="E217" s="81">
        <v>57.468000000000004</v>
      </c>
      <c r="F217" s="81">
        <v>440</v>
      </c>
      <c r="G217" s="11">
        <f t="shared" si="7"/>
        <v>382.53199999999998</v>
      </c>
      <c r="H217" s="11">
        <f>IFERROR(IF(Yearending&gt;B216,'5. Historical demand'!F217-'5. Historical demand'!C217-'5. Historical demand'!D217,""),"")</f>
        <v>276.05</v>
      </c>
      <c r="I217" s="11">
        <f t="shared" si="8"/>
        <v>106.48199999999999</v>
      </c>
    </row>
    <row r="218" spans="2:9" x14ac:dyDescent="0.2">
      <c r="B218" s="191">
        <f t="shared" si="6"/>
        <v>45649</v>
      </c>
      <c r="C218" s="81">
        <v>163.95</v>
      </c>
      <c r="D218" s="81"/>
      <c r="E218" s="81">
        <v>76.05</v>
      </c>
      <c r="F218" s="81">
        <v>440</v>
      </c>
      <c r="G218" s="11">
        <f t="shared" si="7"/>
        <v>363.95</v>
      </c>
      <c r="H218" s="11">
        <f>IFERROR(IF(Yearending&gt;B217,'5. Historical demand'!F218-'5. Historical demand'!C218-'5. Historical demand'!D218,""),"")</f>
        <v>276.05</v>
      </c>
      <c r="I218" s="11">
        <f t="shared" si="8"/>
        <v>87.899999999999991</v>
      </c>
    </row>
    <row r="219" spans="2:9" x14ac:dyDescent="0.2">
      <c r="B219" s="191">
        <f t="shared" si="6"/>
        <v>45650</v>
      </c>
      <c r="C219" s="81">
        <v>163.95</v>
      </c>
      <c r="D219" s="81"/>
      <c r="E219" s="81">
        <v>88.028000000000006</v>
      </c>
      <c r="F219" s="81">
        <v>440</v>
      </c>
      <c r="G219" s="11">
        <f t="shared" si="7"/>
        <v>351.97199999999998</v>
      </c>
      <c r="H219" s="11">
        <f>IFERROR(IF(Yearending&gt;B218,'5. Historical demand'!F219-'5. Historical demand'!C219-'5. Historical demand'!D219,""),"")</f>
        <v>276.05</v>
      </c>
      <c r="I219" s="11">
        <f t="shared" si="8"/>
        <v>75.921999999999983</v>
      </c>
    </row>
    <row r="220" spans="2:9" x14ac:dyDescent="0.2">
      <c r="B220" s="191">
        <f t="shared" si="6"/>
        <v>45651</v>
      </c>
      <c r="C220" s="81">
        <v>163.95</v>
      </c>
      <c r="D220" s="81"/>
      <c r="E220" s="81">
        <v>51.470999999999997</v>
      </c>
      <c r="F220" s="81">
        <v>440</v>
      </c>
      <c r="G220" s="11">
        <f t="shared" si="7"/>
        <v>388.529</v>
      </c>
      <c r="H220" s="11">
        <f>IFERROR(IF(Yearending&gt;B219,'5. Historical demand'!F220-'5. Historical demand'!C220-'5. Historical demand'!D220,""),"")</f>
        <v>276.05</v>
      </c>
      <c r="I220" s="11">
        <f t="shared" si="8"/>
        <v>112.47899999999998</v>
      </c>
    </row>
    <row r="221" spans="2:9" x14ac:dyDescent="0.2">
      <c r="B221" s="191">
        <f t="shared" si="6"/>
        <v>45652</v>
      </c>
      <c r="C221" s="81">
        <v>163.95</v>
      </c>
      <c r="D221" s="81"/>
      <c r="E221" s="81">
        <v>46.12</v>
      </c>
      <c r="F221" s="81">
        <v>440</v>
      </c>
      <c r="G221" s="11">
        <f t="shared" si="7"/>
        <v>393.88</v>
      </c>
      <c r="H221" s="11">
        <f>IFERROR(IF(Yearending&gt;B220,'5. Historical demand'!F221-'5. Historical demand'!C221-'5. Historical demand'!D221,""),"")</f>
        <v>276.05</v>
      </c>
      <c r="I221" s="11">
        <f t="shared" si="8"/>
        <v>117.82999999999998</v>
      </c>
    </row>
    <row r="222" spans="2:9" x14ac:dyDescent="0.2">
      <c r="B222" s="191">
        <f t="shared" si="6"/>
        <v>45653</v>
      </c>
      <c r="C222" s="81">
        <v>163.95</v>
      </c>
      <c r="D222" s="81"/>
      <c r="E222" s="81">
        <v>37.968000000000004</v>
      </c>
      <c r="F222" s="81">
        <v>440</v>
      </c>
      <c r="G222" s="11">
        <f t="shared" si="7"/>
        <v>402.03199999999998</v>
      </c>
      <c r="H222" s="11">
        <f>IFERROR(IF(Yearending&gt;B221,'5. Historical demand'!F222-'5. Historical demand'!C222-'5. Historical demand'!D222,""),"")</f>
        <v>276.05</v>
      </c>
      <c r="I222" s="11">
        <f t="shared" si="8"/>
        <v>125.98199999999999</v>
      </c>
    </row>
    <row r="223" spans="2:9" x14ac:dyDescent="0.2">
      <c r="B223" s="191">
        <f t="shared" si="6"/>
        <v>45654</v>
      </c>
      <c r="C223" s="81">
        <v>163.95</v>
      </c>
      <c r="D223" s="81"/>
      <c r="E223" s="81">
        <v>36.47</v>
      </c>
      <c r="F223" s="81">
        <v>440</v>
      </c>
      <c r="G223" s="11">
        <f t="shared" si="7"/>
        <v>403.53</v>
      </c>
      <c r="H223" s="11">
        <f>IFERROR(IF(Yearending&gt;B222,'5. Historical demand'!F223-'5. Historical demand'!C223-'5. Historical demand'!D223,""),"")</f>
        <v>276.05</v>
      </c>
      <c r="I223" s="11">
        <f t="shared" si="8"/>
        <v>127.47999999999999</v>
      </c>
    </row>
    <row r="224" spans="2:9" x14ac:dyDescent="0.2">
      <c r="B224" s="191">
        <f t="shared" si="6"/>
        <v>45655</v>
      </c>
      <c r="C224" s="81">
        <v>163.95</v>
      </c>
      <c r="D224" s="81"/>
      <c r="E224" s="81">
        <v>50.470999999999997</v>
      </c>
      <c r="F224" s="81">
        <v>440</v>
      </c>
      <c r="G224" s="11">
        <f t="shared" si="7"/>
        <v>389.529</v>
      </c>
      <c r="H224" s="11">
        <f>IFERROR(IF(Yearending&gt;B223,'5. Historical demand'!F224-'5. Historical demand'!C224-'5. Historical demand'!D224,""),"")</f>
        <v>276.05</v>
      </c>
      <c r="I224" s="11">
        <f t="shared" si="8"/>
        <v>113.47899999999998</v>
      </c>
    </row>
    <row r="225" spans="2:9" x14ac:dyDescent="0.2">
      <c r="B225" s="191">
        <f t="shared" si="6"/>
        <v>45656</v>
      </c>
      <c r="C225" s="81">
        <v>163.95</v>
      </c>
      <c r="D225" s="81"/>
      <c r="E225" s="81">
        <v>41.470999999999997</v>
      </c>
      <c r="F225" s="81">
        <v>440</v>
      </c>
      <c r="G225" s="11">
        <f t="shared" si="7"/>
        <v>398.529</v>
      </c>
      <c r="H225" s="11">
        <f>IFERROR(IF(Yearending&gt;B224,'5. Historical demand'!F225-'5. Historical demand'!C225-'5. Historical demand'!D225,""),"")</f>
        <v>276.05</v>
      </c>
      <c r="I225" s="11">
        <f t="shared" si="8"/>
        <v>122.47899999999998</v>
      </c>
    </row>
    <row r="226" spans="2:9" x14ac:dyDescent="0.2">
      <c r="B226" s="191">
        <f t="shared" si="6"/>
        <v>45657</v>
      </c>
      <c r="C226" s="81">
        <v>163.95</v>
      </c>
      <c r="D226" s="81"/>
      <c r="E226" s="81">
        <v>48.189</v>
      </c>
      <c r="F226" s="81">
        <v>440</v>
      </c>
      <c r="G226" s="11">
        <f t="shared" si="7"/>
        <v>391.81099999999998</v>
      </c>
      <c r="H226" s="11">
        <f>IFERROR(IF(Yearending&gt;B225,'5. Historical demand'!F226-'5. Historical demand'!C226-'5. Historical demand'!D226,""),"")</f>
        <v>276.05</v>
      </c>
      <c r="I226" s="11">
        <f t="shared" si="8"/>
        <v>115.761</v>
      </c>
    </row>
    <row r="227" spans="2:9" x14ac:dyDescent="0.2">
      <c r="B227" s="191">
        <f t="shared" si="6"/>
        <v>45658</v>
      </c>
      <c r="C227" s="81">
        <v>147.94999999999999</v>
      </c>
      <c r="D227" s="81"/>
      <c r="E227" s="81">
        <v>88.05</v>
      </c>
      <c r="F227" s="81">
        <v>440</v>
      </c>
      <c r="G227" s="11">
        <f t="shared" si="7"/>
        <v>351.95</v>
      </c>
      <c r="H227" s="11">
        <f>IFERROR(IF(Yearending&gt;B226,'5. Historical demand'!F227-'5. Historical demand'!C227-'5. Historical demand'!D227,""),"")</f>
        <v>292.05</v>
      </c>
      <c r="I227" s="11">
        <f t="shared" si="8"/>
        <v>59.899999999999991</v>
      </c>
    </row>
    <row r="228" spans="2:9" x14ac:dyDescent="0.2">
      <c r="B228" s="191">
        <f t="shared" si="6"/>
        <v>45659</v>
      </c>
      <c r="C228" s="81">
        <v>147.94999999999999</v>
      </c>
      <c r="D228" s="81"/>
      <c r="E228" s="81">
        <v>75.051000000000002</v>
      </c>
      <c r="F228" s="81">
        <v>440</v>
      </c>
      <c r="G228" s="11">
        <f t="shared" si="7"/>
        <v>364.94900000000001</v>
      </c>
      <c r="H228" s="11">
        <f>IFERROR(IF(Yearending&gt;B227,'5. Historical demand'!F228-'5. Historical demand'!C228-'5. Historical demand'!D228,""),"")</f>
        <v>292.05</v>
      </c>
      <c r="I228" s="11">
        <f t="shared" si="8"/>
        <v>72.898999999999987</v>
      </c>
    </row>
    <row r="229" spans="2:9" x14ac:dyDescent="0.2">
      <c r="B229" s="191">
        <f t="shared" si="6"/>
        <v>45660</v>
      </c>
      <c r="C229" s="81">
        <v>147.94999999999999</v>
      </c>
      <c r="D229" s="81"/>
      <c r="E229" s="81">
        <v>31.899000000000001</v>
      </c>
      <c r="F229" s="81">
        <v>440</v>
      </c>
      <c r="G229" s="11">
        <f t="shared" si="7"/>
        <v>408.101</v>
      </c>
      <c r="H229" s="11">
        <f>IFERROR(IF(Yearending&gt;B228,'5. Historical demand'!F229-'5. Historical demand'!C229-'5. Historical demand'!D229,""),"")</f>
        <v>292.05</v>
      </c>
      <c r="I229" s="11">
        <f t="shared" si="8"/>
        <v>116.05099999999999</v>
      </c>
    </row>
    <row r="230" spans="2:9" x14ac:dyDescent="0.2">
      <c r="B230" s="191">
        <f t="shared" si="6"/>
        <v>45661</v>
      </c>
      <c r="C230" s="81">
        <v>147.94999999999999</v>
      </c>
      <c r="D230" s="81"/>
      <c r="E230" s="81">
        <v>39.896999999999998</v>
      </c>
      <c r="F230" s="81">
        <v>440</v>
      </c>
      <c r="G230" s="11">
        <f t="shared" si="7"/>
        <v>400.10300000000001</v>
      </c>
      <c r="H230" s="11">
        <f>IFERROR(IF(Yearending&gt;B229,'5. Historical demand'!F230-'5. Historical demand'!C230-'5. Historical demand'!D230,""),"")</f>
        <v>292.05</v>
      </c>
      <c r="I230" s="11">
        <f t="shared" si="8"/>
        <v>108.053</v>
      </c>
    </row>
    <row r="231" spans="2:9" x14ac:dyDescent="0.2">
      <c r="B231" s="191">
        <f t="shared" si="6"/>
        <v>45662</v>
      </c>
      <c r="C231" s="81">
        <v>147.94999999999999</v>
      </c>
      <c r="D231" s="81"/>
      <c r="E231" s="81">
        <v>95.897000000000006</v>
      </c>
      <c r="F231" s="81">
        <v>440</v>
      </c>
      <c r="G231" s="11">
        <f t="shared" si="7"/>
        <v>344.10300000000001</v>
      </c>
      <c r="H231" s="11">
        <f>IFERROR(IF(Yearending&gt;B230,'5. Historical demand'!F231-'5. Historical demand'!C231-'5. Historical demand'!D231,""),"")</f>
        <v>292.05</v>
      </c>
      <c r="I231" s="11">
        <f t="shared" si="8"/>
        <v>52.052999999999983</v>
      </c>
    </row>
    <row r="232" spans="2:9" x14ac:dyDescent="0.2">
      <c r="B232" s="191">
        <f t="shared" si="6"/>
        <v>45663</v>
      </c>
      <c r="C232" s="81">
        <v>147.94999999999999</v>
      </c>
      <c r="D232" s="81"/>
      <c r="E232" s="81">
        <v>63.898000000000003</v>
      </c>
      <c r="F232" s="81">
        <v>440</v>
      </c>
      <c r="G232" s="11">
        <f t="shared" si="7"/>
        <v>376.10199999999998</v>
      </c>
      <c r="H232" s="11">
        <f>IFERROR(IF(Yearending&gt;B231,'5. Historical demand'!F232-'5. Historical demand'!C232-'5. Historical demand'!D232,""),"")</f>
        <v>292.05</v>
      </c>
      <c r="I232" s="11">
        <f t="shared" si="8"/>
        <v>84.051999999999992</v>
      </c>
    </row>
    <row r="233" spans="2:9" x14ac:dyDescent="0.2">
      <c r="B233" s="191">
        <f t="shared" si="6"/>
        <v>45664</v>
      </c>
      <c r="C233" s="81">
        <v>147.94999999999999</v>
      </c>
      <c r="D233" s="81"/>
      <c r="E233" s="81">
        <v>53.866999999999997</v>
      </c>
      <c r="F233" s="81">
        <v>440</v>
      </c>
      <c r="G233" s="11">
        <f t="shared" si="7"/>
        <v>386.13299999999998</v>
      </c>
      <c r="H233" s="11">
        <f>IFERROR(IF(Yearending&gt;B232,'5. Historical demand'!F233-'5. Historical demand'!C233-'5. Historical demand'!D233,""),"")</f>
        <v>292.05</v>
      </c>
      <c r="I233" s="11">
        <f t="shared" si="8"/>
        <v>94.082999999999998</v>
      </c>
    </row>
    <row r="234" spans="2:9" x14ac:dyDescent="0.2">
      <c r="B234" s="191">
        <f t="shared" si="6"/>
        <v>45665</v>
      </c>
      <c r="C234" s="81">
        <v>147.94999999999999</v>
      </c>
      <c r="D234" s="81"/>
      <c r="E234" s="81">
        <v>70.822000000000003</v>
      </c>
      <c r="F234" s="81">
        <v>440</v>
      </c>
      <c r="G234" s="11">
        <f t="shared" si="7"/>
        <v>369.178</v>
      </c>
      <c r="H234" s="11">
        <f>IFERROR(IF(Yearending&gt;B233,'5. Historical demand'!F234-'5. Historical demand'!C234-'5. Historical demand'!D234,""),"")</f>
        <v>292.05</v>
      </c>
      <c r="I234" s="11">
        <f t="shared" si="8"/>
        <v>77.127999999999986</v>
      </c>
    </row>
    <row r="235" spans="2:9" x14ac:dyDescent="0.2">
      <c r="B235" s="191">
        <f t="shared" si="6"/>
        <v>45666</v>
      </c>
      <c r="C235" s="81">
        <v>147.94999999999999</v>
      </c>
      <c r="D235" s="81"/>
      <c r="E235" s="81">
        <v>65.78</v>
      </c>
      <c r="F235" s="81">
        <v>440</v>
      </c>
      <c r="G235" s="11">
        <f t="shared" si="7"/>
        <v>374.22</v>
      </c>
      <c r="H235" s="11">
        <f>IFERROR(IF(Yearending&gt;B234,'5. Historical demand'!F235-'5. Historical demand'!C235-'5. Historical demand'!D235,""),"")</f>
        <v>292.05</v>
      </c>
      <c r="I235" s="11">
        <f t="shared" si="8"/>
        <v>82.169999999999987</v>
      </c>
    </row>
    <row r="236" spans="2:9" x14ac:dyDescent="0.2">
      <c r="B236" s="191">
        <f t="shared" ref="B236:B299" si="9">IFERROR(IF(Yearending&gt;B235, B235+1, ""),"")</f>
        <v>45667</v>
      </c>
      <c r="C236" s="81">
        <v>147.94999999999999</v>
      </c>
      <c r="D236" s="81"/>
      <c r="E236" s="81">
        <v>72.813000000000002</v>
      </c>
      <c r="F236" s="81">
        <v>440</v>
      </c>
      <c r="G236" s="11">
        <f t="shared" ref="G236:G299" si="10">IFERROR(IF(Yearending&gt;B235,F236-E236,""),"")</f>
        <v>367.18700000000001</v>
      </c>
      <c r="H236" s="11">
        <f>IFERROR(IF(Yearending&gt;B235,'5. Historical demand'!F236-'5. Historical demand'!C236-'5. Historical demand'!D236,""),"")</f>
        <v>292.05</v>
      </c>
      <c r="I236" s="11">
        <f t="shared" ref="I236:I299" si="11">IFERROR(IF(Yearending&gt;B235,C236+D236-E236,""),"")</f>
        <v>75.136999999999986</v>
      </c>
    </row>
    <row r="237" spans="2:9" x14ac:dyDescent="0.2">
      <c r="B237" s="191">
        <f t="shared" si="9"/>
        <v>45668</v>
      </c>
      <c r="C237" s="81">
        <v>147.94999999999999</v>
      </c>
      <c r="D237" s="81"/>
      <c r="E237" s="81">
        <v>97.164000000000001</v>
      </c>
      <c r="F237" s="81">
        <v>440</v>
      </c>
      <c r="G237" s="11">
        <f t="shared" si="10"/>
        <v>342.83600000000001</v>
      </c>
      <c r="H237" s="11">
        <f>IFERROR(IF(Yearending&gt;B236,'5. Historical demand'!F237-'5. Historical demand'!C237-'5. Historical demand'!D237,""),"")</f>
        <v>292.05</v>
      </c>
      <c r="I237" s="11">
        <f t="shared" si="11"/>
        <v>50.785999999999987</v>
      </c>
    </row>
    <row r="238" spans="2:9" x14ac:dyDescent="0.2">
      <c r="B238" s="191">
        <f t="shared" si="9"/>
        <v>45669</v>
      </c>
      <c r="C238" s="81">
        <v>147.94999999999999</v>
      </c>
      <c r="D238" s="81"/>
      <c r="E238" s="81">
        <v>63.817999999999998</v>
      </c>
      <c r="F238" s="81">
        <v>440</v>
      </c>
      <c r="G238" s="11">
        <f t="shared" si="10"/>
        <v>376.18200000000002</v>
      </c>
      <c r="H238" s="11">
        <f>IFERROR(IF(Yearending&gt;B237,'5. Historical demand'!F238-'5. Historical demand'!C238-'5. Historical demand'!D238,""),"")</f>
        <v>292.05</v>
      </c>
      <c r="I238" s="11">
        <f t="shared" si="11"/>
        <v>84.131999999999991</v>
      </c>
    </row>
    <row r="239" spans="2:9" x14ac:dyDescent="0.2">
      <c r="B239" s="191">
        <f t="shared" si="9"/>
        <v>45670</v>
      </c>
      <c r="C239" s="81">
        <v>147.94999999999999</v>
      </c>
      <c r="D239" s="81"/>
      <c r="E239" s="81">
        <v>119.21899999999999</v>
      </c>
      <c r="F239" s="81">
        <v>440</v>
      </c>
      <c r="G239" s="11">
        <f t="shared" si="10"/>
        <v>320.78100000000001</v>
      </c>
      <c r="H239" s="11">
        <f>IFERROR(IF(Yearending&gt;B238,'5. Historical demand'!F239-'5. Historical demand'!C239-'5. Historical demand'!D239,""),"")</f>
        <v>292.05</v>
      </c>
      <c r="I239" s="11">
        <f t="shared" si="11"/>
        <v>28.730999999999995</v>
      </c>
    </row>
    <row r="240" spans="2:9" x14ac:dyDescent="0.2">
      <c r="B240" s="191">
        <f t="shared" si="9"/>
        <v>45671</v>
      </c>
      <c r="C240" s="81">
        <v>147.94999999999999</v>
      </c>
      <c r="D240" s="81"/>
      <c r="E240" s="81">
        <v>133.05000000000001</v>
      </c>
      <c r="F240" s="81">
        <v>440</v>
      </c>
      <c r="G240" s="11">
        <f t="shared" si="10"/>
        <v>306.95</v>
      </c>
      <c r="H240" s="11">
        <f>IFERROR(IF(Yearending&gt;B239,'5. Historical demand'!F240-'5. Historical demand'!C240-'5. Historical demand'!D240,""),"")</f>
        <v>292.05</v>
      </c>
      <c r="I240" s="11">
        <f t="shared" si="11"/>
        <v>14.899999999999977</v>
      </c>
    </row>
    <row r="241" spans="2:9" x14ac:dyDescent="0.2">
      <c r="B241" s="191">
        <f t="shared" si="9"/>
        <v>45672</v>
      </c>
      <c r="C241" s="81">
        <v>147.94999999999999</v>
      </c>
      <c r="D241" s="81"/>
      <c r="E241" s="81">
        <v>132.833</v>
      </c>
      <c r="F241" s="81">
        <v>440</v>
      </c>
      <c r="G241" s="11">
        <f t="shared" si="10"/>
        <v>307.16700000000003</v>
      </c>
      <c r="H241" s="11">
        <f>IFERROR(IF(Yearending&gt;B240,'5. Historical demand'!F241-'5. Historical demand'!C241-'5. Historical demand'!D241,""),"")</f>
        <v>292.05</v>
      </c>
      <c r="I241" s="11">
        <f t="shared" si="11"/>
        <v>15.11699999999999</v>
      </c>
    </row>
    <row r="242" spans="2:9" x14ac:dyDescent="0.2">
      <c r="B242" s="191">
        <f t="shared" si="9"/>
        <v>45673</v>
      </c>
      <c r="C242" s="81">
        <v>147.94999999999999</v>
      </c>
      <c r="D242" s="81"/>
      <c r="E242" s="81">
        <v>101.55</v>
      </c>
      <c r="F242" s="81">
        <v>440</v>
      </c>
      <c r="G242" s="11">
        <f t="shared" si="10"/>
        <v>338.45</v>
      </c>
      <c r="H242" s="11">
        <f>IFERROR(IF(Yearending&gt;B241,'5. Historical demand'!F242-'5. Historical demand'!C242-'5. Historical demand'!D242,""),"")</f>
        <v>292.05</v>
      </c>
      <c r="I242" s="11">
        <f t="shared" si="11"/>
        <v>46.399999999999991</v>
      </c>
    </row>
    <row r="243" spans="2:9" x14ac:dyDescent="0.2">
      <c r="B243" s="191">
        <f t="shared" si="9"/>
        <v>45674</v>
      </c>
      <c r="C243" s="81">
        <v>147.94999999999999</v>
      </c>
      <c r="D243" s="81"/>
      <c r="E243" s="81">
        <v>102.063</v>
      </c>
      <c r="F243" s="81">
        <v>440</v>
      </c>
      <c r="G243" s="11">
        <f t="shared" si="10"/>
        <v>337.93700000000001</v>
      </c>
      <c r="H243" s="11">
        <f>IFERROR(IF(Yearending&gt;B242,'5. Historical demand'!F243-'5. Historical demand'!C243-'5. Historical demand'!D243,""),"")</f>
        <v>292.05</v>
      </c>
      <c r="I243" s="11">
        <f t="shared" si="11"/>
        <v>45.886999999999986</v>
      </c>
    </row>
    <row r="244" spans="2:9" x14ac:dyDescent="0.2">
      <c r="B244" s="191">
        <f t="shared" si="9"/>
        <v>45675</v>
      </c>
      <c r="C244" s="81">
        <v>147.94999999999999</v>
      </c>
      <c r="D244" s="81"/>
      <c r="E244" s="81">
        <v>66.816999999999993</v>
      </c>
      <c r="F244" s="81">
        <v>440</v>
      </c>
      <c r="G244" s="11">
        <f t="shared" si="10"/>
        <v>373.18299999999999</v>
      </c>
      <c r="H244" s="11">
        <f>IFERROR(IF(Yearending&gt;B243,'5. Historical demand'!F244-'5. Historical demand'!C244-'5. Historical demand'!D244,""),"")</f>
        <v>292.05</v>
      </c>
      <c r="I244" s="11">
        <f t="shared" si="11"/>
        <v>81.132999999999996</v>
      </c>
    </row>
    <row r="245" spans="2:9" x14ac:dyDescent="0.2">
      <c r="B245" s="191">
        <f t="shared" si="9"/>
        <v>45676</v>
      </c>
      <c r="C245" s="81">
        <v>147.94999999999999</v>
      </c>
      <c r="D245" s="81"/>
      <c r="E245" s="81">
        <v>65.518000000000001</v>
      </c>
      <c r="F245" s="81">
        <v>440</v>
      </c>
      <c r="G245" s="11">
        <f t="shared" si="10"/>
        <v>374.48199999999997</v>
      </c>
      <c r="H245" s="11">
        <f>IFERROR(IF(Yearending&gt;B244,'5. Historical demand'!F245-'5. Historical demand'!C245-'5. Historical demand'!D245,""),"")</f>
        <v>292.05</v>
      </c>
      <c r="I245" s="11">
        <f t="shared" si="11"/>
        <v>82.431999999999988</v>
      </c>
    </row>
    <row r="246" spans="2:9" x14ac:dyDescent="0.2">
      <c r="B246" s="191">
        <f t="shared" si="9"/>
        <v>45677</v>
      </c>
      <c r="C246" s="81">
        <v>147.94999999999999</v>
      </c>
      <c r="D246" s="81"/>
      <c r="E246" s="81">
        <v>96.816999999999993</v>
      </c>
      <c r="F246" s="81">
        <v>440</v>
      </c>
      <c r="G246" s="11">
        <f t="shared" si="10"/>
        <v>343.18299999999999</v>
      </c>
      <c r="H246" s="11">
        <f>IFERROR(IF(Yearending&gt;B245,'5. Historical demand'!F246-'5. Historical demand'!C246-'5. Historical demand'!D246,""),"")</f>
        <v>292.05</v>
      </c>
      <c r="I246" s="11">
        <f t="shared" si="11"/>
        <v>51.132999999999996</v>
      </c>
    </row>
    <row r="247" spans="2:9" x14ac:dyDescent="0.2">
      <c r="B247" s="191">
        <f t="shared" si="9"/>
        <v>45678</v>
      </c>
      <c r="C247" s="81">
        <v>147.94999999999999</v>
      </c>
      <c r="D247" s="81"/>
      <c r="E247" s="81">
        <v>79.816999999999993</v>
      </c>
      <c r="F247" s="81">
        <v>440</v>
      </c>
      <c r="G247" s="11">
        <f t="shared" si="10"/>
        <v>360.18299999999999</v>
      </c>
      <c r="H247" s="11">
        <f>IFERROR(IF(Yearending&gt;B246,'5. Historical demand'!F247-'5. Historical demand'!C247-'5. Historical demand'!D247,""),"")</f>
        <v>292.05</v>
      </c>
      <c r="I247" s="11">
        <f t="shared" si="11"/>
        <v>68.132999999999996</v>
      </c>
    </row>
    <row r="248" spans="2:9" x14ac:dyDescent="0.2">
      <c r="B248" s="191">
        <f t="shared" si="9"/>
        <v>45679</v>
      </c>
      <c r="C248" s="81">
        <v>147.94999999999999</v>
      </c>
      <c r="D248" s="81"/>
      <c r="E248" s="81">
        <v>112.318</v>
      </c>
      <c r="F248" s="81">
        <v>440</v>
      </c>
      <c r="G248" s="11">
        <f t="shared" si="10"/>
        <v>327.68200000000002</v>
      </c>
      <c r="H248" s="11">
        <f>IFERROR(IF(Yearending&gt;B247,'5. Historical demand'!F248-'5. Historical demand'!C248-'5. Historical demand'!D248,""),"")</f>
        <v>292.05</v>
      </c>
      <c r="I248" s="11">
        <f t="shared" si="11"/>
        <v>35.631999999999991</v>
      </c>
    </row>
    <row r="249" spans="2:9" x14ac:dyDescent="0.2">
      <c r="B249" s="191">
        <f t="shared" si="9"/>
        <v>45680</v>
      </c>
      <c r="C249" s="81">
        <v>147.94999999999999</v>
      </c>
      <c r="D249" s="81"/>
      <c r="E249" s="81">
        <v>132.001</v>
      </c>
      <c r="F249" s="81">
        <v>440</v>
      </c>
      <c r="G249" s="11">
        <f t="shared" si="10"/>
        <v>307.99900000000002</v>
      </c>
      <c r="H249" s="11">
        <f>IFERROR(IF(Yearending&gt;B248,'5. Historical demand'!F249-'5. Historical demand'!C249-'5. Historical demand'!D249,""),"")</f>
        <v>292.05</v>
      </c>
      <c r="I249" s="11">
        <f t="shared" si="11"/>
        <v>15.948999999999984</v>
      </c>
    </row>
    <row r="250" spans="2:9" x14ac:dyDescent="0.2">
      <c r="B250" s="191">
        <f t="shared" si="9"/>
        <v>45681</v>
      </c>
      <c r="C250" s="81">
        <v>147.94999999999999</v>
      </c>
      <c r="D250" s="81"/>
      <c r="E250" s="81">
        <v>164.04400000000001</v>
      </c>
      <c r="F250" s="81">
        <v>440</v>
      </c>
      <c r="G250" s="11">
        <f t="shared" si="10"/>
        <v>275.95600000000002</v>
      </c>
      <c r="H250" s="11">
        <f>IFERROR(IF(Yearending&gt;B249,'5. Historical demand'!F250-'5. Historical demand'!C250-'5. Historical demand'!D250,""),"")</f>
        <v>292.05</v>
      </c>
      <c r="I250" s="11">
        <f t="shared" si="11"/>
        <v>-16.094000000000023</v>
      </c>
    </row>
    <row r="251" spans="2:9" x14ac:dyDescent="0.2">
      <c r="B251" s="191">
        <f t="shared" si="9"/>
        <v>45682</v>
      </c>
      <c r="C251" s="81">
        <v>147.94999999999999</v>
      </c>
      <c r="D251" s="81"/>
      <c r="E251" s="81">
        <v>94.706000000000003</v>
      </c>
      <c r="F251" s="81">
        <v>440</v>
      </c>
      <c r="G251" s="11">
        <f t="shared" si="10"/>
        <v>345.29399999999998</v>
      </c>
      <c r="H251" s="11">
        <f>IFERROR(IF(Yearending&gt;B250,'5. Historical demand'!F251-'5. Historical demand'!C251-'5. Historical demand'!D251,""),"")</f>
        <v>292.05</v>
      </c>
      <c r="I251" s="11">
        <f t="shared" si="11"/>
        <v>53.243999999999986</v>
      </c>
    </row>
    <row r="252" spans="2:9" x14ac:dyDescent="0.2">
      <c r="B252" s="191">
        <f t="shared" si="9"/>
        <v>45683</v>
      </c>
      <c r="C252" s="81">
        <v>147.94999999999999</v>
      </c>
      <c r="D252" s="81"/>
      <c r="E252" s="81">
        <v>89.998999999999995</v>
      </c>
      <c r="F252" s="81">
        <v>440</v>
      </c>
      <c r="G252" s="11">
        <f t="shared" si="10"/>
        <v>350.00099999999998</v>
      </c>
      <c r="H252" s="11">
        <f>IFERROR(IF(Yearending&gt;B251,'5. Historical demand'!F252-'5. Historical demand'!C252-'5. Historical demand'!D252,""),"")</f>
        <v>292.05</v>
      </c>
      <c r="I252" s="11">
        <f t="shared" si="11"/>
        <v>57.950999999999993</v>
      </c>
    </row>
    <row r="253" spans="2:9" x14ac:dyDescent="0.2">
      <c r="B253" s="191">
        <f t="shared" si="9"/>
        <v>45684</v>
      </c>
      <c r="C253" s="81">
        <v>147.94999999999999</v>
      </c>
      <c r="D253" s="81"/>
      <c r="E253" s="81">
        <v>74.995999999999995</v>
      </c>
      <c r="F253" s="81">
        <v>440</v>
      </c>
      <c r="G253" s="11">
        <f t="shared" si="10"/>
        <v>365.00400000000002</v>
      </c>
      <c r="H253" s="11">
        <f>IFERROR(IF(Yearending&gt;B252,'5. Historical demand'!F253-'5. Historical demand'!C253-'5. Historical demand'!D253,""),"")</f>
        <v>292.05</v>
      </c>
      <c r="I253" s="11">
        <f t="shared" si="11"/>
        <v>72.953999999999994</v>
      </c>
    </row>
    <row r="254" spans="2:9" x14ac:dyDescent="0.2">
      <c r="B254" s="191">
        <f t="shared" si="9"/>
        <v>45685</v>
      </c>
      <c r="C254" s="81">
        <v>147.94999999999999</v>
      </c>
      <c r="D254" s="81"/>
      <c r="E254" s="81">
        <v>102.51600000000001</v>
      </c>
      <c r="F254" s="81">
        <v>440</v>
      </c>
      <c r="G254" s="11">
        <f t="shared" si="10"/>
        <v>337.48399999999998</v>
      </c>
      <c r="H254" s="11">
        <f>IFERROR(IF(Yearending&gt;B253,'5. Historical demand'!F254-'5. Historical demand'!C254-'5. Historical demand'!D254,""),"")</f>
        <v>292.05</v>
      </c>
      <c r="I254" s="11">
        <f t="shared" si="11"/>
        <v>45.433999999999983</v>
      </c>
    </row>
    <row r="255" spans="2:9" x14ac:dyDescent="0.2">
      <c r="B255" s="191">
        <f t="shared" si="9"/>
        <v>45686</v>
      </c>
      <c r="C255" s="81">
        <v>147.94999999999999</v>
      </c>
      <c r="D255" s="81"/>
      <c r="E255" s="81">
        <v>102.67</v>
      </c>
      <c r="F255" s="81">
        <v>440</v>
      </c>
      <c r="G255" s="11">
        <f t="shared" si="10"/>
        <v>337.33</v>
      </c>
      <c r="H255" s="11">
        <f>IFERROR(IF(Yearending&gt;B254,'5. Historical demand'!F255-'5. Historical demand'!C255-'5. Historical demand'!D255,""),"")</f>
        <v>292.05</v>
      </c>
      <c r="I255" s="11">
        <f t="shared" si="11"/>
        <v>45.279999999999987</v>
      </c>
    </row>
    <row r="256" spans="2:9" x14ac:dyDescent="0.2">
      <c r="B256" s="191">
        <f t="shared" si="9"/>
        <v>45687</v>
      </c>
      <c r="C256" s="81">
        <v>147.94999999999999</v>
      </c>
      <c r="D256" s="81"/>
      <c r="E256" s="81">
        <v>105.812</v>
      </c>
      <c r="F256" s="81">
        <v>440</v>
      </c>
      <c r="G256" s="11">
        <f t="shared" si="10"/>
        <v>334.18799999999999</v>
      </c>
      <c r="H256" s="11">
        <f>IFERROR(IF(Yearending&gt;B255,'5. Historical demand'!F256-'5. Historical demand'!C256-'5. Historical demand'!D256,""),"")</f>
        <v>292.05</v>
      </c>
      <c r="I256" s="11">
        <f t="shared" si="11"/>
        <v>42.137999999999991</v>
      </c>
    </row>
    <row r="257" spans="2:9" x14ac:dyDescent="0.2">
      <c r="B257" s="191">
        <f t="shared" si="9"/>
        <v>45688</v>
      </c>
      <c r="C257" s="81">
        <v>147.94999999999999</v>
      </c>
      <c r="D257" s="81"/>
      <c r="E257" s="81">
        <v>110.809</v>
      </c>
      <c r="F257" s="81">
        <v>440</v>
      </c>
      <c r="G257" s="11">
        <f t="shared" si="10"/>
        <v>329.19100000000003</v>
      </c>
      <c r="H257" s="11">
        <f>IFERROR(IF(Yearending&gt;B256,'5. Historical demand'!F257-'5. Historical demand'!C257-'5. Historical demand'!D257,""),"")</f>
        <v>292.05</v>
      </c>
      <c r="I257" s="11">
        <f t="shared" si="11"/>
        <v>37.140999999999991</v>
      </c>
    </row>
    <row r="258" spans="2:9" x14ac:dyDescent="0.2">
      <c r="B258" s="191">
        <f t="shared" si="9"/>
        <v>45689</v>
      </c>
      <c r="C258" s="81">
        <v>147.95000000000002</v>
      </c>
      <c r="D258" s="81"/>
      <c r="E258" s="81">
        <v>89.789000000000001</v>
      </c>
      <c r="F258" s="81">
        <v>440</v>
      </c>
      <c r="G258" s="11">
        <f t="shared" si="10"/>
        <v>350.21100000000001</v>
      </c>
      <c r="H258" s="11">
        <f>IFERROR(IF(Yearending&gt;B257,'5. Historical demand'!F258-'5. Historical demand'!C258-'5. Historical demand'!D258,""),"")</f>
        <v>292.04999999999995</v>
      </c>
      <c r="I258" s="11">
        <f t="shared" si="11"/>
        <v>58.161000000000016</v>
      </c>
    </row>
    <row r="259" spans="2:9" x14ac:dyDescent="0.2">
      <c r="B259" s="191">
        <f t="shared" si="9"/>
        <v>45690</v>
      </c>
      <c r="C259" s="81">
        <v>147.95000000000002</v>
      </c>
      <c r="D259" s="81"/>
      <c r="E259" s="81">
        <v>44.780999999999999</v>
      </c>
      <c r="F259" s="81">
        <v>440</v>
      </c>
      <c r="G259" s="11">
        <f t="shared" si="10"/>
        <v>395.21899999999999</v>
      </c>
      <c r="H259" s="11">
        <f>IFERROR(IF(Yearending&gt;B258,'5. Historical demand'!F259-'5. Historical demand'!C259-'5. Historical demand'!D259,""),"")</f>
        <v>292.04999999999995</v>
      </c>
      <c r="I259" s="11">
        <f t="shared" si="11"/>
        <v>103.16900000000001</v>
      </c>
    </row>
    <row r="260" spans="2:9" x14ac:dyDescent="0.2">
      <c r="B260" s="191">
        <f t="shared" si="9"/>
        <v>45691</v>
      </c>
      <c r="C260" s="81">
        <v>147.95000000000002</v>
      </c>
      <c r="D260" s="81"/>
      <c r="E260" s="81">
        <v>124.776</v>
      </c>
      <c r="F260" s="81">
        <v>440</v>
      </c>
      <c r="G260" s="11">
        <f t="shared" si="10"/>
        <v>315.22399999999999</v>
      </c>
      <c r="H260" s="11">
        <f>IFERROR(IF(Yearending&gt;B259,'5. Historical demand'!F260-'5. Historical demand'!C260-'5. Historical demand'!D260,""),"")</f>
        <v>292.04999999999995</v>
      </c>
      <c r="I260" s="11">
        <f t="shared" si="11"/>
        <v>23.174000000000021</v>
      </c>
    </row>
    <row r="261" spans="2:9" x14ac:dyDescent="0.2">
      <c r="B261" s="191">
        <f t="shared" si="9"/>
        <v>45692</v>
      </c>
      <c r="C261" s="81">
        <v>147.95000000000002</v>
      </c>
      <c r="D261" s="81"/>
      <c r="E261" s="81">
        <v>144.77000000000001</v>
      </c>
      <c r="F261" s="81">
        <v>440</v>
      </c>
      <c r="G261" s="11">
        <f t="shared" si="10"/>
        <v>295.23</v>
      </c>
      <c r="H261" s="11">
        <f>IFERROR(IF(Yearending&gt;B260,'5. Historical demand'!F261-'5. Historical demand'!C261-'5. Historical demand'!D261,""),"")</f>
        <v>292.04999999999995</v>
      </c>
      <c r="I261" s="11">
        <f t="shared" si="11"/>
        <v>3.1800000000000068</v>
      </c>
    </row>
    <row r="262" spans="2:9" x14ac:dyDescent="0.2">
      <c r="B262" s="191">
        <f t="shared" si="9"/>
        <v>45693</v>
      </c>
      <c r="C262" s="81">
        <v>147.95000000000002</v>
      </c>
      <c r="D262" s="81"/>
      <c r="E262" s="81">
        <v>43.881</v>
      </c>
      <c r="F262" s="81">
        <v>440</v>
      </c>
      <c r="G262" s="11">
        <f t="shared" si="10"/>
        <v>396.11900000000003</v>
      </c>
      <c r="H262" s="11">
        <f>IFERROR(IF(Yearending&gt;B261,'5. Historical demand'!F262-'5. Historical demand'!C262-'5. Historical demand'!D262,""),"")</f>
        <v>292.04999999999995</v>
      </c>
      <c r="I262" s="11">
        <f t="shared" si="11"/>
        <v>104.06900000000002</v>
      </c>
    </row>
    <row r="263" spans="2:9" x14ac:dyDescent="0.2">
      <c r="B263" s="191">
        <f t="shared" si="9"/>
        <v>45694</v>
      </c>
      <c r="C263" s="81">
        <v>147.95000000000002</v>
      </c>
      <c r="D263" s="81"/>
      <c r="E263" s="81">
        <v>132.98400000000001</v>
      </c>
      <c r="F263" s="81">
        <v>440</v>
      </c>
      <c r="G263" s="11">
        <f t="shared" si="10"/>
        <v>307.01599999999996</v>
      </c>
      <c r="H263" s="11">
        <f>IFERROR(IF(Yearending&gt;B262,'5. Historical demand'!F263-'5. Historical demand'!C263-'5. Historical demand'!D263,""),"")</f>
        <v>292.04999999999995</v>
      </c>
      <c r="I263" s="11">
        <f t="shared" si="11"/>
        <v>14.966000000000008</v>
      </c>
    </row>
    <row r="264" spans="2:9" x14ac:dyDescent="0.2">
      <c r="B264" s="191">
        <f t="shared" si="9"/>
        <v>45695</v>
      </c>
      <c r="C264" s="81">
        <v>147.95000000000002</v>
      </c>
      <c r="D264" s="81"/>
      <c r="E264" s="81">
        <v>113.21</v>
      </c>
      <c r="F264" s="81">
        <v>440</v>
      </c>
      <c r="G264" s="11">
        <f t="shared" si="10"/>
        <v>326.79000000000002</v>
      </c>
      <c r="H264" s="11">
        <f>IFERROR(IF(Yearending&gt;B263,'5. Historical demand'!F264-'5. Historical demand'!C264-'5. Historical demand'!D264,""),"")</f>
        <v>292.04999999999995</v>
      </c>
      <c r="I264" s="11">
        <f t="shared" si="11"/>
        <v>34.740000000000023</v>
      </c>
    </row>
    <row r="265" spans="2:9" x14ac:dyDescent="0.2">
      <c r="B265" s="191">
        <f t="shared" si="9"/>
        <v>45696</v>
      </c>
      <c r="C265" s="81">
        <v>147.95000000000002</v>
      </c>
      <c r="D265" s="81"/>
      <c r="E265" s="81">
        <v>64.381</v>
      </c>
      <c r="F265" s="81">
        <v>440</v>
      </c>
      <c r="G265" s="11">
        <f t="shared" si="10"/>
        <v>375.61900000000003</v>
      </c>
      <c r="H265" s="11">
        <f>IFERROR(IF(Yearending&gt;B264,'5. Historical demand'!F265-'5. Historical demand'!C265-'5. Historical demand'!D265,""),"")</f>
        <v>292.04999999999995</v>
      </c>
      <c r="I265" s="11">
        <f t="shared" si="11"/>
        <v>83.569000000000017</v>
      </c>
    </row>
    <row r="266" spans="2:9" x14ac:dyDescent="0.2">
      <c r="B266" s="191">
        <f t="shared" si="9"/>
        <v>45697</v>
      </c>
      <c r="C266" s="81">
        <v>147.95000000000002</v>
      </c>
      <c r="D266" s="81"/>
      <c r="E266" s="81">
        <v>48.381999999999998</v>
      </c>
      <c r="F266" s="81">
        <v>440</v>
      </c>
      <c r="G266" s="11">
        <f t="shared" si="10"/>
        <v>391.61799999999999</v>
      </c>
      <c r="H266" s="11">
        <f>IFERROR(IF(Yearending&gt;B265,'5. Historical demand'!F266-'5. Historical demand'!C266-'5. Historical demand'!D266,""),"")</f>
        <v>292.04999999999995</v>
      </c>
      <c r="I266" s="11">
        <f t="shared" si="11"/>
        <v>99.568000000000012</v>
      </c>
    </row>
    <row r="267" spans="2:9" x14ac:dyDescent="0.2">
      <c r="B267" s="191">
        <f t="shared" si="9"/>
        <v>45698</v>
      </c>
      <c r="C267" s="81">
        <v>147.95000000000002</v>
      </c>
      <c r="D267" s="81"/>
      <c r="E267" s="81">
        <v>78.882000000000005</v>
      </c>
      <c r="F267" s="81">
        <v>440</v>
      </c>
      <c r="G267" s="11">
        <f t="shared" si="10"/>
        <v>361.11799999999999</v>
      </c>
      <c r="H267" s="11">
        <f>IFERROR(IF(Yearending&gt;B266,'5. Historical demand'!F267-'5. Historical demand'!C267-'5. Historical demand'!D267,""),"")</f>
        <v>292.04999999999995</v>
      </c>
      <c r="I267" s="11">
        <f t="shared" si="11"/>
        <v>69.068000000000012</v>
      </c>
    </row>
    <row r="268" spans="2:9" x14ac:dyDescent="0.2">
      <c r="B268" s="191">
        <f t="shared" si="9"/>
        <v>45699</v>
      </c>
      <c r="C268" s="81">
        <v>147.95000000000002</v>
      </c>
      <c r="D268" s="81"/>
      <c r="E268" s="81">
        <v>66.882000000000005</v>
      </c>
      <c r="F268" s="81">
        <v>440</v>
      </c>
      <c r="G268" s="11">
        <f t="shared" si="10"/>
        <v>373.11799999999999</v>
      </c>
      <c r="H268" s="11">
        <f>IFERROR(IF(Yearending&gt;B267,'5. Historical demand'!F268-'5. Historical demand'!C268-'5. Historical demand'!D268,""),"")</f>
        <v>292.04999999999995</v>
      </c>
      <c r="I268" s="11">
        <f t="shared" si="11"/>
        <v>81.068000000000012</v>
      </c>
    </row>
    <row r="269" spans="2:9" x14ac:dyDescent="0.2">
      <c r="B269" s="191">
        <f t="shared" si="9"/>
        <v>45700</v>
      </c>
      <c r="C269" s="81">
        <v>147.95000000000002</v>
      </c>
      <c r="D269" s="81"/>
      <c r="E269" s="81">
        <v>100.881</v>
      </c>
      <c r="F269" s="81">
        <v>440</v>
      </c>
      <c r="G269" s="11">
        <f t="shared" si="10"/>
        <v>339.11900000000003</v>
      </c>
      <c r="H269" s="11">
        <f>IFERROR(IF(Yearending&gt;B268,'5. Historical demand'!F269-'5. Historical demand'!C269-'5. Historical demand'!D269,""),"")</f>
        <v>292.04999999999995</v>
      </c>
      <c r="I269" s="11">
        <f t="shared" si="11"/>
        <v>47.069000000000017</v>
      </c>
    </row>
    <row r="270" spans="2:9" x14ac:dyDescent="0.2">
      <c r="B270" s="191">
        <f t="shared" si="9"/>
        <v>45701</v>
      </c>
      <c r="C270" s="81">
        <v>147.95000000000002</v>
      </c>
      <c r="D270" s="81"/>
      <c r="E270" s="81">
        <v>67.882000000000005</v>
      </c>
      <c r="F270" s="81">
        <v>440</v>
      </c>
      <c r="G270" s="11">
        <f t="shared" si="10"/>
        <v>372.11799999999999</v>
      </c>
      <c r="H270" s="11">
        <f>IFERROR(IF(Yearending&gt;B269,'5. Historical demand'!F270-'5. Historical demand'!C270-'5. Historical demand'!D270,""),"")</f>
        <v>292.04999999999995</v>
      </c>
      <c r="I270" s="11">
        <f t="shared" si="11"/>
        <v>80.068000000000012</v>
      </c>
    </row>
    <row r="271" spans="2:9" x14ac:dyDescent="0.2">
      <c r="B271" s="191">
        <f t="shared" si="9"/>
        <v>45702</v>
      </c>
      <c r="C271" s="81">
        <v>147.95000000000002</v>
      </c>
      <c r="D271" s="81"/>
      <c r="E271" s="81">
        <v>59.877000000000002</v>
      </c>
      <c r="F271" s="81">
        <v>440</v>
      </c>
      <c r="G271" s="11">
        <f t="shared" si="10"/>
        <v>380.12299999999999</v>
      </c>
      <c r="H271" s="11">
        <f>IFERROR(IF(Yearending&gt;B270,'5. Historical demand'!F271-'5. Historical demand'!C271-'5. Historical demand'!D271,""),"")</f>
        <v>292.04999999999995</v>
      </c>
      <c r="I271" s="11">
        <f t="shared" si="11"/>
        <v>88.073000000000008</v>
      </c>
    </row>
    <row r="272" spans="2:9" x14ac:dyDescent="0.2">
      <c r="B272" s="191">
        <f t="shared" si="9"/>
        <v>45703</v>
      </c>
      <c r="C272" s="81">
        <v>147.95000000000002</v>
      </c>
      <c r="D272" s="81"/>
      <c r="E272" s="81">
        <v>59.881999999999998</v>
      </c>
      <c r="F272" s="81">
        <v>440</v>
      </c>
      <c r="G272" s="11">
        <f t="shared" si="10"/>
        <v>380.11799999999999</v>
      </c>
      <c r="H272" s="11">
        <f>IFERROR(IF(Yearending&gt;B271,'5. Historical demand'!F272-'5. Historical demand'!C272-'5. Historical demand'!D272,""),"")</f>
        <v>292.04999999999995</v>
      </c>
      <c r="I272" s="11">
        <f t="shared" si="11"/>
        <v>88.068000000000012</v>
      </c>
    </row>
    <row r="273" spans="2:9" x14ac:dyDescent="0.2">
      <c r="B273" s="191">
        <f t="shared" si="9"/>
        <v>45704</v>
      </c>
      <c r="C273" s="81">
        <v>147.95000000000002</v>
      </c>
      <c r="D273" s="81"/>
      <c r="E273" s="81">
        <v>100.88</v>
      </c>
      <c r="F273" s="81">
        <v>440</v>
      </c>
      <c r="G273" s="11">
        <f t="shared" si="10"/>
        <v>339.12</v>
      </c>
      <c r="H273" s="11">
        <f>IFERROR(IF(Yearending&gt;B272,'5. Historical demand'!F273-'5. Historical demand'!C273-'5. Historical demand'!D273,""),"")</f>
        <v>292.04999999999995</v>
      </c>
      <c r="I273" s="11">
        <f t="shared" si="11"/>
        <v>47.070000000000022</v>
      </c>
    </row>
    <row r="274" spans="2:9" x14ac:dyDescent="0.2">
      <c r="B274" s="191">
        <f t="shared" si="9"/>
        <v>45705</v>
      </c>
      <c r="C274" s="81">
        <v>147.95000000000002</v>
      </c>
      <c r="D274" s="81"/>
      <c r="E274" s="81">
        <v>36.609000000000002</v>
      </c>
      <c r="F274" s="81">
        <v>440</v>
      </c>
      <c r="G274" s="11">
        <f t="shared" si="10"/>
        <v>403.39100000000002</v>
      </c>
      <c r="H274" s="11">
        <f>IFERROR(IF(Yearending&gt;B273,'5. Historical demand'!F274-'5. Historical demand'!C274-'5. Historical demand'!D274,""),"")</f>
        <v>292.04999999999995</v>
      </c>
      <c r="I274" s="11">
        <f t="shared" si="11"/>
        <v>111.34100000000001</v>
      </c>
    </row>
    <row r="275" spans="2:9" x14ac:dyDescent="0.2">
      <c r="B275" s="191">
        <f t="shared" si="9"/>
        <v>45706</v>
      </c>
      <c r="C275" s="81">
        <v>147.95000000000002</v>
      </c>
      <c r="D275" s="81"/>
      <c r="E275" s="81">
        <v>74.881</v>
      </c>
      <c r="F275" s="81">
        <v>440</v>
      </c>
      <c r="G275" s="11">
        <f t="shared" si="10"/>
        <v>365.11900000000003</v>
      </c>
      <c r="H275" s="11">
        <f>IFERROR(IF(Yearending&gt;B274,'5. Historical demand'!F275-'5. Historical demand'!C275-'5. Historical demand'!D275,""),"")</f>
        <v>292.04999999999995</v>
      </c>
      <c r="I275" s="11">
        <f t="shared" si="11"/>
        <v>73.069000000000017</v>
      </c>
    </row>
    <row r="276" spans="2:9" x14ac:dyDescent="0.2">
      <c r="B276" s="191">
        <f t="shared" si="9"/>
        <v>45707</v>
      </c>
      <c r="C276" s="81">
        <v>147.95000000000002</v>
      </c>
      <c r="D276" s="81"/>
      <c r="E276" s="81">
        <v>65.882999999999996</v>
      </c>
      <c r="F276" s="81">
        <v>440</v>
      </c>
      <c r="G276" s="11">
        <f t="shared" si="10"/>
        <v>374.11700000000002</v>
      </c>
      <c r="H276" s="11">
        <f>IFERROR(IF(Yearending&gt;B275,'5. Historical demand'!F276-'5. Historical demand'!C276-'5. Historical demand'!D276,""),"")</f>
        <v>292.04999999999995</v>
      </c>
      <c r="I276" s="11">
        <f t="shared" si="11"/>
        <v>82.067000000000021</v>
      </c>
    </row>
    <row r="277" spans="2:9" x14ac:dyDescent="0.2">
      <c r="B277" s="191">
        <f t="shared" si="9"/>
        <v>45708</v>
      </c>
      <c r="C277" s="81">
        <v>147.95000000000002</v>
      </c>
      <c r="D277" s="81"/>
      <c r="E277" s="81">
        <v>72.881</v>
      </c>
      <c r="F277" s="81">
        <v>440</v>
      </c>
      <c r="G277" s="11">
        <f t="shared" si="10"/>
        <v>367.11900000000003</v>
      </c>
      <c r="H277" s="11">
        <f>IFERROR(IF(Yearending&gt;B276,'5. Historical demand'!F277-'5. Historical demand'!C277-'5. Historical demand'!D277,""),"")</f>
        <v>292.04999999999995</v>
      </c>
      <c r="I277" s="11">
        <f t="shared" si="11"/>
        <v>75.069000000000017</v>
      </c>
    </row>
    <row r="278" spans="2:9" x14ac:dyDescent="0.2">
      <c r="B278" s="191">
        <f t="shared" si="9"/>
        <v>45709</v>
      </c>
      <c r="C278" s="81">
        <v>147.95000000000002</v>
      </c>
      <c r="D278" s="81"/>
      <c r="E278" s="81">
        <v>146.042</v>
      </c>
      <c r="F278" s="81">
        <v>440</v>
      </c>
      <c r="G278" s="11">
        <f t="shared" si="10"/>
        <v>293.95799999999997</v>
      </c>
      <c r="H278" s="11">
        <f>IFERROR(IF(Yearending&gt;B277,'5. Historical demand'!F278-'5. Historical demand'!C278-'5. Historical demand'!D278,""),"")</f>
        <v>292.04999999999995</v>
      </c>
      <c r="I278" s="11">
        <f t="shared" si="11"/>
        <v>1.9080000000000155</v>
      </c>
    </row>
    <row r="279" spans="2:9" x14ac:dyDescent="0.2">
      <c r="B279" s="191">
        <f t="shared" si="9"/>
        <v>45710</v>
      </c>
      <c r="C279" s="81">
        <v>147.95000000000002</v>
      </c>
      <c r="D279" s="81"/>
      <c r="E279" s="81">
        <v>138.88200000000001</v>
      </c>
      <c r="F279" s="81">
        <v>440</v>
      </c>
      <c r="G279" s="11">
        <f t="shared" si="10"/>
        <v>301.11799999999999</v>
      </c>
      <c r="H279" s="11">
        <f>IFERROR(IF(Yearending&gt;B278,'5. Historical demand'!F279-'5. Historical demand'!C279-'5. Historical demand'!D279,""),"")</f>
        <v>292.04999999999995</v>
      </c>
      <c r="I279" s="11">
        <f t="shared" si="11"/>
        <v>9.0680000000000121</v>
      </c>
    </row>
    <row r="280" spans="2:9" x14ac:dyDescent="0.2">
      <c r="B280" s="191">
        <f t="shared" si="9"/>
        <v>45711</v>
      </c>
      <c r="C280" s="81">
        <v>147.95000000000002</v>
      </c>
      <c r="D280" s="81"/>
      <c r="E280" s="81">
        <v>125.372</v>
      </c>
      <c r="F280" s="81">
        <v>440</v>
      </c>
      <c r="G280" s="11">
        <f t="shared" si="10"/>
        <v>314.62799999999999</v>
      </c>
      <c r="H280" s="11">
        <f>IFERROR(IF(Yearending&gt;B279,'5. Historical demand'!F280-'5. Historical demand'!C280-'5. Historical demand'!D280,""),"")</f>
        <v>292.04999999999995</v>
      </c>
      <c r="I280" s="11">
        <f t="shared" si="11"/>
        <v>22.578000000000017</v>
      </c>
    </row>
    <row r="281" spans="2:9" x14ac:dyDescent="0.2">
      <c r="B281" s="191">
        <f t="shared" si="9"/>
        <v>45712</v>
      </c>
      <c r="C281" s="81">
        <v>147.95000000000002</v>
      </c>
      <c r="D281" s="81"/>
      <c r="E281" s="81">
        <v>161.85</v>
      </c>
      <c r="F281" s="81">
        <v>440</v>
      </c>
      <c r="G281" s="11">
        <f t="shared" si="10"/>
        <v>278.14999999999998</v>
      </c>
      <c r="H281" s="11">
        <f>IFERROR(IF(Yearending&gt;B280,'5. Historical demand'!F281-'5. Historical demand'!C281-'5. Historical demand'!D281,""),"")</f>
        <v>292.04999999999995</v>
      </c>
      <c r="I281" s="11">
        <f t="shared" si="11"/>
        <v>-13.899999999999977</v>
      </c>
    </row>
    <row r="282" spans="2:9" x14ac:dyDescent="0.2">
      <c r="B282" s="191">
        <f t="shared" si="9"/>
        <v>45713</v>
      </c>
      <c r="C282" s="81">
        <v>147.95000000000002</v>
      </c>
      <c r="D282" s="81"/>
      <c r="E282" s="81">
        <v>145.048</v>
      </c>
      <c r="F282" s="81">
        <v>440</v>
      </c>
      <c r="G282" s="11">
        <f t="shared" si="10"/>
        <v>294.952</v>
      </c>
      <c r="H282" s="11">
        <f>IFERROR(IF(Yearending&gt;B281,'5. Historical demand'!F282-'5. Historical demand'!C282-'5. Historical demand'!D282,""),"")</f>
        <v>292.04999999999995</v>
      </c>
      <c r="I282" s="11">
        <f t="shared" si="11"/>
        <v>2.9020000000000152</v>
      </c>
    </row>
    <row r="283" spans="2:9" x14ac:dyDescent="0.2">
      <c r="B283" s="191">
        <f t="shared" si="9"/>
        <v>45714</v>
      </c>
      <c r="C283" s="81">
        <v>147.95000000000002</v>
      </c>
      <c r="D283" s="81"/>
      <c r="E283" s="81">
        <v>162.04599999999999</v>
      </c>
      <c r="F283" s="81">
        <v>440</v>
      </c>
      <c r="G283" s="11">
        <f t="shared" si="10"/>
        <v>277.95400000000001</v>
      </c>
      <c r="H283" s="11">
        <f>IFERROR(IF(Yearending&gt;B282,'5. Historical demand'!F283-'5. Historical demand'!C283-'5. Historical demand'!D283,""),"")</f>
        <v>292.04999999999995</v>
      </c>
      <c r="I283" s="11">
        <f t="shared" si="11"/>
        <v>-14.095999999999975</v>
      </c>
    </row>
    <row r="284" spans="2:9" x14ac:dyDescent="0.2">
      <c r="B284" s="191">
        <f t="shared" si="9"/>
        <v>45715</v>
      </c>
      <c r="C284" s="81">
        <v>147.95000000000002</v>
      </c>
      <c r="D284" s="81"/>
      <c r="E284" s="81">
        <v>160.04900000000001</v>
      </c>
      <c r="F284" s="81">
        <v>440</v>
      </c>
      <c r="G284" s="11">
        <f t="shared" si="10"/>
        <v>279.95100000000002</v>
      </c>
      <c r="H284" s="11">
        <f>IFERROR(IF(Yearending&gt;B283,'5. Historical demand'!F284-'5. Historical demand'!C284-'5. Historical demand'!D284,""),"")</f>
        <v>292.04999999999995</v>
      </c>
      <c r="I284" s="11">
        <f t="shared" si="11"/>
        <v>-12.09899999999999</v>
      </c>
    </row>
    <row r="285" spans="2:9" x14ac:dyDescent="0.2">
      <c r="B285" s="191">
        <f t="shared" si="9"/>
        <v>45716</v>
      </c>
      <c r="C285" s="81">
        <v>147.95000000000002</v>
      </c>
      <c r="D285" s="81"/>
      <c r="E285" s="81">
        <v>164.04400000000001</v>
      </c>
      <c r="F285" s="81">
        <v>440</v>
      </c>
      <c r="G285" s="11">
        <f t="shared" si="10"/>
        <v>275.95600000000002</v>
      </c>
      <c r="H285" s="11">
        <f>IFERROR(IF(Yearending&gt;B284,'5. Historical demand'!F285-'5. Historical demand'!C285-'5. Historical demand'!D285,""),"")</f>
        <v>292.04999999999995</v>
      </c>
      <c r="I285" s="11">
        <f t="shared" si="11"/>
        <v>-16.093999999999994</v>
      </c>
    </row>
    <row r="286" spans="2:9" x14ac:dyDescent="0.2">
      <c r="B286" s="191">
        <f t="shared" si="9"/>
        <v>45717</v>
      </c>
      <c r="C286" s="81">
        <v>147.94999999999999</v>
      </c>
      <c r="D286" s="81"/>
      <c r="E286" s="81">
        <v>163.92500000000001</v>
      </c>
      <c r="F286" s="81">
        <v>440</v>
      </c>
      <c r="G286" s="11">
        <f t="shared" si="10"/>
        <v>276.07499999999999</v>
      </c>
      <c r="H286" s="11">
        <f>IFERROR(IF(Yearending&gt;B285,'5. Historical demand'!F286-'5. Historical demand'!C286-'5. Historical demand'!D286,""),"")</f>
        <v>292.05</v>
      </c>
      <c r="I286" s="11">
        <f t="shared" si="11"/>
        <v>-15.975000000000023</v>
      </c>
    </row>
    <row r="287" spans="2:9" x14ac:dyDescent="0.2">
      <c r="B287" s="191">
        <f t="shared" si="9"/>
        <v>45718</v>
      </c>
      <c r="C287" s="81">
        <v>147.94999999999999</v>
      </c>
      <c r="D287" s="81"/>
      <c r="E287" s="81">
        <v>17.488</v>
      </c>
      <c r="F287" s="81">
        <v>440</v>
      </c>
      <c r="G287" s="11">
        <f t="shared" si="10"/>
        <v>422.512</v>
      </c>
      <c r="H287" s="11">
        <f>IFERROR(IF(Yearending&gt;B286,'5. Historical demand'!F287-'5. Historical demand'!C287-'5. Historical demand'!D287,""),"")</f>
        <v>292.05</v>
      </c>
      <c r="I287" s="11">
        <f t="shared" si="11"/>
        <v>130.46199999999999</v>
      </c>
    </row>
    <row r="288" spans="2:9" x14ac:dyDescent="0.2">
      <c r="B288" s="191">
        <f t="shared" si="9"/>
        <v>45719</v>
      </c>
      <c r="C288" s="81">
        <v>147.94999999999999</v>
      </c>
      <c r="D288" s="81"/>
      <c r="E288" s="81">
        <v>-4.4350000000000023</v>
      </c>
      <c r="F288" s="81">
        <v>440</v>
      </c>
      <c r="G288" s="11">
        <f t="shared" si="10"/>
        <v>444.435</v>
      </c>
      <c r="H288" s="11">
        <f>IFERROR(IF(Yearending&gt;B287,'5. Historical demand'!F288-'5. Historical demand'!C288-'5. Historical demand'!D288,""),"")</f>
        <v>292.05</v>
      </c>
      <c r="I288" s="11">
        <f t="shared" si="11"/>
        <v>152.38499999999999</v>
      </c>
    </row>
    <row r="289" spans="2:9" x14ac:dyDescent="0.2">
      <c r="B289" s="191">
        <f t="shared" si="9"/>
        <v>45720</v>
      </c>
      <c r="C289" s="81">
        <v>147.94999999999999</v>
      </c>
      <c r="D289" s="81"/>
      <c r="E289" s="81">
        <v>18.282</v>
      </c>
      <c r="F289" s="81">
        <v>440</v>
      </c>
      <c r="G289" s="11">
        <f t="shared" si="10"/>
        <v>421.71800000000002</v>
      </c>
      <c r="H289" s="11">
        <f>IFERROR(IF(Yearending&gt;B288,'5. Historical demand'!F289-'5. Historical demand'!C289-'5. Historical demand'!D289,""),"")</f>
        <v>292.05</v>
      </c>
      <c r="I289" s="11">
        <f t="shared" si="11"/>
        <v>129.66799999999998</v>
      </c>
    </row>
    <row r="290" spans="2:9" x14ac:dyDescent="0.2">
      <c r="B290" s="191">
        <f t="shared" si="9"/>
        <v>45721</v>
      </c>
      <c r="C290" s="81">
        <v>147.94999999999999</v>
      </c>
      <c r="D290" s="81"/>
      <c r="E290" s="81">
        <v>121.081</v>
      </c>
      <c r="F290" s="81">
        <v>440</v>
      </c>
      <c r="G290" s="11">
        <f t="shared" si="10"/>
        <v>318.91899999999998</v>
      </c>
      <c r="H290" s="11">
        <f>IFERROR(IF(Yearending&gt;B289,'5. Historical demand'!F290-'5. Historical demand'!C290-'5. Historical demand'!D290,""),"")</f>
        <v>292.05</v>
      </c>
      <c r="I290" s="11">
        <f t="shared" si="11"/>
        <v>26.868999999999986</v>
      </c>
    </row>
    <row r="291" spans="2:9" x14ac:dyDescent="0.2">
      <c r="B291" s="191">
        <f t="shared" si="9"/>
        <v>45722</v>
      </c>
      <c r="C291" s="81">
        <v>147.94999999999999</v>
      </c>
      <c r="D291" s="81"/>
      <c r="E291" s="81">
        <v>163.57599999999999</v>
      </c>
      <c r="F291" s="81">
        <v>440</v>
      </c>
      <c r="G291" s="11">
        <f t="shared" si="10"/>
        <v>276.42399999999998</v>
      </c>
      <c r="H291" s="11">
        <f>IFERROR(IF(Yearending&gt;B290,'5. Historical demand'!F291-'5. Historical demand'!C291-'5. Historical demand'!D291,""),"")</f>
        <v>292.05</v>
      </c>
      <c r="I291" s="11">
        <f t="shared" si="11"/>
        <v>-15.626000000000005</v>
      </c>
    </row>
    <row r="292" spans="2:9" x14ac:dyDescent="0.2">
      <c r="B292" s="191">
        <f t="shared" si="9"/>
        <v>45723</v>
      </c>
      <c r="C292" s="81">
        <v>147.94999999999999</v>
      </c>
      <c r="D292" s="81"/>
      <c r="E292" s="81">
        <v>163.99100000000001</v>
      </c>
      <c r="F292" s="81">
        <v>440</v>
      </c>
      <c r="G292" s="11">
        <f t="shared" si="10"/>
        <v>276.00900000000001</v>
      </c>
      <c r="H292" s="11">
        <f>IFERROR(IF(Yearending&gt;B291,'5. Historical demand'!F292-'5. Historical demand'!C292-'5. Historical demand'!D292,""),"")</f>
        <v>292.05</v>
      </c>
      <c r="I292" s="11">
        <f t="shared" si="11"/>
        <v>-16.041000000000025</v>
      </c>
    </row>
    <row r="293" spans="2:9" x14ac:dyDescent="0.2">
      <c r="B293" s="191">
        <f t="shared" si="9"/>
        <v>45724</v>
      </c>
      <c r="C293" s="81">
        <v>147.94999999999999</v>
      </c>
      <c r="D293" s="81"/>
      <c r="E293" s="81">
        <v>158.05099999999999</v>
      </c>
      <c r="F293" s="81">
        <v>440</v>
      </c>
      <c r="G293" s="11">
        <f t="shared" si="10"/>
        <v>281.94900000000001</v>
      </c>
      <c r="H293" s="11">
        <f>IFERROR(IF(Yearending&gt;B292,'5. Historical demand'!F293-'5. Historical demand'!C293-'5. Historical demand'!D293,""),"")</f>
        <v>292.05</v>
      </c>
      <c r="I293" s="11">
        <f t="shared" si="11"/>
        <v>-10.100999999999999</v>
      </c>
    </row>
    <row r="294" spans="2:9" x14ac:dyDescent="0.2">
      <c r="B294" s="191">
        <f t="shared" si="9"/>
        <v>45725</v>
      </c>
      <c r="C294" s="81">
        <v>147.94999999999999</v>
      </c>
      <c r="D294" s="81"/>
      <c r="E294" s="81">
        <v>134.08099999999999</v>
      </c>
      <c r="F294" s="81">
        <v>440</v>
      </c>
      <c r="G294" s="11">
        <f t="shared" si="10"/>
        <v>305.91899999999998</v>
      </c>
      <c r="H294" s="11">
        <f>IFERROR(IF(Yearending&gt;B293,'5. Historical demand'!F294-'5. Historical demand'!C294-'5. Historical demand'!D294,""),"")</f>
        <v>292.05</v>
      </c>
      <c r="I294" s="11">
        <f t="shared" si="11"/>
        <v>13.869</v>
      </c>
    </row>
    <row r="295" spans="2:9" x14ac:dyDescent="0.2">
      <c r="B295" s="191">
        <f t="shared" si="9"/>
        <v>45726</v>
      </c>
      <c r="C295" s="81">
        <v>147.94999999999999</v>
      </c>
      <c r="D295" s="81"/>
      <c r="E295" s="81">
        <v>102.751</v>
      </c>
      <c r="F295" s="81">
        <v>440</v>
      </c>
      <c r="G295" s="11">
        <f t="shared" si="10"/>
        <v>337.24900000000002</v>
      </c>
      <c r="H295" s="11">
        <f>IFERROR(IF(Yearending&gt;B294,'5. Historical demand'!F295-'5. Historical demand'!C295-'5. Historical demand'!D295,""),"")</f>
        <v>292.05</v>
      </c>
      <c r="I295" s="11">
        <f t="shared" si="11"/>
        <v>45.198999999999984</v>
      </c>
    </row>
    <row r="296" spans="2:9" x14ac:dyDescent="0.2">
      <c r="B296" s="191">
        <f t="shared" si="9"/>
        <v>45727</v>
      </c>
      <c r="C296" s="81">
        <v>147.94999999999999</v>
      </c>
      <c r="D296" s="81"/>
      <c r="E296" s="81">
        <v>97.051000000000002</v>
      </c>
      <c r="F296" s="81">
        <v>440</v>
      </c>
      <c r="G296" s="11">
        <f t="shared" si="10"/>
        <v>342.94900000000001</v>
      </c>
      <c r="H296" s="11">
        <f>IFERROR(IF(Yearending&gt;B295,'5. Historical demand'!F296-'5. Historical demand'!C296-'5. Historical demand'!D296,""),"")</f>
        <v>292.05</v>
      </c>
      <c r="I296" s="11">
        <f t="shared" si="11"/>
        <v>50.898999999999987</v>
      </c>
    </row>
    <row r="297" spans="2:9" x14ac:dyDescent="0.2">
      <c r="B297" s="191">
        <f t="shared" si="9"/>
        <v>45728</v>
      </c>
      <c r="C297" s="81">
        <v>147.94999999999999</v>
      </c>
      <c r="D297" s="81"/>
      <c r="E297" s="81">
        <v>96.742999999999995</v>
      </c>
      <c r="F297" s="81">
        <v>440</v>
      </c>
      <c r="G297" s="11">
        <f t="shared" si="10"/>
        <v>343.25700000000001</v>
      </c>
      <c r="H297" s="11">
        <f>IFERROR(IF(Yearending&gt;B296,'5. Historical demand'!F297-'5. Historical demand'!C297-'5. Historical demand'!D297,""),"")</f>
        <v>292.05</v>
      </c>
      <c r="I297" s="11">
        <f t="shared" si="11"/>
        <v>51.206999999999994</v>
      </c>
    </row>
    <row r="298" spans="2:9" x14ac:dyDescent="0.2">
      <c r="B298" s="191">
        <f t="shared" si="9"/>
        <v>45729</v>
      </c>
      <c r="C298" s="81">
        <v>147.94999999999999</v>
      </c>
      <c r="D298" s="81"/>
      <c r="E298" s="81">
        <v>46.676000000000002</v>
      </c>
      <c r="F298" s="81">
        <v>440</v>
      </c>
      <c r="G298" s="11">
        <f t="shared" si="10"/>
        <v>393.32400000000001</v>
      </c>
      <c r="H298" s="11">
        <f>IFERROR(IF(Yearending&gt;B297,'5. Historical demand'!F298-'5. Historical demand'!C298-'5. Historical demand'!D298,""),"")</f>
        <v>292.05</v>
      </c>
      <c r="I298" s="11">
        <f t="shared" si="11"/>
        <v>101.27399999999999</v>
      </c>
    </row>
    <row r="299" spans="2:9" x14ac:dyDescent="0.2">
      <c r="B299" s="191">
        <f t="shared" si="9"/>
        <v>45730</v>
      </c>
      <c r="C299" s="81">
        <v>147.94999999999999</v>
      </c>
      <c r="D299" s="81"/>
      <c r="E299" s="81">
        <v>51.176000000000002</v>
      </c>
      <c r="F299" s="81">
        <v>440</v>
      </c>
      <c r="G299" s="11">
        <f t="shared" si="10"/>
        <v>388.82400000000001</v>
      </c>
      <c r="H299" s="11">
        <f>IFERROR(IF(Yearending&gt;B298,'5. Historical demand'!F299-'5. Historical demand'!C299-'5. Historical demand'!D299,""),"")</f>
        <v>292.05</v>
      </c>
      <c r="I299" s="11">
        <f t="shared" si="11"/>
        <v>96.773999999999987</v>
      </c>
    </row>
    <row r="300" spans="2:9" x14ac:dyDescent="0.2">
      <c r="B300" s="191">
        <f t="shared" ref="B300:B363" si="12">IFERROR(IF(Yearending&gt;B299, B299+1, ""),"")</f>
        <v>45731</v>
      </c>
      <c r="C300" s="81">
        <v>147.94999999999999</v>
      </c>
      <c r="D300" s="81"/>
      <c r="E300" s="81">
        <v>26.175999999999998</v>
      </c>
      <c r="F300" s="81">
        <v>440</v>
      </c>
      <c r="G300" s="11">
        <f t="shared" ref="G300:G363" si="13">IFERROR(IF(Yearending&gt;B299,F300-E300,""),"")</f>
        <v>413.82400000000001</v>
      </c>
      <c r="H300" s="11">
        <f>IFERROR(IF(Yearending&gt;B299,'5. Historical demand'!F300-'5. Historical demand'!C300-'5. Historical demand'!D300,""),"")</f>
        <v>292.05</v>
      </c>
      <c r="I300" s="11">
        <f t="shared" ref="I300:I363" si="14">IFERROR(IF(Yearending&gt;B299,C300+D300-E300,""),"")</f>
        <v>121.77399999999999</v>
      </c>
    </row>
    <row r="301" spans="2:9" x14ac:dyDescent="0.2">
      <c r="B301" s="191">
        <f t="shared" si="12"/>
        <v>45732</v>
      </c>
      <c r="C301" s="81">
        <v>147.94999999999999</v>
      </c>
      <c r="D301" s="81"/>
      <c r="E301" s="81">
        <v>35.177</v>
      </c>
      <c r="F301" s="81">
        <v>440</v>
      </c>
      <c r="G301" s="11">
        <f t="shared" si="13"/>
        <v>404.82299999999998</v>
      </c>
      <c r="H301" s="11">
        <f>IFERROR(IF(Yearending&gt;B300,'5. Historical demand'!F301-'5. Historical demand'!C301-'5. Historical demand'!D301,""),"")</f>
        <v>292.05</v>
      </c>
      <c r="I301" s="11">
        <f t="shared" si="14"/>
        <v>112.773</v>
      </c>
    </row>
    <row r="302" spans="2:9" x14ac:dyDescent="0.2">
      <c r="B302" s="191">
        <f t="shared" si="12"/>
        <v>45733</v>
      </c>
      <c r="C302" s="81">
        <v>147.94999999999999</v>
      </c>
      <c r="D302" s="81"/>
      <c r="E302" s="81">
        <v>21.271999999999998</v>
      </c>
      <c r="F302" s="81">
        <v>440</v>
      </c>
      <c r="G302" s="11">
        <f t="shared" si="13"/>
        <v>418.72800000000001</v>
      </c>
      <c r="H302" s="11">
        <f>IFERROR(IF(Yearending&gt;B301,'5. Historical demand'!F302-'5. Historical demand'!C302-'5. Historical demand'!D302,""),"")</f>
        <v>292.05</v>
      </c>
      <c r="I302" s="11">
        <f t="shared" si="14"/>
        <v>126.678</v>
      </c>
    </row>
    <row r="303" spans="2:9" x14ac:dyDescent="0.2">
      <c r="B303" s="191">
        <f t="shared" si="12"/>
        <v>45734</v>
      </c>
      <c r="C303" s="81">
        <v>147.94999999999999</v>
      </c>
      <c r="D303" s="81"/>
      <c r="E303" s="81">
        <v>24.67</v>
      </c>
      <c r="F303" s="81">
        <v>440</v>
      </c>
      <c r="G303" s="11">
        <f t="shared" si="13"/>
        <v>415.33</v>
      </c>
      <c r="H303" s="11">
        <f>IFERROR(IF(Yearending&gt;B302,'5. Historical demand'!F303-'5. Historical demand'!C303-'5. Historical demand'!D303,""),"")</f>
        <v>292.05</v>
      </c>
      <c r="I303" s="11">
        <f t="shared" si="14"/>
        <v>123.27999999999999</v>
      </c>
    </row>
    <row r="304" spans="2:9" x14ac:dyDescent="0.2">
      <c r="B304" s="191">
        <f t="shared" si="12"/>
        <v>45735</v>
      </c>
      <c r="C304" s="81">
        <v>147.94999999999999</v>
      </c>
      <c r="D304" s="81"/>
      <c r="E304" s="81">
        <v>18.172000000000001</v>
      </c>
      <c r="F304" s="81">
        <v>440</v>
      </c>
      <c r="G304" s="11">
        <f t="shared" si="13"/>
        <v>421.82799999999997</v>
      </c>
      <c r="H304" s="11">
        <f>IFERROR(IF(Yearending&gt;B303,'5. Historical demand'!F304-'5. Historical demand'!C304-'5. Historical demand'!D304,""),"")</f>
        <v>292.05</v>
      </c>
      <c r="I304" s="11">
        <f t="shared" si="14"/>
        <v>129.77799999999999</v>
      </c>
    </row>
    <row r="305" spans="2:9" x14ac:dyDescent="0.2">
      <c r="B305" s="191">
        <f t="shared" si="12"/>
        <v>45736</v>
      </c>
      <c r="C305" s="81">
        <v>147.94999999999999</v>
      </c>
      <c r="D305" s="81"/>
      <c r="E305" s="81">
        <v>17.177</v>
      </c>
      <c r="F305" s="81">
        <v>440</v>
      </c>
      <c r="G305" s="11">
        <f t="shared" si="13"/>
        <v>422.82299999999998</v>
      </c>
      <c r="H305" s="11">
        <f>IFERROR(IF(Yearending&gt;B304,'5. Historical demand'!F305-'5. Historical demand'!C305-'5. Historical demand'!D305,""),"")</f>
        <v>292.05</v>
      </c>
      <c r="I305" s="11">
        <f t="shared" si="14"/>
        <v>130.773</v>
      </c>
    </row>
    <row r="306" spans="2:9" x14ac:dyDescent="0.2">
      <c r="B306" s="191">
        <f t="shared" si="12"/>
        <v>45737</v>
      </c>
      <c r="C306" s="81">
        <v>147.94999999999999</v>
      </c>
      <c r="D306" s="81"/>
      <c r="E306" s="81">
        <v>12.186999999999999</v>
      </c>
      <c r="F306" s="81">
        <v>440</v>
      </c>
      <c r="G306" s="11">
        <f t="shared" si="13"/>
        <v>427.81299999999999</v>
      </c>
      <c r="H306" s="11">
        <f>IFERROR(IF(Yearending&gt;B305,'5. Historical demand'!F306-'5. Historical demand'!C306-'5. Historical demand'!D306,""),"")</f>
        <v>292.05</v>
      </c>
      <c r="I306" s="11">
        <f t="shared" si="14"/>
        <v>135.76299999999998</v>
      </c>
    </row>
    <row r="307" spans="2:9" x14ac:dyDescent="0.2">
      <c r="B307" s="191">
        <f t="shared" si="12"/>
        <v>45738</v>
      </c>
      <c r="C307" s="81">
        <v>147.94999999999999</v>
      </c>
      <c r="D307" s="81"/>
      <c r="E307" s="81">
        <v>53.067999999999998</v>
      </c>
      <c r="F307" s="81">
        <v>440</v>
      </c>
      <c r="G307" s="11">
        <f t="shared" si="13"/>
        <v>386.93200000000002</v>
      </c>
      <c r="H307" s="11">
        <f>IFERROR(IF(Yearending&gt;B306,'5. Historical demand'!F307-'5. Historical demand'!C307-'5. Historical demand'!D307,""),"")</f>
        <v>292.05</v>
      </c>
      <c r="I307" s="11">
        <f t="shared" si="14"/>
        <v>94.881999999999991</v>
      </c>
    </row>
    <row r="308" spans="2:9" x14ac:dyDescent="0.2">
      <c r="B308" s="191">
        <f t="shared" si="12"/>
        <v>45739</v>
      </c>
      <c r="C308" s="81">
        <v>147.94999999999999</v>
      </c>
      <c r="D308" s="81"/>
      <c r="E308" s="81">
        <v>22.082999999999998</v>
      </c>
      <c r="F308" s="81">
        <v>440</v>
      </c>
      <c r="G308" s="11">
        <f t="shared" si="13"/>
        <v>417.91700000000003</v>
      </c>
      <c r="H308" s="11">
        <f>IFERROR(IF(Yearending&gt;B307,'5. Historical demand'!F308-'5. Historical demand'!C308-'5. Historical demand'!D308,""),"")</f>
        <v>292.05</v>
      </c>
      <c r="I308" s="11">
        <f t="shared" si="14"/>
        <v>125.86699999999999</v>
      </c>
    </row>
    <row r="309" spans="2:9" x14ac:dyDescent="0.2">
      <c r="B309" s="191">
        <f t="shared" si="12"/>
        <v>45740</v>
      </c>
      <c r="C309" s="81">
        <v>147.94999999999999</v>
      </c>
      <c r="D309" s="81"/>
      <c r="E309" s="81">
        <v>54.073999999999998</v>
      </c>
      <c r="F309" s="81">
        <v>440</v>
      </c>
      <c r="G309" s="11">
        <f t="shared" si="13"/>
        <v>385.92599999999999</v>
      </c>
      <c r="H309" s="11">
        <f>IFERROR(IF(Yearending&gt;B308,'5. Historical demand'!F309-'5. Historical demand'!C309-'5. Historical demand'!D309,""),"")</f>
        <v>292.05</v>
      </c>
      <c r="I309" s="11">
        <f t="shared" si="14"/>
        <v>93.875999999999991</v>
      </c>
    </row>
    <row r="310" spans="2:9" x14ac:dyDescent="0.2">
      <c r="B310" s="191">
        <f t="shared" si="12"/>
        <v>45741</v>
      </c>
      <c r="C310" s="81">
        <v>147.94999999999999</v>
      </c>
      <c r="D310" s="81"/>
      <c r="E310" s="81">
        <v>11.994</v>
      </c>
      <c r="F310" s="81">
        <v>440</v>
      </c>
      <c r="G310" s="11">
        <f t="shared" si="13"/>
        <v>428.00599999999997</v>
      </c>
      <c r="H310" s="11">
        <f>IFERROR(IF(Yearending&gt;B309,'5. Historical demand'!F310-'5. Historical demand'!C310-'5. Historical demand'!D310,""),"")</f>
        <v>292.05</v>
      </c>
      <c r="I310" s="11">
        <f t="shared" si="14"/>
        <v>135.95599999999999</v>
      </c>
    </row>
    <row r="311" spans="2:9" x14ac:dyDescent="0.2">
      <c r="B311" s="191">
        <f t="shared" si="12"/>
        <v>45742</v>
      </c>
      <c r="C311" s="81">
        <v>147.94999999999999</v>
      </c>
      <c r="D311" s="81"/>
      <c r="E311" s="81">
        <v>58.781999999999996</v>
      </c>
      <c r="F311" s="81">
        <v>440</v>
      </c>
      <c r="G311" s="11">
        <f t="shared" si="13"/>
        <v>381.21800000000002</v>
      </c>
      <c r="H311" s="11">
        <f>IFERROR(IF(Yearending&gt;B310,'5. Historical demand'!F311-'5. Historical demand'!C311-'5. Historical demand'!D311,""),"")</f>
        <v>292.05</v>
      </c>
      <c r="I311" s="11">
        <f t="shared" si="14"/>
        <v>89.167999999999992</v>
      </c>
    </row>
    <row r="312" spans="2:9" x14ac:dyDescent="0.2">
      <c r="B312" s="191">
        <f t="shared" si="12"/>
        <v>45743</v>
      </c>
      <c r="C312" s="81">
        <v>147.94999999999999</v>
      </c>
      <c r="D312" s="81"/>
      <c r="E312" s="81">
        <v>96.849000000000004</v>
      </c>
      <c r="F312" s="81">
        <v>440</v>
      </c>
      <c r="G312" s="11">
        <f t="shared" si="13"/>
        <v>343.15100000000001</v>
      </c>
      <c r="H312" s="11">
        <f>IFERROR(IF(Yearending&gt;B311,'5. Historical demand'!F312-'5. Historical demand'!C312-'5. Historical demand'!D312,""),"")</f>
        <v>292.05</v>
      </c>
      <c r="I312" s="11">
        <f t="shared" si="14"/>
        <v>51.100999999999985</v>
      </c>
    </row>
    <row r="313" spans="2:9" x14ac:dyDescent="0.2">
      <c r="B313" s="191">
        <f t="shared" si="12"/>
        <v>45744</v>
      </c>
      <c r="C313" s="81">
        <v>147.94999999999999</v>
      </c>
      <c r="D313" s="81"/>
      <c r="E313" s="81">
        <v>98.05</v>
      </c>
      <c r="F313" s="81">
        <v>440</v>
      </c>
      <c r="G313" s="11">
        <f t="shared" si="13"/>
        <v>341.95</v>
      </c>
      <c r="H313" s="11">
        <f>IFERROR(IF(Yearending&gt;B312,'5. Historical demand'!F313-'5. Historical demand'!C313-'5. Historical demand'!D313,""),"")</f>
        <v>292.05</v>
      </c>
      <c r="I313" s="11">
        <f t="shared" si="14"/>
        <v>49.899999999999991</v>
      </c>
    </row>
    <row r="314" spans="2:9" x14ac:dyDescent="0.2">
      <c r="B314" s="191">
        <f t="shared" si="12"/>
        <v>45745</v>
      </c>
      <c r="C314" s="81">
        <v>147.94999999999999</v>
      </c>
      <c r="D314" s="81"/>
      <c r="E314" s="81">
        <v>23.582000000000001</v>
      </c>
      <c r="F314" s="81">
        <v>440</v>
      </c>
      <c r="G314" s="11">
        <f t="shared" si="13"/>
        <v>416.41800000000001</v>
      </c>
      <c r="H314" s="11">
        <f>IFERROR(IF(Yearending&gt;B313,'5. Historical demand'!F314-'5. Historical demand'!C314-'5. Historical demand'!D314,""),"")</f>
        <v>292.05</v>
      </c>
      <c r="I314" s="11">
        <f t="shared" si="14"/>
        <v>124.36799999999999</v>
      </c>
    </row>
    <row r="315" spans="2:9" x14ac:dyDescent="0.2">
      <c r="B315" s="191">
        <f t="shared" si="12"/>
        <v>45746</v>
      </c>
      <c r="C315" s="81">
        <v>147.94999999999999</v>
      </c>
      <c r="D315" s="81"/>
      <c r="E315" s="81">
        <v>62.381999999999998</v>
      </c>
      <c r="F315" s="81">
        <v>440</v>
      </c>
      <c r="G315" s="11">
        <f t="shared" si="13"/>
        <v>377.61799999999999</v>
      </c>
      <c r="H315" s="11">
        <f>IFERROR(IF(Yearending&gt;B314,'5. Historical demand'!F315-'5. Historical demand'!C315-'5. Historical demand'!D315,""),"")</f>
        <v>292.05</v>
      </c>
      <c r="I315" s="11">
        <f t="shared" si="14"/>
        <v>85.567999999999984</v>
      </c>
    </row>
    <row r="316" spans="2:9" x14ac:dyDescent="0.2">
      <c r="B316" s="191">
        <f t="shared" si="12"/>
        <v>45747</v>
      </c>
      <c r="C316" s="81">
        <v>147.94999999999999</v>
      </c>
      <c r="D316" s="81"/>
      <c r="E316" s="81">
        <v>33.381999999999998</v>
      </c>
      <c r="F316" s="81">
        <v>440</v>
      </c>
      <c r="G316" s="11">
        <f t="shared" si="13"/>
        <v>406.61799999999999</v>
      </c>
      <c r="H316" s="11">
        <f>IFERROR(IF(Yearending&gt;B315,'5. Historical demand'!F316-'5. Historical demand'!C316-'5. Historical demand'!D316,""),"")</f>
        <v>292.05</v>
      </c>
      <c r="I316" s="11">
        <f t="shared" si="14"/>
        <v>114.56799999999998</v>
      </c>
    </row>
    <row r="317" spans="2:9" x14ac:dyDescent="0.2">
      <c r="B317" s="191">
        <f t="shared" si="12"/>
        <v>45748</v>
      </c>
      <c r="C317" s="81">
        <v>147.94999999999999</v>
      </c>
      <c r="D317" s="81"/>
      <c r="E317" s="81">
        <v>61.613999999999997</v>
      </c>
      <c r="F317" s="81">
        <v>440</v>
      </c>
      <c r="G317" s="11">
        <f t="shared" si="13"/>
        <v>378.38600000000002</v>
      </c>
      <c r="H317" s="11">
        <f>IFERROR(IF(Yearending&gt;B316,'5. Historical demand'!F317-'5. Historical demand'!C317-'5. Historical demand'!D317,""),"")</f>
        <v>292.05</v>
      </c>
      <c r="I317" s="11">
        <f t="shared" si="14"/>
        <v>86.335999999999984</v>
      </c>
    </row>
    <row r="318" spans="2:9" x14ac:dyDescent="0.2">
      <c r="B318" s="191">
        <f t="shared" si="12"/>
        <v>45749</v>
      </c>
      <c r="C318" s="81">
        <v>147.94999999999999</v>
      </c>
      <c r="D318" s="81"/>
      <c r="E318" s="81">
        <v>75.042000000000002</v>
      </c>
      <c r="F318" s="81">
        <v>440</v>
      </c>
      <c r="G318" s="11">
        <f t="shared" si="13"/>
        <v>364.95799999999997</v>
      </c>
      <c r="H318" s="11">
        <f>IFERROR(IF(Yearending&gt;B317,'5. Historical demand'!F318-'5. Historical demand'!C318-'5. Historical demand'!D318,""),"")</f>
        <v>292.05</v>
      </c>
      <c r="I318" s="11">
        <f t="shared" si="14"/>
        <v>72.907999999999987</v>
      </c>
    </row>
    <row r="319" spans="2:9" x14ac:dyDescent="0.2">
      <c r="B319" s="191">
        <f t="shared" si="12"/>
        <v>45750</v>
      </c>
      <c r="C319" s="81">
        <v>147.94999999999999</v>
      </c>
      <c r="D319" s="81"/>
      <c r="E319" s="81">
        <v>77.05</v>
      </c>
      <c r="F319" s="81">
        <v>440</v>
      </c>
      <c r="G319" s="11">
        <f t="shared" si="13"/>
        <v>362.95</v>
      </c>
      <c r="H319" s="11">
        <f>IFERROR(IF(Yearending&gt;B318,'5. Historical demand'!F319-'5. Historical demand'!C319-'5. Historical demand'!D319,""),"")</f>
        <v>292.05</v>
      </c>
      <c r="I319" s="11">
        <f t="shared" si="14"/>
        <v>70.899999999999991</v>
      </c>
    </row>
    <row r="320" spans="2:9" x14ac:dyDescent="0.2">
      <c r="B320" s="191">
        <f t="shared" si="12"/>
        <v>45751</v>
      </c>
      <c r="C320" s="81">
        <v>147.94999999999999</v>
      </c>
      <c r="D320" s="81"/>
      <c r="E320" s="81">
        <v>72.614999999999995</v>
      </c>
      <c r="F320" s="81">
        <v>440</v>
      </c>
      <c r="G320" s="11">
        <f t="shared" si="13"/>
        <v>367.38499999999999</v>
      </c>
      <c r="H320" s="11">
        <f>IFERROR(IF(Yearending&gt;B319,'5. Historical demand'!F320-'5. Historical demand'!C320-'5. Historical demand'!D320,""),"")</f>
        <v>292.05</v>
      </c>
      <c r="I320" s="11">
        <f t="shared" si="14"/>
        <v>75.334999999999994</v>
      </c>
    </row>
    <row r="321" spans="2:9" x14ac:dyDescent="0.2">
      <c r="B321" s="191">
        <f t="shared" si="12"/>
        <v>45752</v>
      </c>
      <c r="C321" s="81">
        <v>147.94999999999999</v>
      </c>
      <c r="D321" s="81"/>
      <c r="E321" s="81">
        <v>125.05</v>
      </c>
      <c r="F321" s="81">
        <v>440</v>
      </c>
      <c r="G321" s="11">
        <f t="shared" si="13"/>
        <v>314.95</v>
      </c>
      <c r="H321" s="11">
        <f>IFERROR(IF(Yearending&gt;B320,'5. Historical demand'!F321-'5. Historical demand'!C321-'5. Historical demand'!D321,""),"")</f>
        <v>292.05</v>
      </c>
      <c r="I321" s="11">
        <f t="shared" si="14"/>
        <v>22.899999999999991</v>
      </c>
    </row>
    <row r="322" spans="2:9" x14ac:dyDescent="0.2">
      <c r="B322" s="191">
        <f t="shared" si="12"/>
        <v>45753</v>
      </c>
      <c r="C322" s="81">
        <v>147.94999999999999</v>
      </c>
      <c r="D322" s="81"/>
      <c r="E322" s="81">
        <v>102.126</v>
      </c>
      <c r="F322" s="81">
        <v>440</v>
      </c>
      <c r="G322" s="11">
        <f t="shared" si="13"/>
        <v>337.87400000000002</v>
      </c>
      <c r="H322" s="11">
        <f>IFERROR(IF(Yearending&gt;B321,'5. Historical demand'!F322-'5. Historical demand'!C322-'5. Historical demand'!D322,""),"")</f>
        <v>292.05</v>
      </c>
      <c r="I322" s="11">
        <f t="shared" si="14"/>
        <v>45.823999999999984</v>
      </c>
    </row>
    <row r="323" spans="2:9" x14ac:dyDescent="0.2">
      <c r="B323" s="191">
        <f t="shared" si="12"/>
        <v>45754</v>
      </c>
      <c r="C323" s="81">
        <v>147.94999999999999</v>
      </c>
      <c r="D323" s="81"/>
      <c r="E323" s="81">
        <v>75.819000000000003</v>
      </c>
      <c r="F323" s="81">
        <v>440</v>
      </c>
      <c r="G323" s="11">
        <f t="shared" si="13"/>
        <v>364.18099999999998</v>
      </c>
      <c r="H323" s="11">
        <f>IFERROR(IF(Yearending&gt;B322,'5. Historical demand'!F323-'5. Historical demand'!C323-'5. Historical demand'!D323,""),"")</f>
        <v>292.05</v>
      </c>
      <c r="I323" s="11">
        <f t="shared" si="14"/>
        <v>72.130999999999986</v>
      </c>
    </row>
    <row r="324" spans="2:9" x14ac:dyDescent="0.2">
      <c r="B324" s="191">
        <f t="shared" si="12"/>
        <v>45755</v>
      </c>
      <c r="C324" s="81">
        <v>147.94999999999999</v>
      </c>
      <c r="D324" s="81"/>
      <c r="E324" s="81">
        <v>53.619</v>
      </c>
      <c r="F324" s="81">
        <v>440</v>
      </c>
      <c r="G324" s="11">
        <f t="shared" si="13"/>
        <v>386.38099999999997</v>
      </c>
      <c r="H324" s="11">
        <f>IFERROR(IF(Yearending&gt;B323,'5. Historical demand'!F324-'5. Historical demand'!C324-'5. Historical demand'!D324,""),"")</f>
        <v>292.05</v>
      </c>
      <c r="I324" s="11">
        <f t="shared" si="14"/>
        <v>94.330999999999989</v>
      </c>
    </row>
    <row r="325" spans="2:9" x14ac:dyDescent="0.2">
      <c r="B325" s="191">
        <f t="shared" si="12"/>
        <v>45756</v>
      </c>
      <c r="C325" s="81">
        <v>147.94999999999999</v>
      </c>
      <c r="D325" s="81"/>
      <c r="E325" s="81">
        <v>54.073999999999998</v>
      </c>
      <c r="F325" s="81">
        <v>440</v>
      </c>
      <c r="G325" s="11">
        <f t="shared" si="13"/>
        <v>385.92599999999999</v>
      </c>
      <c r="H325" s="11">
        <f>IFERROR(IF(Yearending&gt;B324,'5. Historical demand'!F325-'5. Historical demand'!C325-'5. Historical demand'!D325,""),"")</f>
        <v>292.05</v>
      </c>
      <c r="I325" s="11">
        <f t="shared" si="14"/>
        <v>93.875999999999991</v>
      </c>
    </row>
    <row r="326" spans="2:9" x14ac:dyDescent="0.2">
      <c r="B326" s="191">
        <f t="shared" si="12"/>
        <v>45757</v>
      </c>
      <c r="C326" s="81">
        <v>147.94999999999999</v>
      </c>
      <c r="D326" s="81"/>
      <c r="E326" s="81">
        <v>91.893000000000001</v>
      </c>
      <c r="F326" s="81">
        <v>440</v>
      </c>
      <c r="G326" s="11">
        <f t="shared" si="13"/>
        <v>348.10699999999997</v>
      </c>
      <c r="H326" s="11">
        <f>IFERROR(IF(Yearending&gt;B325,'5. Historical demand'!F326-'5. Historical demand'!C326-'5. Historical demand'!D326,""),"")</f>
        <v>292.05</v>
      </c>
      <c r="I326" s="11">
        <f t="shared" si="14"/>
        <v>56.056999999999988</v>
      </c>
    </row>
    <row r="327" spans="2:9" x14ac:dyDescent="0.2">
      <c r="B327" s="191">
        <f t="shared" si="12"/>
        <v>45758</v>
      </c>
      <c r="C327" s="81">
        <v>147.94999999999999</v>
      </c>
      <c r="D327" s="81"/>
      <c r="E327" s="81">
        <v>49.624000000000002</v>
      </c>
      <c r="F327" s="81">
        <v>440</v>
      </c>
      <c r="G327" s="11">
        <f t="shared" si="13"/>
        <v>390.37599999999998</v>
      </c>
      <c r="H327" s="11">
        <f>IFERROR(IF(Yearending&gt;B326,'5. Historical demand'!F327-'5. Historical demand'!C327-'5. Historical demand'!D327,""),"")</f>
        <v>292.05</v>
      </c>
      <c r="I327" s="11">
        <f t="shared" si="14"/>
        <v>98.325999999999993</v>
      </c>
    </row>
    <row r="328" spans="2:9" x14ac:dyDescent="0.2">
      <c r="B328" s="191">
        <f t="shared" si="12"/>
        <v>45759</v>
      </c>
      <c r="C328" s="81">
        <v>147.94999999999999</v>
      </c>
      <c r="D328" s="81"/>
      <c r="E328" s="81">
        <v>69.623999999999995</v>
      </c>
      <c r="F328" s="81">
        <v>440</v>
      </c>
      <c r="G328" s="11">
        <f t="shared" si="13"/>
        <v>370.37599999999998</v>
      </c>
      <c r="H328" s="11">
        <f>IFERROR(IF(Yearending&gt;B327,'5. Historical demand'!F328-'5. Historical demand'!C328-'5. Historical demand'!D328,""),"")</f>
        <v>292.05</v>
      </c>
      <c r="I328" s="11">
        <f t="shared" si="14"/>
        <v>78.325999999999993</v>
      </c>
    </row>
    <row r="329" spans="2:9" x14ac:dyDescent="0.2">
      <c r="B329" s="191">
        <f t="shared" si="12"/>
        <v>45760</v>
      </c>
      <c r="C329" s="81">
        <v>147.94999999999999</v>
      </c>
      <c r="D329" s="81"/>
      <c r="E329" s="81">
        <v>64.39</v>
      </c>
      <c r="F329" s="81">
        <v>440</v>
      </c>
      <c r="G329" s="11">
        <f t="shared" si="13"/>
        <v>375.61</v>
      </c>
      <c r="H329" s="11">
        <f>IFERROR(IF(Yearending&gt;B328,'5. Historical demand'!F329-'5. Historical demand'!C329-'5. Historical demand'!D329,""),"")</f>
        <v>292.05</v>
      </c>
      <c r="I329" s="11">
        <f t="shared" si="14"/>
        <v>83.559999999999988</v>
      </c>
    </row>
    <row r="330" spans="2:9" x14ac:dyDescent="0.2">
      <c r="B330" s="191">
        <f t="shared" si="12"/>
        <v>45761</v>
      </c>
      <c r="C330" s="81">
        <v>147.94999999999999</v>
      </c>
      <c r="D330" s="81"/>
      <c r="E330" s="81">
        <v>51.393000000000001</v>
      </c>
      <c r="F330" s="81">
        <v>440</v>
      </c>
      <c r="G330" s="11">
        <f t="shared" si="13"/>
        <v>388.60699999999997</v>
      </c>
      <c r="H330" s="11">
        <f>IFERROR(IF(Yearending&gt;B329,'5. Historical demand'!F330-'5. Historical demand'!C330-'5. Historical demand'!D330,""),"")</f>
        <v>292.05</v>
      </c>
      <c r="I330" s="11">
        <f t="shared" si="14"/>
        <v>96.556999999999988</v>
      </c>
    </row>
    <row r="331" spans="2:9" x14ac:dyDescent="0.2">
      <c r="B331" s="191">
        <f t="shared" si="12"/>
        <v>45762</v>
      </c>
      <c r="C331" s="81">
        <v>147.94999999999999</v>
      </c>
      <c r="D331" s="81"/>
      <c r="E331" s="81">
        <v>43.393000000000001</v>
      </c>
      <c r="F331" s="81">
        <v>440</v>
      </c>
      <c r="G331" s="11">
        <f t="shared" si="13"/>
        <v>396.60699999999997</v>
      </c>
      <c r="H331" s="11">
        <f>IFERROR(IF(Yearending&gt;B330,'5. Historical demand'!F331-'5. Historical demand'!C331-'5. Historical demand'!D331,""),"")</f>
        <v>292.05</v>
      </c>
      <c r="I331" s="11">
        <f t="shared" si="14"/>
        <v>104.55699999999999</v>
      </c>
    </row>
    <row r="332" spans="2:9" x14ac:dyDescent="0.2">
      <c r="B332" s="191">
        <f t="shared" si="12"/>
        <v>45763</v>
      </c>
      <c r="C332" s="81">
        <v>147.94999999999999</v>
      </c>
      <c r="D332" s="81"/>
      <c r="E332" s="81">
        <v>147.001</v>
      </c>
      <c r="F332" s="81">
        <v>440</v>
      </c>
      <c r="G332" s="11">
        <f t="shared" si="13"/>
        <v>292.99900000000002</v>
      </c>
      <c r="H332" s="11">
        <f>IFERROR(IF(Yearending&gt;B331,'5. Historical demand'!F332-'5. Historical demand'!C332-'5. Historical demand'!D332,""),"")</f>
        <v>292.05</v>
      </c>
      <c r="I332" s="11">
        <f t="shared" si="14"/>
        <v>0.94899999999998386</v>
      </c>
    </row>
    <row r="333" spans="2:9" x14ac:dyDescent="0.2">
      <c r="B333" s="191">
        <f t="shared" si="12"/>
        <v>45764</v>
      </c>
      <c r="C333" s="81">
        <v>147.94999999999999</v>
      </c>
      <c r="D333" s="81"/>
      <c r="E333" s="81">
        <v>111.625</v>
      </c>
      <c r="F333" s="81">
        <v>440</v>
      </c>
      <c r="G333" s="11">
        <f t="shared" si="13"/>
        <v>328.375</v>
      </c>
      <c r="H333" s="11">
        <f>IFERROR(IF(Yearending&gt;B332,'5. Historical demand'!F333-'5. Historical demand'!C333-'5. Historical demand'!D333,""),"")</f>
        <v>292.05</v>
      </c>
      <c r="I333" s="11">
        <f t="shared" si="14"/>
        <v>36.324999999999989</v>
      </c>
    </row>
    <row r="334" spans="2:9" x14ac:dyDescent="0.2">
      <c r="B334" s="191">
        <f t="shared" si="12"/>
        <v>45765</v>
      </c>
      <c r="C334" s="81">
        <v>147.94999999999999</v>
      </c>
      <c r="D334" s="81"/>
      <c r="E334" s="81">
        <v>23.393999999999998</v>
      </c>
      <c r="F334" s="81">
        <v>440</v>
      </c>
      <c r="G334" s="11">
        <f t="shared" si="13"/>
        <v>416.60599999999999</v>
      </c>
      <c r="H334" s="11">
        <f>IFERROR(IF(Yearending&gt;B333,'5. Historical demand'!F334-'5. Historical demand'!C334-'5. Historical demand'!D334,""),"")</f>
        <v>292.05</v>
      </c>
      <c r="I334" s="11">
        <f t="shared" si="14"/>
        <v>124.55599999999998</v>
      </c>
    </row>
    <row r="335" spans="2:9" x14ac:dyDescent="0.2">
      <c r="B335" s="191">
        <f t="shared" si="12"/>
        <v>45766</v>
      </c>
      <c r="C335" s="81">
        <v>147.94999999999999</v>
      </c>
      <c r="D335" s="81"/>
      <c r="E335" s="81">
        <v>16.393999999999998</v>
      </c>
      <c r="F335" s="81">
        <v>440</v>
      </c>
      <c r="G335" s="11">
        <f t="shared" si="13"/>
        <v>423.60599999999999</v>
      </c>
      <c r="H335" s="11">
        <f>IFERROR(IF(Yearending&gt;B334,'5. Historical demand'!F335-'5. Historical demand'!C335-'5. Historical demand'!D335,""),"")</f>
        <v>292.05</v>
      </c>
      <c r="I335" s="11">
        <f t="shared" si="14"/>
        <v>131.55599999999998</v>
      </c>
    </row>
    <row r="336" spans="2:9" x14ac:dyDescent="0.2">
      <c r="B336" s="191">
        <f t="shared" si="12"/>
        <v>45767</v>
      </c>
      <c r="C336" s="81">
        <v>147.94999999999999</v>
      </c>
      <c r="D336" s="81"/>
      <c r="E336" s="81">
        <v>31.393999999999998</v>
      </c>
      <c r="F336" s="81">
        <v>440</v>
      </c>
      <c r="G336" s="11">
        <f t="shared" si="13"/>
        <v>408.60599999999999</v>
      </c>
      <c r="H336" s="11">
        <f>IFERROR(IF(Yearending&gt;B335,'5. Historical demand'!F336-'5. Historical demand'!C336-'5. Historical demand'!D336,""),"")</f>
        <v>292.05</v>
      </c>
      <c r="I336" s="11">
        <f t="shared" si="14"/>
        <v>116.55599999999998</v>
      </c>
    </row>
    <row r="337" spans="2:9" x14ac:dyDescent="0.2">
      <c r="B337" s="191">
        <f t="shared" si="12"/>
        <v>45768</v>
      </c>
      <c r="C337" s="81">
        <v>147.94999999999999</v>
      </c>
      <c r="D337" s="81"/>
      <c r="E337" s="81">
        <v>35.622</v>
      </c>
      <c r="F337" s="81">
        <v>440</v>
      </c>
      <c r="G337" s="11">
        <f t="shared" si="13"/>
        <v>404.37799999999999</v>
      </c>
      <c r="H337" s="11">
        <f>IFERROR(IF(Yearending&gt;B336,'5. Historical demand'!F337-'5. Historical demand'!C337-'5. Historical demand'!D337,""),"")</f>
        <v>292.05</v>
      </c>
      <c r="I337" s="11">
        <f t="shared" si="14"/>
        <v>112.32799999999999</v>
      </c>
    </row>
    <row r="338" spans="2:9" x14ac:dyDescent="0.2">
      <c r="B338" s="191">
        <f t="shared" si="12"/>
        <v>45769</v>
      </c>
      <c r="C338" s="81">
        <v>147.94999999999999</v>
      </c>
      <c r="D338" s="81"/>
      <c r="E338" s="81">
        <v>7.4989999999999997</v>
      </c>
      <c r="F338" s="81">
        <v>440</v>
      </c>
      <c r="G338" s="11">
        <f t="shared" si="13"/>
        <v>432.50099999999998</v>
      </c>
      <c r="H338" s="11">
        <f>IFERROR(IF(Yearending&gt;B337,'5. Historical demand'!F338-'5. Historical demand'!C338-'5. Historical demand'!D338,""),"")</f>
        <v>292.05</v>
      </c>
      <c r="I338" s="11">
        <f t="shared" si="14"/>
        <v>140.45099999999999</v>
      </c>
    </row>
    <row r="339" spans="2:9" x14ac:dyDescent="0.2">
      <c r="B339" s="191">
        <f t="shared" si="12"/>
        <v>45770</v>
      </c>
      <c r="C339" s="81">
        <v>147.94999999999999</v>
      </c>
      <c r="D339" s="81"/>
      <c r="E339" s="81">
        <v>25.481999999999999</v>
      </c>
      <c r="F339" s="81">
        <v>440</v>
      </c>
      <c r="G339" s="11">
        <f t="shared" si="13"/>
        <v>414.51800000000003</v>
      </c>
      <c r="H339" s="11">
        <f>IFERROR(IF(Yearending&gt;B338,'5. Historical demand'!F339-'5. Historical demand'!C339-'5. Historical demand'!D339,""),"")</f>
        <v>292.05</v>
      </c>
      <c r="I339" s="11">
        <f t="shared" si="14"/>
        <v>122.46799999999999</v>
      </c>
    </row>
    <row r="340" spans="2:9" x14ac:dyDescent="0.2">
      <c r="B340" s="191">
        <f t="shared" si="12"/>
        <v>45771</v>
      </c>
      <c r="C340" s="81">
        <v>147.94999999999999</v>
      </c>
      <c r="D340" s="81"/>
      <c r="E340" s="81">
        <v>27.882000000000001</v>
      </c>
      <c r="F340" s="81">
        <v>440</v>
      </c>
      <c r="G340" s="11">
        <f t="shared" si="13"/>
        <v>412.11799999999999</v>
      </c>
      <c r="H340" s="11">
        <f>IFERROR(IF(Yearending&gt;B339,'5. Historical demand'!F340-'5. Historical demand'!C340-'5. Historical demand'!D340,""),"")</f>
        <v>292.05</v>
      </c>
      <c r="I340" s="11">
        <f t="shared" si="14"/>
        <v>120.06799999999998</v>
      </c>
    </row>
    <row r="341" spans="2:9" x14ac:dyDescent="0.2">
      <c r="B341" s="191">
        <f t="shared" si="12"/>
        <v>45772</v>
      </c>
      <c r="C341" s="81">
        <v>147.94999999999999</v>
      </c>
      <c r="D341" s="81"/>
      <c r="E341" s="81">
        <v>39.979999999999997</v>
      </c>
      <c r="F341" s="81">
        <v>440</v>
      </c>
      <c r="G341" s="11">
        <f t="shared" si="13"/>
        <v>400.02</v>
      </c>
      <c r="H341" s="11">
        <f>IFERROR(IF(Yearending&gt;B340,'5. Historical demand'!F341-'5. Historical demand'!C341-'5. Historical demand'!D341,""),"")</f>
        <v>292.05</v>
      </c>
      <c r="I341" s="11">
        <f t="shared" si="14"/>
        <v>107.97</v>
      </c>
    </row>
    <row r="342" spans="2:9" x14ac:dyDescent="0.2">
      <c r="B342" s="191">
        <f t="shared" si="12"/>
        <v>45773</v>
      </c>
      <c r="C342" s="81">
        <v>147.94999999999999</v>
      </c>
      <c r="D342" s="81"/>
      <c r="E342" s="81">
        <v>59.881999999999998</v>
      </c>
      <c r="F342" s="81">
        <v>440</v>
      </c>
      <c r="G342" s="11">
        <f t="shared" si="13"/>
        <v>380.11799999999999</v>
      </c>
      <c r="H342" s="11">
        <f>IFERROR(IF(Yearending&gt;B341,'5. Historical demand'!F342-'5. Historical demand'!C342-'5. Historical demand'!D342,""),"")</f>
        <v>292.05</v>
      </c>
      <c r="I342" s="11">
        <f t="shared" si="14"/>
        <v>88.067999999999984</v>
      </c>
    </row>
    <row r="343" spans="2:9" x14ac:dyDescent="0.2">
      <c r="B343" s="191">
        <f t="shared" si="12"/>
        <v>45774</v>
      </c>
      <c r="C343" s="81">
        <v>147.94999999999999</v>
      </c>
      <c r="D343" s="81"/>
      <c r="E343" s="81">
        <v>95.674000000000007</v>
      </c>
      <c r="F343" s="81">
        <v>440</v>
      </c>
      <c r="G343" s="11">
        <f t="shared" si="13"/>
        <v>344.32600000000002</v>
      </c>
      <c r="H343" s="11">
        <f>IFERROR(IF(Yearending&gt;B342,'5. Historical demand'!F343-'5. Historical demand'!C343-'5. Historical demand'!D343,""),"")</f>
        <v>292.05</v>
      </c>
      <c r="I343" s="11">
        <f t="shared" si="14"/>
        <v>52.275999999999982</v>
      </c>
    </row>
    <row r="344" spans="2:9" x14ac:dyDescent="0.2">
      <c r="B344" s="191">
        <f t="shared" si="12"/>
        <v>45775</v>
      </c>
      <c r="C344" s="81">
        <v>147.94999999999999</v>
      </c>
      <c r="D344" s="81"/>
      <c r="E344" s="81">
        <v>81.682000000000002</v>
      </c>
      <c r="F344" s="81">
        <v>440</v>
      </c>
      <c r="G344" s="11">
        <f t="shared" si="13"/>
        <v>358.31799999999998</v>
      </c>
      <c r="H344" s="11">
        <f>IFERROR(IF(Yearending&gt;B343,'5. Historical demand'!F344-'5. Historical demand'!C344-'5. Historical demand'!D344,""),"")</f>
        <v>292.05</v>
      </c>
      <c r="I344" s="11">
        <f t="shared" si="14"/>
        <v>66.267999999999986</v>
      </c>
    </row>
    <row r="345" spans="2:9" x14ac:dyDescent="0.2">
      <c r="B345" s="191">
        <f t="shared" si="12"/>
        <v>45776</v>
      </c>
      <c r="C345" s="81">
        <v>147.94999999999999</v>
      </c>
      <c r="D345" s="81"/>
      <c r="E345" s="81">
        <v>66.677000000000007</v>
      </c>
      <c r="F345" s="81">
        <v>440</v>
      </c>
      <c r="G345" s="11">
        <f t="shared" si="13"/>
        <v>373.32299999999998</v>
      </c>
      <c r="H345" s="11">
        <f>IFERROR(IF(Yearending&gt;B344,'5. Historical demand'!F345-'5. Historical demand'!C345-'5. Historical demand'!D345,""),"")</f>
        <v>292.05</v>
      </c>
      <c r="I345" s="11">
        <f t="shared" si="14"/>
        <v>81.272999999999982</v>
      </c>
    </row>
    <row r="346" spans="2:9" x14ac:dyDescent="0.2">
      <c r="B346" s="191">
        <f t="shared" si="12"/>
        <v>45777</v>
      </c>
      <c r="C346" s="81">
        <v>147.94999999999999</v>
      </c>
      <c r="D346" s="81"/>
      <c r="E346" s="81">
        <v>78.680999999999997</v>
      </c>
      <c r="F346" s="81">
        <v>440</v>
      </c>
      <c r="G346" s="11">
        <f t="shared" si="13"/>
        <v>361.31900000000002</v>
      </c>
      <c r="H346" s="11">
        <f>IFERROR(IF(Yearending&gt;B345,'5. Historical demand'!F346-'5. Historical demand'!C346-'5. Historical demand'!D346,""),"")</f>
        <v>292.05</v>
      </c>
      <c r="I346" s="11">
        <f t="shared" si="14"/>
        <v>69.268999999999991</v>
      </c>
    </row>
    <row r="347" spans="2:9" x14ac:dyDescent="0.2">
      <c r="B347" s="191">
        <f t="shared" si="12"/>
        <v>45778</v>
      </c>
      <c r="C347" s="81">
        <v>164</v>
      </c>
      <c r="D347" s="81"/>
      <c r="E347" s="81">
        <v>78.882000000000005</v>
      </c>
      <c r="F347" s="81">
        <v>440</v>
      </c>
      <c r="G347" s="11">
        <f t="shared" si="13"/>
        <v>361.11799999999999</v>
      </c>
      <c r="H347" s="11">
        <f>IFERROR(IF(Yearending&gt;B346,'5. Historical demand'!F347-'5. Historical demand'!C347-'5. Historical demand'!D347,""),"")</f>
        <v>276</v>
      </c>
      <c r="I347" s="11">
        <f t="shared" si="14"/>
        <v>85.117999999999995</v>
      </c>
    </row>
    <row r="348" spans="2:9" x14ac:dyDescent="0.2">
      <c r="B348" s="191">
        <f t="shared" si="12"/>
        <v>45779</v>
      </c>
      <c r="C348" s="81">
        <v>164</v>
      </c>
      <c r="D348" s="81"/>
      <c r="E348" s="81">
        <v>72.283000000000001</v>
      </c>
      <c r="F348" s="81">
        <v>440</v>
      </c>
      <c r="G348" s="11">
        <f t="shared" si="13"/>
        <v>367.71699999999998</v>
      </c>
      <c r="H348" s="11">
        <f>IFERROR(IF(Yearending&gt;B347,'5. Historical demand'!F348-'5. Historical demand'!C348-'5. Historical demand'!D348,""),"")</f>
        <v>276</v>
      </c>
      <c r="I348" s="11">
        <f t="shared" si="14"/>
        <v>91.716999999999999</v>
      </c>
    </row>
    <row r="349" spans="2:9" x14ac:dyDescent="0.2">
      <c r="B349" s="191">
        <f t="shared" si="12"/>
        <v>45780</v>
      </c>
      <c r="C349" s="81">
        <v>164</v>
      </c>
      <c r="D349" s="81"/>
      <c r="E349" s="81">
        <v>65.05</v>
      </c>
      <c r="F349" s="81">
        <v>440</v>
      </c>
      <c r="G349" s="11">
        <f t="shared" si="13"/>
        <v>374.95</v>
      </c>
      <c r="H349" s="11">
        <f>IFERROR(IF(Yearending&gt;B348,'5. Historical demand'!F349-'5. Historical demand'!C349-'5. Historical demand'!D349,""),"")</f>
        <v>276</v>
      </c>
      <c r="I349" s="11">
        <f t="shared" si="14"/>
        <v>98.95</v>
      </c>
    </row>
    <row r="350" spans="2:9" x14ac:dyDescent="0.2">
      <c r="B350" s="191">
        <f t="shared" si="12"/>
        <v>45781</v>
      </c>
      <c r="C350" s="81">
        <v>164</v>
      </c>
      <c r="D350" s="81"/>
      <c r="E350" s="81">
        <v>44.68</v>
      </c>
      <c r="F350" s="81">
        <v>440</v>
      </c>
      <c r="G350" s="11">
        <f t="shared" si="13"/>
        <v>395.32</v>
      </c>
      <c r="H350" s="11">
        <f>IFERROR(IF(Yearending&gt;B349,'5. Historical demand'!F350-'5. Historical demand'!C350-'5. Historical demand'!D350,""),"")</f>
        <v>276</v>
      </c>
      <c r="I350" s="11">
        <f t="shared" si="14"/>
        <v>119.32</v>
      </c>
    </row>
    <row r="351" spans="2:9" x14ac:dyDescent="0.2">
      <c r="B351" s="191">
        <f t="shared" si="12"/>
        <v>45782</v>
      </c>
      <c r="C351" s="81">
        <v>164</v>
      </c>
      <c r="D351" s="81"/>
      <c r="E351" s="81">
        <v>44.68</v>
      </c>
      <c r="F351" s="81">
        <v>440</v>
      </c>
      <c r="G351" s="11">
        <f t="shared" si="13"/>
        <v>395.32</v>
      </c>
      <c r="H351" s="11">
        <f>IFERROR(IF(Yearending&gt;B350,'5. Historical demand'!F351-'5. Historical demand'!C351-'5. Historical demand'!D351,""),"")</f>
        <v>276</v>
      </c>
      <c r="I351" s="11">
        <f t="shared" si="14"/>
        <v>119.32</v>
      </c>
    </row>
    <row r="352" spans="2:9" x14ac:dyDescent="0.2">
      <c r="B352" s="191">
        <f t="shared" si="12"/>
        <v>45783</v>
      </c>
      <c r="C352" s="81">
        <v>164</v>
      </c>
      <c r="D352" s="81"/>
      <c r="E352" s="81">
        <v>46.076999999999998</v>
      </c>
      <c r="F352" s="81">
        <v>440</v>
      </c>
      <c r="G352" s="11">
        <f t="shared" si="13"/>
        <v>393.923</v>
      </c>
      <c r="H352" s="11">
        <f>IFERROR(IF(Yearending&gt;B351,'5. Historical demand'!F352-'5. Historical demand'!C352-'5. Historical demand'!D352,""),"")</f>
        <v>276</v>
      </c>
      <c r="I352" s="11">
        <f t="shared" si="14"/>
        <v>117.923</v>
      </c>
    </row>
    <row r="353" spans="2:9" x14ac:dyDescent="0.2">
      <c r="B353" s="191">
        <f t="shared" si="12"/>
        <v>45784</v>
      </c>
      <c r="C353" s="81">
        <v>164</v>
      </c>
      <c r="D353" s="81"/>
      <c r="E353" s="81">
        <v>0.28299999999999997</v>
      </c>
      <c r="F353" s="81">
        <v>440</v>
      </c>
      <c r="G353" s="11">
        <f t="shared" si="13"/>
        <v>439.71699999999998</v>
      </c>
      <c r="H353" s="11">
        <f>IFERROR(IF(Yearending&gt;B352,'5. Historical demand'!F353-'5. Historical demand'!C353-'5. Historical demand'!D353,""),"")</f>
        <v>276</v>
      </c>
      <c r="I353" s="11">
        <f t="shared" si="14"/>
        <v>163.71700000000001</v>
      </c>
    </row>
    <row r="354" spans="2:9" x14ac:dyDescent="0.2">
      <c r="B354" s="191">
        <f t="shared" si="12"/>
        <v>45785</v>
      </c>
      <c r="C354" s="81">
        <v>164</v>
      </c>
      <c r="D354" s="81"/>
      <c r="E354" s="81">
        <v>30.783999999999999</v>
      </c>
      <c r="F354" s="81">
        <v>440</v>
      </c>
      <c r="G354" s="11">
        <f t="shared" si="13"/>
        <v>409.21600000000001</v>
      </c>
      <c r="H354" s="11">
        <f>IFERROR(IF(Yearending&gt;B353,'5. Historical demand'!F354-'5. Historical demand'!C354-'5. Historical demand'!D354,""),"")</f>
        <v>276</v>
      </c>
      <c r="I354" s="11">
        <f t="shared" si="14"/>
        <v>133.21600000000001</v>
      </c>
    </row>
    <row r="355" spans="2:9" x14ac:dyDescent="0.2">
      <c r="B355" s="191">
        <f t="shared" si="12"/>
        <v>45786</v>
      </c>
      <c r="C355" s="81">
        <v>164</v>
      </c>
      <c r="D355" s="81"/>
      <c r="E355" s="81">
        <v>47.680999999999997</v>
      </c>
      <c r="F355" s="81">
        <v>440</v>
      </c>
      <c r="G355" s="11">
        <f t="shared" si="13"/>
        <v>392.31900000000002</v>
      </c>
      <c r="H355" s="11">
        <f>IFERROR(IF(Yearending&gt;B354,'5. Historical demand'!F355-'5. Historical demand'!C355-'5. Historical demand'!D355,""),"")</f>
        <v>276</v>
      </c>
      <c r="I355" s="11">
        <f t="shared" si="14"/>
        <v>116.319</v>
      </c>
    </row>
    <row r="356" spans="2:9" x14ac:dyDescent="0.2">
      <c r="B356" s="191">
        <f t="shared" si="12"/>
        <v>45787</v>
      </c>
      <c r="C356" s="81">
        <v>164</v>
      </c>
      <c r="D356" s="81"/>
      <c r="E356" s="81">
        <v>105.05</v>
      </c>
      <c r="F356" s="81">
        <v>440</v>
      </c>
      <c r="G356" s="11">
        <f t="shared" si="13"/>
        <v>334.95</v>
      </c>
      <c r="H356" s="11">
        <f>IFERROR(IF(Yearending&gt;B355,'5. Historical demand'!F356-'5. Historical demand'!C356-'5. Historical demand'!D356,""),"")</f>
        <v>276</v>
      </c>
      <c r="I356" s="11">
        <f t="shared" si="14"/>
        <v>58.95</v>
      </c>
    </row>
    <row r="357" spans="2:9" x14ac:dyDescent="0.2">
      <c r="B357" s="191">
        <f t="shared" si="12"/>
        <v>45788</v>
      </c>
      <c r="C357" s="81">
        <v>164</v>
      </c>
      <c r="D357" s="81"/>
      <c r="E357" s="81">
        <v>114.051</v>
      </c>
      <c r="F357" s="81">
        <v>440</v>
      </c>
      <c r="G357" s="11">
        <f t="shared" si="13"/>
        <v>325.94900000000001</v>
      </c>
      <c r="H357" s="11">
        <f>IFERROR(IF(Yearending&gt;B356,'5. Historical demand'!F357-'5. Historical demand'!C357-'5. Historical demand'!D357,""),"")</f>
        <v>276</v>
      </c>
      <c r="I357" s="11">
        <f t="shared" si="14"/>
        <v>49.948999999999998</v>
      </c>
    </row>
    <row r="358" spans="2:9" x14ac:dyDescent="0.2">
      <c r="B358" s="191">
        <f t="shared" si="12"/>
        <v>45789</v>
      </c>
      <c r="C358" s="81">
        <v>164</v>
      </c>
      <c r="D358" s="81"/>
      <c r="E358" s="81">
        <v>105.574</v>
      </c>
      <c r="F358" s="81">
        <v>440</v>
      </c>
      <c r="G358" s="11">
        <f t="shared" si="13"/>
        <v>334.42599999999999</v>
      </c>
      <c r="H358" s="11">
        <f>IFERROR(IF(Yearending&gt;B357,'5. Historical demand'!F358-'5. Historical demand'!C358-'5. Historical demand'!D358,""),"")</f>
        <v>276</v>
      </c>
      <c r="I358" s="11">
        <f t="shared" si="14"/>
        <v>58.426000000000002</v>
      </c>
    </row>
    <row r="359" spans="2:9" x14ac:dyDescent="0.2">
      <c r="B359" s="191">
        <f t="shared" si="12"/>
        <v>45790</v>
      </c>
      <c r="C359" s="81">
        <v>164</v>
      </c>
      <c r="D359" s="81"/>
      <c r="E359" s="81">
        <v>91.581000000000003</v>
      </c>
      <c r="F359" s="81">
        <v>440</v>
      </c>
      <c r="G359" s="11">
        <f t="shared" si="13"/>
        <v>348.41899999999998</v>
      </c>
      <c r="H359" s="11">
        <f>IFERROR(IF(Yearending&gt;B358,'5. Historical demand'!F359-'5. Historical demand'!C359-'5. Historical demand'!D359,""),"")</f>
        <v>276</v>
      </c>
      <c r="I359" s="11">
        <f t="shared" si="14"/>
        <v>72.418999999999997</v>
      </c>
    </row>
    <row r="360" spans="2:9" x14ac:dyDescent="0.2">
      <c r="B360" s="191">
        <f t="shared" si="12"/>
        <v>45791</v>
      </c>
      <c r="C360" s="81">
        <v>164</v>
      </c>
      <c r="D360" s="81"/>
      <c r="E360" s="81">
        <v>71.539000000000001</v>
      </c>
      <c r="F360" s="81">
        <v>440</v>
      </c>
      <c r="G360" s="11">
        <f t="shared" si="13"/>
        <v>368.46100000000001</v>
      </c>
      <c r="H360" s="11">
        <f>IFERROR(IF(Yearending&gt;B359,'5. Historical demand'!F360-'5. Historical demand'!C360-'5. Historical demand'!D360,""),"")</f>
        <v>276</v>
      </c>
      <c r="I360" s="11">
        <f t="shared" si="14"/>
        <v>92.460999999999999</v>
      </c>
    </row>
    <row r="361" spans="2:9" x14ac:dyDescent="0.2">
      <c r="B361" s="191">
        <f t="shared" si="12"/>
        <v>45792</v>
      </c>
      <c r="C361" s="81">
        <v>164</v>
      </c>
      <c r="D361" s="81"/>
      <c r="E361" s="81">
        <v>3.45</v>
      </c>
      <c r="F361" s="81">
        <v>440</v>
      </c>
      <c r="G361" s="11">
        <f t="shared" si="13"/>
        <v>436.55</v>
      </c>
      <c r="H361" s="11">
        <f>IFERROR(IF(Yearending&gt;B360,'5. Historical demand'!F361-'5. Historical demand'!C361-'5. Historical demand'!D361,""),"")</f>
        <v>276</v>
      </c>
      <c r="I361" s="11">
        <f t="shared" si="14"/>
        <v>160.55000000000001</v>
      </c>
    </row>
    <row r="362" spans="2:9" x14ac:dyDescent="0.2">
      <c r="B362" s="191">
        <f t="shared" si="12"/>
        <v>45793</v>
      </c>
      <c r="C362" s="81">
        <v>164</v>
      </c>
      <c r="D362" s="81"/>
      <c r="E362" s="81">
        <v>159.05199999999999</v>
      </c>
      <c r="F362" s="81">
        <v>440</v>
      </c>
      <c r="G362" s="11">
        <f t="shared" si="13"/>
        <v>280.94799999999998</v>
      </c>
      <c r="H362" s="11">
        <f>IFERROR(IF(Yearending&gt;B361,'5. Historical demand'!F362-'5. Historical demand'!C362-'5. Historical demand'!D362,""),"")</f>
        <v>276</v>
      </c>
      <c r="I362" s="11">
        <f t="shared" si="14"/>
        <v>4.9480000000000075</v>
      </c>
    </row>
    <row r="363" spans="2:9" x14ac:dyDescent="0.2">
      <c r="B363" s="191">
        <f t="shared" si="12"/>
        <v>45794</v>
      </c>
      <c r="C363" s="81">
        <v>164</v>
      </c>
      <c r="D363" s="81"/>
      <c r="E363" s="81">
        <v>163.05099999999999</v>
      </c>
      <c r="F363" s="81">
        <v>440</v>
      </c>
      <c r="G363" s="11">
        <f t="shared" si="13"/>
        <v>276.94900000000001</v>
      </c>
      <c r="H363" s="11">
        <f>IFERROR(IF(Yearending&gt;B362,'5. Historical demand'!F363-'5. Historical demand'!C363-'5. Historical demand'!D363,""),"")</f>
        <v>276</v>
      </c>
      <c r="I363" s="11">
        <f t="shared" si="14"/>
        <v>0.94900000000001228</v>
      </c>
    </row>
    <row r="364" spans="2:9" x14ac:dyDescent="0.2">
      <c r="B364" s="191">
        <f t="shared" ref="B364:B408" si="15">IFERROR(IF(Yearending&gt;B363, B363+1, ""),"")</f>
        <v>45795</v>
      </c>
      <c r="C364" s="81">
        <v>164</v>
      </c>
      <c r="D364" s="81"/>
      <c r="E364" s="81">
        <v>156.828</v>
      </c>
      <c r="F364" s="81">
        <v>440</v>
      </c>
      <c r="G364" s="11">
        <f t="shared" ref="G364:G408" si="16">IFERROR(IF(Yearending&gt;B363,F364-E364,""),"")</f>
        <v>283.17200000000003</v>
      </c>
      <c r="H364" s="11">
        <f>IFERROR(IF(Yearending&gt;B363,'5. Historical demand'!F364-'5. Historical demand'!C364-'5. Historical demand'!D364,""),"")</f>
        <v>276</v>
      </c>
      <c r="I364" s="11">
        <f t="shared" ref="I364:I408" si="17">IFERROR(IF(Yearending&gt;B363,C364+D364-E364,""),"")</f>
        <v>7.171999999999997</v>
      </c>
    </row>
    <row r="365" spans="2:9" x14ac:dyDescent="0.2">
      <c r="B365" s="191">
        <f t="shared" si="15"/>
        <v>45796</v>
      </c>
      <c r="C365" s="81">
        <v>164</v>
      </c>
      <c r="D365" s="81"/>
      <c r="E365" s="81">
        <v>161.827</v>
      </c>
      <c r="F365" s="81">
        <v>440</v>
      </c>
      <c r="G365" s="11">
        <f t="shared" si="16"/>
        <v>278.173</v>
      </c>
      <c r="H365" s="11">
        <f>IFERROR(IF(Yearending&gt;B364,'5. Historical demand'!F365-'5. Historical demand'!C365-'5. Historical demand'!D365,""),"")</f>
        <v>276</v>
      </c>
      <c r="I365" s="11">
        <f t="shared" si="17"/>
        <v>2.1730000000000018</v>
      </c>
    </row>
    <row r="366" spans="2:9" x14ac:dyDescent="0.2">
      <c r="B366" s="191">
        <f t="shared" si="15"/>
        <v>45797</v>
      </c>
      <c r="C366" s="81">
        <v>164</v>
      </c>
      <c r="D366" s="81"/>
      <c r="E366" s="81">
        <v>160.03800000000001</v>
      </c>
      <c r="F366" s="81">
        <v>440</v>
      </c>
      <c r="G366" s="11">
        <f t="shared" si="16"/>
        <v>279.96199999999999</v>
      </c>
      <c r="H366" s="11">
        <f>IFERROR(IF(Yearending&gt;B365,'5. Historical demand'!F366-'5. Historical demand'!C366-'5. Historical demand'!D366,""),"")</f>
        <v>276</v>
      </c>
      <c r="I366" s="11">
        <f t="shared" si="17"/>
        <v>3.9619999999999891</v>
      </c>
    </row>
    <row r="367" spans="2:9" x14ac:dyDescent="0.2">
      <c r="B367" s="191">
        <f t="shared" si="15"/>
        <v>45798</v>
      </c>
      <c r="C367" s="81">
        <v>164</v>
      </c>
      <c r="D367" s="81"/>
      <c r="E367" s="81">
        <v>161.54499999999999</v>
      </c>
      <c r="F367" s="81">
        <v>440</v>
      </c>
      <c r="G367" s="11">
        <f t="shared" si="16"/>
        <v>278.45500000000004</v>
      </c>
      <c r="H367" s="11">
        <f>IFERROR(IF(Yearending&gt;B366,'5. Historical demand'!F367-'5. Historical demand'!C367-'5. Historical demand'!D367,""),"")</f>
        <v>276</v>
      </c>
      <c r="I367" s="11">
        <f t="shared" si="17"/>
        <v>2.4550000000000125</v>
      </c>
    </row>
    <row r="368" spans="2:9" x14ac:dyDescent="0.2">
      <c r="B368" s="191">
        <f t="shared" si="15"/>
        <v>45799</v>
      </c>
      <c r="C368" s="81">
        <v>164</v>
      </c>
      <c r="D368" s="81"/>
      <c r="E368" s="81">
        <v>164.048</v>
      </c>
      <c r="F368" s="81">
        <v>440</v>
      </c>
      <c r="G368" s="11">
        <f t="shared" si="16"/>
        <v>275.952</v>
      </c>
      <c r="H368" s="11">
        <f>IFERROR(IF(Yearending&gt;B367,'5. Historical demand'!F368-'5. Historical demand'!C368-'5. Historical demand'!D368,""),"")</f>
        <v>276</v>
      </c>
      <c r="I368" s="11">
        <f t="shared" si="17"/>
        <v>-4.8000000000001819E-2</v>
      </c>
    </row>
    <row r="369" spans="2:9" x14ac:dyDescent="0.2">
      <c r="B369" s="191">
        <f t="shared" si="15"/>
        <v>45800</v>
      </c>
      <c r="C369" s="81">
        <v>164</v>
      </c>
      <c r="D369" s="81"/>
      <c r="E369" s="81">
        <v>117.14400000000001</v>
      </c>
      <c r="F369" s="81">
        <v>440</v>
      </c>
      <c r="G369" s="11">
        <f t="shared" si="16"/>
        <v>322.85599999999999</v>
      </c>
      <c r="H369" s="11">
        <f>IFERROR(IF(Yearending&gt;B368,'5. Historical demand'!F369-'5. Historical demand'!C369-'5. Historical demand'!D369,""),"")</f>
        <v>276</v>
      </c>
      <c r="I369" s="11">
        <f t="shared" si="17"/>
        <v>46.855999999999995</v>
      </c>
    </row>
    <row r="370" spans="2:9" x14ac:dyDescent="0.2">
      <c r="B370" s="191">
        <f t="shared" si="15"/>
        <v>45801</v>
      </c>
      <c r="C370" s="81">
        <v>164</v>
      </c>
      <c r="D370" s="81"/>
      <c r="E370" s="81">
        <v>164.04900000000001</v>
      </c>
      <c r="F370" s="81">
        <v>440</v>
      </c>
      <c r="G370" s="11">
        <f t="shared" si="16"/>
        <v>275.95100000000002</v>
      </c>
      <c r="H370" s="11">
        <f>IFERROR(IF(Yearending&gt;B369,'5. Historical demand'!F370-'5. Historical demand'!C370-'5. Historical demand'!D370,""),"")</f>
        <v>276</v>
      </c>
      <c r="I370" s="11">
        <f t="shared" si="17"/>
        <v>-4.9000000000006594E-2</v>
      </c>
    </row>
    <row r="371" spans="2:9" x14ac:dyDescent="0.2">
      <c r="B371" s="191">
        <f t="shared" si="15"/>
        <v>45802</v>
      </c>
      <c r="C371" s="81">
        <v>164</v>
      </c>
      <c r="D371" s="81"/>
      <c r="E371" s="81">
        <v>164.05</v>
      </c>
      <c r="F371" s="81">
        <v>440</v>
      </c>
      <c r="G371" s="11">
        <f t="shared" si="16"/>
        <v>275.95</v>
      </c>
      <c r="H371" s="11">
        <f>IFERROR(IF(Yearending&gt;B370,'5. Historical demand'!F371-'5. Historical demand'!C371-'5. Historical demand'!D371,""),"")</f>
        <v>276</v>
      </c>
      <c r="I371" s="11">
        <f t="shared" si="17"/>
        <v>-5.0000000000011369E-2</v>
      </c>
    </row>
    <row r="372" spans="2:9" x14ac:dyDescent="0.2">
      <c r="B372" s="191">
        <f t="shared" si="15"/>
        <v>45803</v>
      </c>
      <c r="C372" s="81">
        <v>164</v>
      </c>
      <c r="D372" s="81"/>
      <c r="E372" s="81">
        <v>134.51</v>
      </c>
      <c r="F372" s="81">
        <v>440</v>
      </c>
      <c r="G372" s="11">
        <f t="shared" si="16"/>
        <v>305.49</v>
      </c>
      <c r="H372" s="11">
        <f>IFERROR(IF(Yearending&gt;B371,'5. Historical demand'!F372-'5. Historical demand'!C372-'5. Historical demand'!D372,""),"")</f>
        <v>276</v>
      </c>
      <c r="I372" s="11">
        <f t="shared" si="17"/>
        <v>29.490000000000009</v>
      </c>
    </row>
    <row r="373" spans="2:9" x14ac:dyDescent="0.2">
      <c r="B373" s="191">
        <f t="shared" si="15"/>
        <v>45804</v>
      </c>
      <c r="C373" s="81">
        <v>164</v>
      </c>
      <c r="D373" s="81"/>
      <c r="E373" s="81">
        <v>156.517</v>
      </c>
      <c r="F373" s="81">
        <v>440</v>
      </c>
      <c r="G373" s="11">
        <f t="shared" si="16"/>
        <v>283.483</v>
      </c>
      <c r="H373" s="11">
        <f>IFERROR(IF(Yearending&gt;B372,'5. Historical demand'!F373-'5. Historical demand'!C373-'5. Historical demand'!D373,""),"")</f>
        <v>276</v>
      </c>
      <c r="I373" s="11">
        <f t="shared" si="17"/>
        <v>7.4830000000000041</v>
      </c>
    </row>
    <row r="374" spans="2:9" x14ac:dyDescent="0.2">
      <c r="B374" s="191">
        <f t="shared" si="15"/>
        <v>45805</v>
      </c>
      <c r="C374" s="81">
        <v>164</v>
      </c>
      <c r="D374" s="81"/>
      <c r="E374" s="81">
        <v>164.02</v>
      </c>
      <c r="F374" s="81">
        <v>440</v>
      </c>
      <c r="G374" s="11">
        <f t="shared" si="16"/>
        <v>275.98</v>
      </c>
      <c r="H374" s="11">
        <f>IFERROR(IF(Yearending&gt;B373,'5. Historical demand'!F374-'5. Historical demand'!C374-'5. Historical demand'!D374,""),"")</f>
        <v>276</v>
      </c>
      <c r="I374" s="11">
        <f t="shared" si="17"/>
        <v>-2.0000000000010232E-2</v>
      </c>
    </row>
    <row r="375" spans="2:9" x14ac:dyDescent="0.2">
      <c r="B375" s="191">
        <f t="shared" si="15"/>
        <v>45806</v>
      </c>
      <c r="C375" s="81">
        <v>164</v>
      </c>
      <c r="D375" s="81"/>
      <c r="E375" s="81">
        <v>163.95699999999999</v>
      </c>
      <c r="F375" s="81">
        <v>440</v>
      </c>
      <c r="G375" s="11">
        <f t="shared" si="16"/>
        <v>276.04300000000001</v>
      </c>
      <c r="H375" s="11">
        <f>IFERROR(IF(Yearending&gt;B374,'5. Historical demand'!F375-'5. Historical demand'!C375-'5. Historical demand'!D375,""),"")</f>
        <v>276</v>
      </c>
      <c r="I375" s="11">
        <f t="shared" si="17"/>
        <v>4.3000000000006366E-2</v>
      </c>
    </row>
    <row r="376" spans="2:9" x14ac:dyDescent="0.2">
      <c r="B376" s="191">
        <f t="shared" si="15"/>
        <v>45807</v>
      </c>
      <c r="C376" s="81">
        <v>164</v>
      </c>
      <c r="D376" s="81"/>
      <c r="E376" s="81">
        <v>164.048</v>
      </c>
      <c r="F376" s="81">
        <v>440</v>
      </c>
      <c r="G376" s="11">
        <f t="shared" si="16"/>
        <v>275.952</v>
      </c>
      <c r="H376" s="11">
        <f>IFERROR(IF(Yearending&gt;B375,'5. Historical demand'!F376-'5. Historical demand'!C376-'5. Historical demand'!D376,""),"")</f>
        <v>276</v>
      </c>
      <c r="I376" s="11">
        <f t="shared" si="17"/>
        <v>-4.8000000000001819E-2</v>
      </c>
    </row>
    <row r="377" spans="2:9" x14ac:dyDescent="0.2">
      <c r="B377" s="191">
        <f t="shared" si="15"/>
        <v>45808</v>
      </c>
      <c r="C377" s="81">
        <v>164</v>
      </c>
      <c r="D377" s="81"/>
      <c r="E377" s="81">
        <v>164.00899999999999</v>
      </c>
      <c r="F377" s="81">
        <v>440</v>
      </c>
      <c r="G377" s="11">
        <f t="shared" si="16"/>
        <v>275.99099999999999</v>
      </c>
      <c r="H377" s="11">
        <f>IFERROR(IF(Yearending&gt;B376,'5. Historical demand'!F377-'5. Historical demand'!C377-'5. Historical demand'!D377,""),"")</f>
        <v>276</v>
      </c>
      <c r="I377" s="11">
        <f t="shared" si="17"/>
        <v>-8.9999999999861302E-3</v>
      </c>
    </row>
    <row r="378" spans="2:9" x14ac:dyDescent="0.2">
      <c r="B378" s="191">
        <f t="shared" si="15"/>
        <v>45809</v>
      </c>
      <c r="C378" s="81">
        <v>164</v>
      </c>
      <c r="D378" s="81"/>
      <c r="E378" s="81">
        <v>140.05199999999999</v>
      </c>
      <c r="F378" s="81">
        <v>440</v>
      </c>
      <c r="G378" s="11">
        <f t="shared" si="16"/>
        <v>299.94799999999998</v>
      </c>
      <c r="H378" s="11">
        <f>IFERROR(IF(Yearending&gt;B377,'5. Historical demand'!F378-'5. Historical demand'!C378-'5. Historical demand'!D378,""),"")</f>
        <v>276</v>
      </c>
      <c r="I378" s="11">
        <f t="shared" si="17"/>
        <v>23.948000000000008</v>
      </c>
    </row>
    <row r="379" spans="2:9" x14ac:dyDescent="0.2">
      <c r="B379" s="191">
        <f t="shared" si="15"/>
        <v>45810</v>
      </c>
      <c r="C379" s="81">
        <v>164</v>
      </c>
      <c r="D379" s="81"/>
      <c r="E379" s="81">
        <v>164.053</v>
      </c>
      <c r="F379" s="81">
        <v>440</v>
      </c>
      <c r="G379" s="11">
        <f t="shared" si="16"/>
        <v>275.947</v>
      </c>
      <c r="H379" s="11">
        <f>IFERROR(IF(Yearending&gt;B378,'5. Historical demand'!F379-'5. Historical demand'!C379-'5. Historical demand'!D379,""),"")</f>
        <v>276</v>
      </c>
      <c r="I379" s="11">
        <f t="shared" si="17"/>
        <v>-5.2999999999997272E-2</v>
      </c>
    </row>
    <row r="380" spans="2:9" x14ac:dyDescent="0.2">
      <c r="B380" s="191">
        <f t="shared" si="15"/>
        <v>45811</v>
      </c>
      <c r="C380" s="81">
        <v>164</v>
      </c>
      <c r="D380" s="81"/>
      <c r="E380" s="81">
        <v>164.05099999999999</v>
      </c>
      <c r="F380" s="81">
        <v>440</v>
      </c>
      <c r="G380" s="11">
        <f t="shared" si="16"/>
        <v>275.94900000000001</v>
      </c>
      <c r="H380" s="11">
        <f>IFERROR(IF(Yearending&gt;B379,'5. Historical demand'!F380-'5. Historical demand'!C380-'5. Historical demand'!D380,""),"")</f>
        <v>276</v>
      </c>
      <c r="I380" s="11">
        <f t="shared" si="17"/>
        <v>-5.0999999999987722E-2</v>
      </c>
    </row>
    <row r="381" spans="2:9" x14ac:dyDescent="0.2">
      <c r="B381" s="191">
        <f t="shared" si="15"/>
        <v>45812</v>
      </c>
      <c r="C381" s="81">
        <v>164</v>
      </c>
      <c r="D381" s="81"/>
      <c r="E381" s="81">
        <v>164.04900000000001</v>
      </c>
      <c r="F381" s="81">
        <v>440</v>
      </c>
      <c r="G381" s="11">
        <f t="shared" si="16"/>
        <v>275.95100000000002</v>
      </c>
      <c r="H381" s="11">
        <f>IFERROR(IF(Yearending&gt;B380,'5. Historical demand'!F381-'5. Historical demand'!C381-'5. Historical demand'!D381,""),"")</f>
        <v>276</v>
      </c>
      <c r="I381" s="11">
        <f t="shared" si="17"/>
        <v>-4.9000000000006594E-2</v>
      </c>
    </row>
    <row r="382" spans="2:9" x14ac:dyDescent="0.2">
      <c r="B382" s="191">
        <f t="shared" si="15"/>
        <v>45813</v>
      </c>
      <c r="C382" s="81">
        <v>164</v>
      </c>
      <c r="D382" s="81"/>
      <c r="E382" s="81">
        <v>164.05099999999999</v>
      </c>
      <c r="F382" s="81">
        <v>440</v>
      </c>
      <c r="G382" s="11">
        <f t="shared" si="16"/>
        <v>275.94900000000001</v>
      </c>
      <c r="H382" s="11">
        <f>IFERROR(IF(Yearending&gt;B381,'5. Historical demand'!F382-'5. Historical demand'!C382-'5. Historical demand'!D382,""),"")</f>
        <v>276</v>
      </c>
      <c r="I382" s="11">
        <f t="shared" si="17"/>
        <v>-5.0999999999987722E-2</v>
      </c>
    </row>
    <row r="383" spans="2:9" x14ac:dyDescent="0.2">
      <c r="B383" s="191">
        <f t="shared" si="15"/>
        <v>45814</v>
      </c>
      <c r="C383" s="81">
        <v>164</v>
      </c>
      <c r="D383" s="81"/>
      <c r="E383" s="81">
        <v>164.04599999999999</v>
      </c>
      <c r="F383" s="81">
        <v>440</v>
      </c>
      <c r="G383" s="11">
        <f t="shared" si="16"/>
        <v>275.95400000000001</v>
      </c>
      <c r="H383" s="11">
        <f>IFERROR(IF(Yearending&gt;B382,'5. Historical demand'!F383-'5. Historical demand'!C383-'5. Historical demand'!D383,""),"")</f>
        <v>276</v>
      </c>
      <c r="I383" s="11">
        <f t="shared" si="17"/>
        <v>-4.5999999999992269E-2</v>
      </c>
    </row>
    <row r="384" spans="2:9" x14ac:dyDescent="0.2">
      <c r="B384" s="191">
        <f t="shared" si="15"/>
        <v>45815</v>
      </c>
      <c r="C384" s="81">
        <v>164</v>
      </c>
      <c r="D384" s="81"/>
      <c r="E384" s="81">
        <v>164.04599999999999</v>
      </c>
      <c r="F384" s="81">
        <v>440</v>
      </c>
      <c r="G384" s="11">
        <f t="shared" si="16"/>
        <v>275.95400000000001</v>
      </c>
      <c r="H384" s="11">
        <f>IFERROR(IF(Yearending&gt;B383,'5. Historical demand'!F384-'5. Historical demand'!C384-'5. Historical demand'!D384,""),"")</f>
        <v>276</v>
      </c>
      <c r="I384" s="11">
        <f t="shared" si="17"/>
        <v>-4.5999999999992269E-2</v>
      </c>
    </row>
    <row r="385" spans="2:9" x14ac:dyDescent="0.2">
      <c r="B385" s="191">
        <f t="shared" si="15"/>
        <v>45816</v>
      </c>
      <c r="C385" s="81">
        <v>164</v>
      </c>
      <c r="D385" s="81"/>
      <c r="E385" s="81">
        <v>160.05099999999999</v>
      </c>
      <c r="F385" s="81">
        <v>440</v>
      </c>
      <c r="G385" s="11">
        <f t="shared" si="16"/>
        <v>279.94900000000001</v>
      </c>
      <c r="H385" s="11">
        <f>IFERROR(IF(Yearending&gt;B384,'5. Historical demand'!F385-'5. Historical demand'!C385-'5. Historical demand'!D385,""),"")</f>
        <v>276</v>
      </c>
      <c r="I385" s="11">
        <f t="shared" si="17"/>
        <v>3.9490000000000123</v>
      </c>
    </row>
    <row r="386" spans="2:9" x14ac:dyDescent="0.2">
      <c r="B386" s="191">
        <f t="shared" si="15"/>
        <v>45817</v>
      </c>
      <c r="C386" s="81">
        <v>164</v>
      </c>
      <c r="D386" s="81"/>
      <c r="E386" s="81">
        <v>164.03700000000001</v>
      </c>
      <c r="F386" s="81">
        <v>440</v>
      </c>
      <c r="G386" s="11">
        <f t="shared" si="16"/>
        <v>275.96299999999997</v>
      </c>
      <c r="H386" s="11">
        <f>IFERROR(IF(Yearending&gt;B385,'5. Historical demand'!F386-'5. Historical demand'!C386-'5. Historical demand'!D386,""),"")</f>
        <v>276</v>
      </c>
      <c r="I386" s="11">
        <f t="shared" si="17"/>
        <v>-3.7000000000006139E-2</v>
      </c>
    </row>
    <row r="387" spans="2:9" x14ac:dyDescent="0.2">
      <c r="B387" s="191">
        <f t="shared" si="15"/>
        <v>45818</v>
      </c>
      <c r="C387" s="81">
        <v>164</v>
      </c>
      <c r="D387" s="81"/>
      <c r="E387" s="81">
        <v>164.05199999999999</v>
      </c>
      <c r="F387" s="81">
        <v>440</v>
      </c>
      <c r="G387" s="11">
        <f t="shared" si="16"/>
        <v>275.94799999999998</v>
      </c>
      <c r="H387" s="11">
        <f>IFERROR(IF(Yearending&gt;B386,'5. Historical demand'!F387-'5. Historical demand'!C387-'5. Historical demand'!D387,""),"")</f>
        <v>276</v>
      </c>
      <c r="I387" s="11">
        <f t="shared" si="17"/>
        <v>-5.1999999999992497E-2</v>
      </c>
    </row>
    <row r="388" spans="2:9" x14ac:dyDescent="0.2">
      <c r="B388" s="191">
        <f t="shared" si="15"/>
        <v>45819</v>
      </c>
      <c r="C388" s="81">
        <v>164</v>
      </c>
      <c r="D388" s="81"/>
      <c r="E388" s="81">
        <v>164.03200000000001</v>
      </c>
      <c r="F388" s="81">
        <v>440</v>
      </c>
      <c r="G388" s="11">
        <f t="shared" si="16"/>
        <v>275.96799999999996</v>
      </c>
      <c r="H388" s="11">
        <f>IFERROR(IF(Yearending&gt;B387,'5. Historical demand'!F388-'5. Historical demand'!C388-'5. Historical demand'!D388,""),"")</f>
        <v>276</v>
      </c>
      <c r="I388" s="11">
        <f t="shared" si="17"/>
        <v>-3.2000000000010687E-2</v>
      </c>
    </row>
    <row r="389" spans="2:9" x14ac:dyDescent="0.2">
      <c r="B389" s="191">
        <f t="shared" si="15"/>
        <v>45820</v>
      </c>
      <c r="C389" s="81">
        <v>164</v>
      </c>
      <c r="D389" s="81"/>
      <c r="E389" s="81">
        <v>109.881</v>
      </c>
      <c r="F389" s="81">
        <v>440</v>
      </c>
      <c r="G389" s="11">
        <f t="shared" si="16"/>
        <v>330.11900000000003</v>
      </c>
      <c r="H389" s="11">
        <f>IFERROR(IF(Yearending&gt;B388,'5. Historical demand'!F389-'5. Historical demand'!C389-'5. Historical demand'!D389,""),"")</f>
        <v>276</v>
      </c>
      <c r="I389" s="11">
        <f t="shared" si="17"/>
        <v>54.119</v>
      </c>
    </row>
    <row r="390" spans="2:9" x14ac:dyDescent="0.2">
      <c r="B390" s="191">
        <f t="shared" si="15"/>
        <v>45821</v>
      </c>
      <c r="C390" s="81">
        <v>164</v>
      </c>
      <c r="D390" s="81"/>
      <c r="E390" s="81">
        <v>133.88499999999999</v>
      </c>
      <c r="F390" s="81">
        <v>440</v>
      </c>
      <c r="G390" s="11">
        <f t="shared" si="16"/>
        <v>306.11500000000001</v>
      </c>
      <c r="H390" s="11">
        <f>IFERROR(IF(Yearending&gt;B389,'5. Historical demand'!F390-'5. Historical demand'!C390-'5. Historical demand'!D390,""),"")</f>
        <v>276</v>
      </c>
      <c r="I390" s="11">
        <f t="shared" si="17"/>
        <v>30.115000000000009</v>
      </c>
    </row>
    <row r="391" spans="2:9" x14ac:dyDescent="0.2">
      <c r="B391" s="191">
        <f t="shared" si="15"/>
        <v>45822</v>
      </c>
      <c r="C391" s="81">
        <v>164</v>
      </c>
      <c r="D391" s="81"/>
      <c r="E391" s="81">
        <v>109.881</v>
      </c>
      <c r="F391" s="81">
        <v>440</v>
      </c>
      <c r="G391" s="11">
        <f t="shared" si="16"/>
        <v>330.11900000000003</v>
      </c>
      <c r="H391" s="11">
        <f>IFERROR(IF(Yearending&gt;B390,'5. Historical demand'!F391-'5. Historical demand'!C391-'5. Historical demand'!D391,""),"")</f>
        <v>276</v>
      </c>
      <c r="I391" s="11">
        <f t="shared" si="17"/>
        <v>54.119</v>
      </c>
    </row>
    <row r="392" spans="2:9" x14ac:dyDescent="0.2">
      <c r="B392" s="191">
        <f t="shared" si="15"/>
        <v>45823</v>
      </c>
      <c r="C392" s="81">
        <v>164</v>
      </c>
      <c r="D392" s="81"/>
      <c r="E392" s="81">
        <v>85.710999999999999</v>
      </c>
      <c r="F392" s="81">
        <v>440</v>
      </c>
      <c r="G392" s="11">
        <f t="shared" si="16"/>
        <v>354.28899999999999</v>
      </c>
      <c r="H392" s="11">
        <f>IFERROR(IF(Yearending&gt;B391,'5. Historical demand'!F392-'5. Historical demand'!C392-'5. Historical demand'!D392,""),"")</f>
        <v>276</v>
      </c>
      <c r="I392" s="11">
        <f t="shared" si="17"/>
        <v>78.289000000000001</v>
      </c>
    </row>
    <row r="393" spans="2:9" x14ac:dyDescent="0.2">
      <c r="B393" s="191">
        <f t="shared" si="15"/>
        <v>45824</v>
      </c>
      <c r="C393" s="81">
        <v>164</v>
      </c>
      <c r="D393" s="81"/>
      <c r="E393" s="81">
        <v>61.89</v>
      </c>
      <c r="F393" s="81">
        <v>440</v>
      </c>
      <c r="G393" s="11">
        <f t="shared" si="16"/>
        <v>378.11</v>
      </c>
      <c r="H393" s="11">
        <f>IFERROR(IF(Yearending&gt;B392,'5. Historical demand'!F393-'5. Historical demand'!C393-'5. Historical demand'!D393,""),"")</f>
        <v>276</v>
      </c>
      <c r="I393" s="11">
        <f t="shared" si="17"/>
        <v>102.11</v>
      </c>
    </row>
    <row r="394" spans="2:9" x14ac:dyDescent="0.2">
      <c r="B394" s="191">
        <f t="shared" si="15"/>
        <v>45825</v>
      </c>
      <c r="C394" s="81">
        <v>164</v>
      </c>
      <c r="D394" s="81"/>
      <c r="E394" s="81">
        <v>77.894999999999996</v>
      </c>
      <c r="F394" s="81">
        <v>440</v>
      </c>
      <c r="G394" s="11">
        <f t="shared" si="16"/>
        <v>362.10500000000002</v>
      </c>
      <c r="H394" s="11">
        <f>IFERROR(IF(Yearending&gt;B393,'5. Historical demand'!F394-'5. Historical demand'!C394-'5. Historical demand'!D394,""),"")</f>
        <v>276</v>
      </c>
      <c r="I394" s="11">
        <f t="shared" si="17"/>
        <v>86.105000000000004</v>
      </c>
    </row>
    <row r="395" spans="2:9" x14ac:dyDescent="0.2">
      <c r="B395" s="191">
        <f t="shared" si="15"/>
        <v>45826</v>
      </c>
      <c r="C395" s="81">
        <v>164</v>
      </c>
      <c r="D395" s="81"/>
      <c r="E395" s="81">
        <v>119.895</v>
      </c>
      <c r="F395" s="81">
        <v>440</v>
      </c>
      <c r="G395" s="11">
        <f t="shared" si="16"/>
        <v>320.10500000000002</v>
      </c>
      <c r="H395" s="11">
        <f>IFERROR(IF(Yearending&gt;B394,'5. Historical demand'!F395-'5. Historical demand'!C395-'5. Historical demand'!D395,""),"")</f>
        <v>276</v>
      </c>
      <c r="I395" s="11">
        <f t="shared" si="17"/>
        <v>44.105000000000004</v>
      </c>
    </row>
    <row r="396" spans="2:9" x14ac:dyDescent="0.2">
      <c r="B396" s="191">
        <f t="shared" si="15"/>
        <v>45827</v>
      </c>
      <c r="C396" s="81">
        <v>164</v>
      </c>
      <c r="D396" s="81"/>
      <c r="E396" s="81">
        <v>68.897000000000006</v>
      </c>
      <c r="F396" s="81">
        <v>440</v>
      </c>
      <c r="G396" s="11">
        <f t="shared" si="16"/>
        <v>371.10300000000001</v>
      </c>
      <c r="H396" s="11">
        <f>IFERROR(IF(Yearending&gt;B395,'5. Historical demand'!F396-'5. Historical demand'!C396-'5. Historical demand'!D396,""),"")</f>
        <v>276</v>
      </c>
      <c r="I396" s="11">
        <f t="shared" si="17"/>
        <v>95.102999999999994</v>
      </c>
    </row>
    <row r="397" spans="2:9" x14ac:dyDescent="0.2">
      <c r="B397" s="191">
        <f t="shared" si="15"/>
        <v>45828</v>
      </c>
      <c r="C397" s="81">
        <v>164</v>
      </c>
      <c r="D397" s="81"/>
      <c r="E397" s="81">
        <v>78.891999999999996</v>
      </c>
      <c r="F397" s="81">
        <v>440</v>
      </c>
      <c r="G397" s="11">
        <f t="shared" si="16"/>
        <v>361.108</v>
      </c>
      <c r="H397" s="11">
        <f>IFERROR(IF(Yearending&gt;B396,'5. Historical demand'!F397-'5. Historical demand'!C397-'5. Historical demand'!D397,""),"")</f>
        <v>276</v>
      </c>
      <c r="I397" s="11">
        <f t="shared" si="17"/>
        <v>85.108000000000004</v>
      </c>
    </row>
    <row r="398" spans="2:9" x14ac:dyDescent="0.2">
      <c r="B398" s="191">
        <f t="shared" si="15"/>
        <v>45829</v>
      </c>
      <c r="C398" s="81">
        <v>164</v>
      </c>
      <c r="D398" s="81"/>
      <c r="E398" s="81">
        <v>48.893999999999998</v>
      </c>
      <c r="F398" s="81">
        <v>440</v>
      </c>
      <c r="G398" s="11">
        <f t="shared" si="16"/>
        <v>391.10599999999999</v>
      </c>
      <c r="H398" s="11">
        <f>IFERROR(IF(Yearending&gt;B397,'5. Historical demand'!F398-'5. Historical demand'!C398-'5. Historical demand'!D398,""),"")</f>
        <v>276</v>
      </c>
      <c r="I398" s="11">
        <f t="shared" si="17"/>
        <v>115.10599999999999</v>
      </c>
    </row>
    <row r="399" spans="2:9" x14ac:dyDescent="0.2">
      <c r="B399" s="191">
        <f t="shared" si="15"/>
        <v>45830</v>
      </c>
      <c r="C399" s="81">
        <v>164</v>
      </c>
      <c r="D399" s="81"/>
      <c r="E399" s="81">
        <v>58.395000000000003</v>
      </c>
      <c r="F399" s="81">
        <v>440</v>
      </c>
      <c r="G399" s="11">
        <f t="shared" si="16"/>
        <v>381.60500000000002</v>
      </c>
      <c r="H399" s="11">
        <f>IFERROR(IF(Yearending&gt;B398,'5. Historical demand'!F399-'5. Historical demand'!C399-'5. Historical demand'!D399,""),"")</f>
        <v>276</v>
      </c>
      <c r="I399" s="11">
        <f t="shared" si="17"/>
        <v>105.60499999999999</v>
      </c>
    </row>
    <row r="400" spans="2:9" x14ac:dyDescent="0.2">
      <c r="B400" s="191">
        <f t="shared" si="15"/>
        <v>45831</v>
      </c>
      <c r="C400" s="81">
        <v>164</v>
      </c>
      <c r="D400" s="81"/>
      <c r="E400" s="81">
        <v>19.082999999999998</v>
      </c>
      <c r="F400" s="81">
        <v>440</v>
      </c>
      <c r="G400" s="11">
        <f t="shared" si="16"/>
        <v>420.91700000000003</v>
      </c>
      <c r="H400" s="11">
        <f>IFERROR(IF(Yearending&gt;B399,'5. Historical demand'!F400-'5. Historical demand'!C400-'5. Historical demand'!D400,""),"")</f>
        <v>276</v>
      </c>
      <c r="I400" s="11">
        <f t="shared" si="17"/>
        <v>144.917</v>
      </c>
    </row>
    <row r="401" spans="2:9" x14ac:dyDescent="0.2">
      <c r="B401" s="191">
        <f t="shared" si="15"/>
        <v>45832</v>
      </c>
      <c r="C401" s="81">
        <v>164</v>
      </c>
      <c r="D401" s="81"/>
      <c r="E401" s="81">
        <v>0.03</v>
      </c>
      <c r="F401" s="81">
        <v>440</v>
      </c>
      <c r="G401" s="11">
        <f t="shared" si="16"/>
        <v>439.97</v>
      </c>
      <c r="H401" s="11">
        <f>IFERROR(IF(Yearending&gt;B400,'5. Historical demand'!F401-'5. Historical demand'!C401-'5. Historical demand'!D401,""),"")</f>
        <v>276</v>
      </c>
      <c r="I401" s="11">
        <f t="shared" si="17"/>
        <v>163.97</v>
      </c>
    </row>
    <row r="402" spans="2:9" x14ac:dyDescent="0.2">
      <c r="B402" s="191">
        <f t="shared" si="15"/>
        <v>45833</v>
      </c>
      <c r="C402" s="81">
        <v>164</v>
      </c>
      <c r="D402" s="81"/>
      <c r="E402" s="81">
        <v>89.882000000000005</v>
      </c>
      <c r="F402" s="81">
        <v>440</v>
      </c>
      <c r="G402" s="11">
        <f t="shared" si="16"/>
        <v>350.11799999999999</v>
      </c>
      <c r="H402" s="11">
        <f>IFERROR(IF(Yearending&gt;B401,'5. Historical demand'!F402-'5. Historical demand'!C402-'5. Historical demand'!D402,""),"")</f>
        <v>276</v>
      </c>
      <c r="I402" s="11">
        <f t="shared" si="17"/>
        <v>74.117999999999995</v>
      </c>
    </row>
    <row r="403" spans="2:9" x14ac:dyDescent="0.2">
      <c r="B403" s="191">
        <f t="shared" si="15"/>
        <v>45834</v>
      </c>
      <c r="C403" s="81">
        <v>164</v>
      </c>
      <c r="D403" s="81"/>
      <c r="E403" s="81">
        <v>148.88300000000001</v>
      </c>
      <c r="F403" s="81">
        <v>440</v>
      </c>
      <c r="G403" s="11">
        <f t="shared" si="16"/>
        <v>291.11699999999996</v>
      </c>
      <c r="H403" s="11">
        <f>IFERROR(IF(Yearending&gt;B402,'5. Historical demand'!F403-'5. Historical demand'!C403-'5. Historical demand'!D403,""),"")</f>
        <v>276</v>
      </c>
      <c r="I403" s="11">
        <f t="shared" si="17"/>
        <v>15.11699999999999</v>
      </c>
    </row>
    <row r="404" spans="2:9" x14ac:dyDescent="0.2">
      <c r="B404" s="191">
        <f t="shared" si="15"/>
        <v>45835</v>
      </c>
      <c r="C404" s="81">
        <v>164</v>
      </c>
      <c r="D404" s="81"/>
      <c r="E404" s="81">
        <v>135.81299999999999</v>
      </c>
      <c r="F404" s="81">
        <v>440</v>
      </c>
      <c r="G404" s="11">
        <f t="shared" si="16"/>
        <v>304.18700000000001</v>
      </c>
      <c r="H404" s="11">
        <f>IFERROR(IF(Yearending&gt;B403,'5. Historical demand'!F404-'5. Historical demand'!C404-'5. Historical demand'!D404,""),"")</f>
        <v>276</v>
      </c>
      <c r="I404" s="11">
        <f t="shared" si="17"/>
        <v>28.187000000000012</v>
      </c>
    </row>
    <row r="405" spans="2:9" x14ac:dyDescent="0.2">
      <c r="B405" s="191">
        <f t="shared" si="15"/>
        <v>45836</v>
      </c>
      <c r="C405" s="81">
        <v>164</v>
      </c>
      <c r="D405" s="81"/>
      <c r="E405" s="81">
        <v>100.88200000000001</v>
      </c>
      <c r="F405" s="81">
        <v>440</v>
      </c>
      <c r="G405" s="11">
        <f t="shared" si="16"/>
        <v>339.11799999999999</v>
      </c>
      <c r="H405" s="11">
        <f>IFERROR(IF(Yearending&gt;B404,'5. Historical demand'!F405-'5. Historical demand'!C405-'5. Historical demand'!D405,""),"")</f>
        <v>276</v>
      </c>
      <c r="I405" s="11">
        <f t="shared" si="17"/>
        <v>63.117999999999995</v>
      </c>
    </row>
    <row r="406" spans="2:9" x14ac:dyDescent="0.2">
      <c r="B406" s="191">
        <f t="shared" si="15"/>
        <v>45837</v>
      </c>
      <c r="C406" s="81">
        <v>164</v>
      </c>
      <c r="D406" s="81"/>
      <c r="E406" s="81">
        <v>164.04900000000001</v>
      </c>
      <c r="F406" s="81">
        <v>440</v>
      </c>
      <c r="G406" s="11">
        <f t="shared" si="16"/>
        <v>275.95100000000002</v>
      </c>
      <c r="H406" s="11">
        <f>IFERROR(IF(Yearending&gt;B405,'5. Historical demand'!F406-'5. Historical demand'!C406-'5. Historical demand'!D406,""),"")</f>
        <v>276</v>
      </c>
      <c r="I406" s="11">
        <f t="shared" si="17"/>
        <v>-4.9000000000006594E-2</v>
      </c>
    </row>
    <row r="407" spans="2:9" x14ac:dyDescent="0.2">
      <c r="B407" s="191">
        <f t="shared" si="15"/>
        <v>45838</v>
      </c>
      <c r="C407" s="81">
        <v>164</v>
      </c>
      <c r="D407" s="81"/>
      <c r="E407" s="81">
        <v>161.05000000000001</v>
      </c>
      <c r="F407" s="81">
        <v>440</v>
      </c>
      <c r="G407" s="11">
        <f t="shared" si="16"/>
        <v>278.95</v>
      </c>
      <c r="H407" s="11">
        <f>IFERROR(IF(Yearending&gt;B406,'5. Historical demand'!F407-'5. Historical demand'!C407-'5. Historical demand'!D407,""),"")</f>
        <v>276</v>
      </c>
      <c r="I407" s="11">
        <f t="shared" si="17"/>
        <v>2.9499999999999886</v>
      </c>
    </row>
    <row r="408" spans="2:9" x14ac:dyDescent="0.2">
      <c r="B408" s="191" t="str">
        <f t="shared" si="15"/>
        <v/>
      </c>
      <c r="C408" s="81"/>
      <c r="D408" s="81"/>
      <c r="E408" s="81"/>
      <c r="F408" s="81"/>
      <c r="G408" s="11" t="str">
        <f t="shared" si="16"/>
        <v/>
      </c>
      <c r="H408" s="11" t="str">
        <f>IFERROR(IF(Yearending&gt;B407,'5. Historical demand'!F408-'5. Historical demand'!C408-'5. Historical demand'!D408,""),"")</f>
        <v/>
      </c>
      <c r="I408" s="11" t="str">
        <f t="shared" si="17"/>
        <v/>
      </c>
    </row>
  </sheetData>
  <sheetProtection sheet="1" insertRows="0"/>
  <mergeCells count="1">
    <mergeCell ref="B6:D9"/>
  </mergeCells>
  <conditionalFormatting sqref="B43:B408">
    <cfRule type="containsErrors" dxfId="2" priority="1" stopIfTrue="1">
      <formula>ISERROR(B43)</formula>
    </cfRule>
  </conditionalFormatting>
  <pageMargins left="0.75" right="0.75" top="1" bottom="1" header="0.5" footer="0.5"/>
  <pageSetup paperSize="9" scale="30" orientation="landscape" r:id="rId1"/>
  <headerFooter alignWithMargins="0">
    <oddFooter>&amp;C_x000D_&amp;1#&amp;"Calibri"&amp;10&amp;K008000 APA-INTERNAL</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EDE7E0-08C0-447F-AA0C-CBBF6F8E89A3}">
  <sheetPr>
    <tabColor theme="9" tint="0.79998168889431442"/>
  </sheetPr>
  <dimension ref="A1"/>
  <sheetViews>
    <sheetView showGridLines="0" workbookViewId="0"/>
  </sheetViews>
  <sheetFormatPr defaultRowHeight="12.75" x14ac:dyDescent="0.2"/>
  <sheetData>
    <row r="1" spans="1:1" x14ac:dyDescent="0.2">
      <c r="A1" s="338" t="s">
        <v>570</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4AF93-D41F-4ED6-BDB7-924549D90790}">
  <sheetPr codeName="Sheet31">
    <tabColor rgb="FF17415D"/>
  </sheetPr>
  <dimension ref="A1:K195"/>
  <sheetViews>
    <sheetView showGridLines="0" zoomScale="107" zoomScaleNormal="100" workbookViewId="0">
      <pane xSplit="1" ySplit="13" topLeftCell="B14" activePane="bottomRight" state="frozen"/>
      <selection pane="topRight" activeCell="B1" sqref="B1"/>
      <selection pane="bottomLeft" activeCell="A14" sqref="A14"/>
      <selection pane="bottomRight"/>
    </sheetView>
  </sheetViews>
  <sheetFormatPr defaultColWidth="9.42578125" defaultRowHeight="12.75" x14ac:dyDescent="0.2"/>
  <cols>
    <col min="1" max="1" width="11.5703125" style="189" customWidth="1"/>
    <col min="2" max="2" width="57.5703125" style="189" customWidth="1"/>
    <col min="3" max="3" width="44.5703125" style="189" customWidth="1"/>
    <col min="4" max="11" width="39" style="189" customWidth="1"/>
    <col min="12" max="16384" width="9.42578125" style="189"/>
  </cols>
  <sheetData>
    <row r="1" spans="1:4" ht="20.25" x14ac:dyDescent="0.2">
      <c r="A1" s="190"/>
      <c r="B1" s="135" t="s">
        <v>302</v>
      </c>
      <c r="C1" s="135"/>
    </row>
    <row r="2" spans="1:4" ht="20.25" x14ac:dyDescent="0.2">
      <c r="A2" s="190"/>
      <c r="B2" s="135" t="str">
        <f>IF(Tradingname=0," ",Tradingname)</f>
        <v>APA Pipelines Investments (BWP) Pty Limited</v>
      </c>
      <c r="C2" s="135"/>
    </row>
    <row r="3" spans="1:4" ht="20.25" x14ac:dyDescent="0.3">
      <c r="B3" s="135" t="s">
        <v>109</v>
      </c>
      <c r="C3" s="99">
        <f>IF(Yearending=0, "0/01/2000", Yearending)</f>
        <v>45838</v>
      </c>
    </row>
    <row r="4" spans="1:4" ht="20.25" x14ac:dyDescent="0.2">
      <c r="B4" s="91" t="s">
        <v>300</v>
      </c>
      <c r="C4" s="91"/>
    </row>
    <row r="5" spans="1:4" x14ac:dyDescent="0.2">
      <c r="B5" s="189" t="s">
        <v>149</v>
      </c>
    </row>
    <row r="6" spans="1:4" ht="15.75" x14ac:dyDescent="0.25">
      <c r="B6" s="188"/>
    </row>
    <row r="7" spans="1:4" ht="12.75" customHeight="1" x14ac:dyDescent="0.2">
      <c r="B7" s="434" t="s">
        <v>452</v>
      </c>
      <c r="C7" s="434"/>
      <c r="D7" s="434"/>
    </row>
    <row r="8" spans="1:4" ht="12.75" customHeight="1" x14ac:dyDescent="0.2">
      <c r="B8" s="434"/>
      <c r="C8" s="434"/>
      <c r="D8" s="434"/>
    </row>
    <row r="9" spans="1:4" ht="12.75" customHeight="1" x14ac:dyDescent="0.2">
      <c r="B9" s="434"/>
      <c r="C9" s="434"/>
      <c r="D9" s="434"/>
    </row>
    <row r="10" spans="1:4" ht="12.75" customHeight="1" x14ac:dyDescent="0.2">
      <c r="B10" s="434"/>
      <c r="C10" s="434"/>
      <c r="D10" s="434"/>
    </row>
    <row r="11" spans="1:4" ht="12.75" customHeight="1" x14ac:dyDescent="0.2">
      <c r="B11" s="434"/>
      <c r="C11" s="434"/>
      <c r="D11" s="434"/>
    </row>
    <row r="12" spans="1:4" ht="12.75" customHeight="1" x14ac:dyDescent="0.2">
      <c r="B12" s="434"/>
      <c r="C12" s="434"/>
      <c r="D12" s="434"/>
    </row>
    <row r="13" spans="1:4" ht="12.75" customHeight="1" x14ac:dyDescent="0.2">
      <c r="B13" s="434"/>
      <c r="C13" s="434"/>
      <c r="D13" s="434"/>
    </row>
    <row r="16" spans="1:4" ht="12.75" customHeight="1" x14ac:dyDescent="0.25">
      <c r="B16" s="188" t="s">
        <v>283</v>
      </c>
    </row>
    <row r="17" spans="2:5" ht="12.75" customHeight="1" x14ac:dyDescent="0.25">
      <c r="B17" s="188"/>
    </row>
    <row r="18" spans="2:5" x14ac:dyDescent="0.2">
      <c r="B18" s="429" t="s">
        <v>275</v>
      </c>
      <c r="C18" s="431"/>
      <c r="D18" s="429" t="s">
        <v>276</v>
      </c>
      <c r="E18" s="431"/>
    </row>
    <row r="19" spans="2:5" x14ac:dyDescent="0.2">
      <c r="B19" s="469" t="s">
        <v>13</v>
      </c>
      <c r="C19" s="219" t="s">
        <v>451</v>
      </c>
      <c r="D19" s="473" t="s">
        <v>13</v>
      </c>
      <c r="E19" s="471" t="s">
        <v>241</v>
      </c>
    </row>
    <row r="20" spans="2:5" x14ac:dyDescent="0.2">
      <c r="B20" s="470"/>
      <c r="C20" s="111" t="s">
        <v>241</v>
      </c>
      <c r="D20" s="474"/>
      <c r="E20" s="472"/>
    </row>
    <row r="21" spans="2:5" x14ac:dyDescent="0.2">
      <c r="B21" s="112" t="s">
        <v>363</v>
      </c>
      <c r="C21" s="198">
        <v>0.79606145276576101</v>
      </c>
      <c r="D21" s="187" t="s">
        <v>224</v>
      </c>
      <c r="E21" s="198">
        <v>5.8299999999999998E-2</v>
      </c>
    </row>
    <row r="22" spans="2:5" x14ac:dyDescent="0.2">
      <c r="B22" s="112" t="s">
        <v>453</v>
      </c>
      <c r="C22" s="198">
        <v>0</v>
      </c>
      <c r="D22" s="187" t="s">
        <v>225</v>
      </c>
      <c r="E22" s="197">
        <v>0.6</v>
      </c>
    </row>
    <row r="23" spans="2:5" x14ac:dyDescent="0.2">
      <c r="B23" s="112" t="s">
        <v>365</v>
      </c>
      <c r="C23" s="198">
        <v>0.17601377394100337</v>
      </c>
      <c r="D23" s="187" t="s">
        <v>226</v>
      </c>
      <c r="E23" s="197">
        <v>0.3</v>
      </c>
    </row>
    <row r="24" spans="2:5" x14ac:dyDescent="0.2">
      <c r="B24" s="112" t="s">
        <v>366</v>
      </c>
      <c r="C24" s="198">
        <v>0</v>
      </c>
      <c r="D24" s="187" t="s">
        <v>227</v>
      </c>
      <c r="E24" s="197">
        <v>0.56999999999999995</v>
      </c>
    </row>
    <row r="25" spans="2:5" x14ac:dyDescent="0.2">
      <c r="B25" s="193" t="s">
        <v>367</v>
      </c>
      <c r="C25" s="198">
        <v>0</v>
      </c>
      <c r="D25" s="186" t="s">
        <v>247</v>
      </c>
      <c r="E25" s="198">
        <v>6.6600000000000006E-2</v>
      </c>
    </row>
    <row r="26" spans="2:5" x14ac:dyDescent="0.2">
      <c r="B26" s="112" t="s">
        <v>454</v>
      </c>
      <c r="C26" s="198">
        <v>0</v>
      </c>
      <c r="D26" s="14"/>
      <c r="E26" s="14"/>
    </row>
    <row r="27" spans="2:5" x14ac:dyDescent="0.2">
      <c r="B27" s="112" t="s">
        <v>369</v>
      </c>
      <c r="C27" s="198">
        <v>0</v>
      </c>
      <c r="D27" s="14"/>
      <c r="E27" s="14"/>
    </row>
    <row r="28" spans="2:5" x14ac:dyDescent="0.2">
      <c r="B28" s="112" t="s">
        <v>370</v>
      </c>
      <c r="C28" s="198">
        <v>2.8549171714647569E-4</v>
      </c>
      <c r="D28" s="14"/>
      <c r="E28" s="14"/>
    </row>
    <row r="29" spans="2:5" x14ac:dyDescent="0.2">
      <c r="B29" s="112" t="s">
        <v>371</v>
      </c>
      <c r="C29" s="198">
        <v>0</v>
      </c>
      <c r="D29" s="14"/>
      <c r="E29" s="14"/>
    </row>
    <row r="30" spans="2:5" x14ac:dyDescent="0.2">
      <c r="B30" s="112" t="s">
        <v>311</v>
      </c>
      <c r="C30" s="198">
        <v>2.7639281576089206E-2</v>
      </c>
      <c r="D30" s="14"/>
      <c r="E30" s="14"/>
    </row>
    <row r="31" spans="2:5" x14ac:dyDescent="0.2">
      <c r="B31" s="185" t="s">
        <v>18</v>
      </c>
      <c r="C31" s="118">
        <f>SUM(C21:C30)</f>
        <v>1</v>
      </c>
      <c r="D31" s="14"/>
      <c r="E31" s="14"/>
    </row>
    <row r="34" spans="2:8" ht="15.75" x14ac:dyDescent="0.25">
      <c r="B34" s="188" t="s">
        <v>315</v>
      </c>
      <c r="C34" s="188"/>
    </row>
    <row r="36" spans="2:8" x14ac:dyDescent="0.2">
      <c r="B36" s="184"/>
      <c r="C36" s="184"/>
      <c r="D36" s="184" t="s">
        <v>318</v>
      </c>
      <c r="E36" s="184" t="s">
        <v>319</v>
      </c>
      <c r="F36" s="184" t="s">
        <v>320</v>
      </c>
      <c r="G36" s="184" t="s">
        <v>321</v>
      </c>
      <c r="H36" s="184" t="s">
        <v>317</v>
      </c>
    </row>
    <row r="37" spans="2:8" x14ac:dyDescent="0.2">
      <c r="B37" s="456" t="s">
        <v>363</v>
      </c>
      <c r="C37" s="184" t="s">
        <v>220</v>
      </c>
      <c r="D37" s="183">
        <f>MIN(C64:D64)</f>
        <v>2.3898848951214448E-2</v>
      </c>
      <c r="E37" s="183">
        <f>MIN(E64:G64)</f>
        <v>2.9308524462024196E-2</v>
      </c>
      <c r="F37" s="183">
        <f>MIN(H64,J64)+MIN(I64,K64)</f>
        <v>4.5838251776087635E-2</v>
      </c>
      <c r="G37" s="183">
        <f t="shared" ref="G37:G56" si="0">SUM(D37:F37)</f>
        <v>9.9045625189326275E-2</v>
      </c>
      <c r="H37" s="468" t="s">
        <v>322</v>
      </c>
    </row>
    <row r="38" spans="2:8" x14ac:dyDescent="0.2">
      <c r="B38" s="457"/>
      <c r="C38" s="184" t="s">
        <v>221</v>
      </c>
      <c r="D38" s="183">
        <f>MAX(C64:D64)</f>
        <v>5.5154816547376369E-2</v>
      </c>
      <c r="E38" s="183">
        <f>MAX(E64:G64)</f>
        <v>6.6939017648871085E-2</v>
      </c>
      <c r="F38" s="183">
        <f>MAX(H64,J64)+MAX(I64,K64)</f>
        <v>5.1790741043843777E-2</v>
      </c>
      <c r="G38" s="183">
        <f t="shared" si="0"/>
        <v>0.17388457524009121</v>
      </c>
      <c r="H38" s="468"/>
    </row>
    <row r="39" spans="2:8" x14ac:dyDescent="0.2">
      <c r="B39" s="456" t="s">
        <v>453</v>
      </c>
      <c r="C39" s="184" t="s">
        <v>220</v>
      </c>
      <c r="D39" s="183">
        <f>MIN(C65:D65)</f>
        <v>0</v>
      </c>
      <c r="E39" s="183">
        <f>MIN(E65:G65)</f>
        <v>0</v>
      </c>
      <c r="F39" s="183">
        <f>MIN(H65,J65)+MIN(I65,K65)</f>
        <v>0</v>
      </c>
      <c r="G39" s="183">
        <f t="shared" si="0"/>
        <v>0</v>
      </c>
      <c r="H39" s="468" t="s">
        <v>322</v>
      </c>
    </row>
    <row r="40" spans="2:8" x14ac:dyDescent="0.2">
      <c r="B40" s="457"/>
      <c r="C40" s="184" t="s">
        <v>221</v>
      </c>
      <c r="D40" s="183">
        <f>MAX(C65:D65)</f>
        <v>0</v>
      </c>
      <c r="E40" s="183">
        <f>MAX(E65:G65)</f>
        <v>0</v>
      </c>
      <c r="F40" s="183">
        <f>MAX(H65,J65)+MAX(I65,K65)</f>
        <v>0</v>
      </c>
      <c r="G40" s="183">
        <f t="shared" si="0"/>
        <v>0</v>
      </c>
      <c r="H40" s="468"/>
    </row>
    <row r="41" spans="2:8" x14ac:dyDescent="0.2">
      <c r="B41" s="456" t="s">
        <v>365</v>
      </c>
      <c r="C41" s="184" t="s">
        <v>220</v>
      </c>
      <c r="D41" s="183">
        <f>MIN(C66:D66)</f>
        <v>0</v>
      </c>
      <c r="E41" s="183">
        <f>MIN(E66:G66)</f>
        <v>0</v>
      </c>
      <c r="F41" s="183">
        <f>MIN(H66,J66)+MIN(I66,K66)</f>
        <v>0</v>
      </c>
      <c r="G41" s="183">
        <f t="shared" si="0"/>
        <v>0</v>
      </c>
      <c r="H41" s="468" t="s">
        <v>322</v>
      </c>
    </row>
    <row r="42" spans="2:8" x14ac:dyDescent="0.2">
      <c r="B42" s="457"/>
      <c r="C42" s="184" t="s">
        <v>221</v>
      </c>
      <c r="D42" s="183">
        <f>MAX(C66:D66)</f>
        <v>0</v>
      </c>
      <c r="E42" s="183">
        <f>MAX(E66:G66)</f>
        <v>0</v>
      </c>
      <c r="F42" s="183">
        <f>MAX(H66,J66)+MAX(I66,K66)</f>
        <v>0</v>
      </c>
      <c r="G42" s="183">
        <f t="shared" si="0"/>
        <v>0</v>
      </c>
      <c r="H42" s="468"/>
    </row>
    <row r="43" spans="2:8" x14ac:dyDescent="0.2">
      <c r="B43" s="456" t="s">
        <v>366</v>
      </c>
      <c r="C43" s="184" t="s">
        <v>220</v>
      </c>
      <c r="D43" s="183">
        <f>MIN(C67:D67)</f>
        <v>0</v>
      </c>
      <c r="E43" s="183">
        <f>MIN(E67:G67)</f>
        <v>0</v>
      </c>
      <c r="F43" s="183">
        <f>MIN(H67,J67)+MIN(I67,K67)</f>
        <v>0</v>
      </c>
      <c r="G43" s="183">
        <f t="shared" si="0"/>
        <v>0</v>
      </c>
      <c r="H43" s="468" t="s">
        <v>322</v>
      </c>
    </row>
    <row r="44" spans="2:8" x14ac:dyDescent="0.2">
      <c r="B44" s="457"/>
      <c r="C44" s="184" t="s">
        <v>221</v>
      </c>
      <c r="D44" s="183">
        <f>MAX(C67:D67)</f>
        <v>0</v>
      </c>
      <c r="E44" s="183">
        <f>MAX(E67:G67)</f>
        <v>0</v>
      </c>
      <c r="F44" s="183">
        <f>MAX(H67,J67)+MAX(I67,K67)</f>
        <v>0</v>
      </c>
      <c r="G44" s="183">
        <f t="shared" si="0"/>
        <v>0</v>
      </c>
      <c r="H44" s="468"/>
    </row>
    <row r="45" spans="2:8" x14ac:dyDescent="0.2">
      <c r="B45" s="456" t="s">
        <v>367</v>
      </c>
      <c r="C45" s="184" t="s">
        <v>220</v>
      </c>
      <c r="D45" s="183">
        <f>MIN(C68:D68)</f>
        <v>0</v>
      </c>
      <c r="E45" s="183">
        <f>MIN(E68:G68)</f>
        <v>0</v>
      </c>
      <c r="F45" s="183">
        <f>MIN(H68,J68)+MIN(I68,K68)</f>
        <v>0</v>
      </c>
      <c r="G45" s="183">
        <f t="shared" si="0"/>
        <v>0</v>
      </c>
      <c r="H45" s="468" t="s">
        <v>322</v>
      </c>
    </row>
    <row r="46" spans="2:8" x14ac:dyDescent="0.2">
      <c r="B46" s="457"/>
      <c r="C46" s="184" t="s">
        <v>221</v>
      </c>
      <c r="D46" s="183">
        <f>MAX(C68:D68)</f>
        <v>0</v>
      </c>
      <c r="E46" s="183">
        <f>MAX(E68:G68)</f>
        <v>0</v>
      </c>
      <c r="F46" s="183">
        <f>MAX(H68,J68)+MAX(I68,K68)</f>
        <v>0</v>
      </c>
      <c r="G46" s="183">
        <f t="shared" si="0"/>
        <v>0</v>
      </c>
      <c r="H46" s="468"/>
    </row>
    <row r="47" spans="2:8" x14ac:dyDescent="0.2">
      <c r="B47" s="456" t="s">
        <v>454</v>
      </c>
      <c r="C47" s="184" t="s">
        <v>220</v>
      </c>
      <c r="D47" s="183">
        <f>MIN(C69:D69)</f>
        <v>0</v>
      </c>
      <c r="E47" s="183">
        <f>MIN(E69:G69)</f>
        <v>0</v>
      </c>
      <c r="F47" s="183">
        <f>MIN(H69,J69)+MIN(I69,K69)</f>
        <v>0</v>
      </c>
      <c r="G47" s="183">
        <f t="shared" si="0"/>
        <v>0</v>
      </c>
      <c r="H47" s="468" t="s">
        <v>322</v>
      </c>
    </row>
    <row r="48" spans="2:8" x14ac:dyDescent="0.2">
      <c r="B48" s="457"/>
      <c r="C48" s="184" t="s">
        <v>221</v>
      </c>
      <c r="D48" s="183">
        <f>MAX(C69:D69)</f>
        <v>0</v>
      </c>
      <c r="E48" s="183">
        <f>MAX(E69:G69)</f>
        <v>0</v>
      </c>
      <c r="F48" s="183">
        <f>MAX(H69,J69)+MAX(I69,K69)</f>
        <v>0</v>
      </c>
      <c r="G48" s="183">
        <f t="shared" si="0"/>
        <v>0</v>
      </c>
      <c r="H48" s="468"/>
    </row>
    <row r="49" spans="2:11" x14ac:dyDescent="0.2">
      <c r="B49" s="456" t="s">
        <v>369</v>
      </c>
      <c r="C49" s="184" t="s">
        <v>220</v>
      </c>
      <c r="D49" s="183">
        <f>MIN(C70:D70)</f>
        <v>0</v>
      </c>
      <c r="E49" s="183">
        <f>MIN(E70:G70)</f>
        <v>0</v>
      </c>
      <c r="F49" s="183">
        <f>MIN(H70,J70)+MIN(I70,K70)</f>
        <v>0</v>
      </c>
      <c r="G49" s="183">
        <f t="shared" si="0"/>
        <v>0</v>
      </c>
      <c r="H49" s="468" t="s">
        <v>322</v>
      </c>
    </row>
    <row r="50" spans="2:11" x14ac:dyDescent="0.2">
      <c r="B50" s="457"/>
      <c r="C50" s="184" t="s">
        <v>221</v>
      </c>
      <c r="D50" s="183">
        <f>MAX(C70:D70)</f>
        <v>0</v>
      </c>
      <c r="E50" s="183">
        <f>MAX(E70:G70)</f>
        <v>0</v>
      </c>
      <c r="F50" s="183">
        <f>MAX(H70,J70)+MAX(I70,K70)</f>
        <v>0</v>
      </c>
      <c r="G50" s="183">
        <f t="shared" si="0"/>
        <v>0</v>
      </c>
      <c r="H50" s="468"/>
    </row>
    <row r="51" spans="2:11" x14ac:dyDescent="0.2">
      <c r="B51" s="456" t="s">
        <v>370</v>
      </c>
      <c r="C51" s="184" t="s">
        <v>220</v>
      </c>
      <c r="D51" s="183">
        <f>MIN(C71:D71)</f>
        <v>0</v>
      </c>
      <c r="E51" s="183">
        <f>MIN(E71:G71)</f>
        <v>0</v>
      </c>
      <c r="F51" s="183">
        <f>MIN(H71,J71)+MIN(I71,K71)</f>
        <v>0</v>
      </c>
      <c r="G51" s="183">
        <f t="shared" si="0"/>
        <v>0</v>
      </c>
      <c r="H51" s="468" t="s">
        <v>323</v>
      </c>
    </row>
    <row r="52" spans="2:11" x14ac:dyDescent="0.2">
      <c r="B52" s="457"/>
      <c r="C52" s="184" t="s">
        <v>221</v>
      </c>
      <c r="D52" s="183">
        <f>MAX(C71:D71)</f>
        <v>0</v>
      </c>
      <c r="E52" s="183">
        <f>MAX(E71:G71)</f>
        <v>0</v>
      </c>
      <c r="F52" s="183">
        <f>MAX(H71,J71)+MAX(I71,K71)</f>
        <v>0</v>
      </c>
      <c r="G52" s="183">
        <f t="shared" si="0"/>
        <v>0</v>
      </c>
      <c r="H52" s="468"/>
    </row>
    <row r="53" spans="2:11" x14ac:dyDescent="0.2">
      <c r="B53" s="456" t="s">
        <v>371</v>
      </c>
      <c r="C53" s="184" t="s">
        <v>220</v>
      </c>
      <c r="D53" s="183">
        <f>MIN(C72:D72)</f>
        <v>0</v>
      </c>
      <c r="E53" s="183">
        <f>MIN(E72:G72)</f>
        <v>0</v>
      </c>
      <c r="F53" s="183">
        <f>MIN(H72,J72)+MIN(I72,K72)</f>
        <v>0</v>
      </c>
      <c r="G53" s="183">
        <f t="shared" si="0"/>
        <v>0</v>
      </c>
      <c r="H53" s="468" t="s">
        <v>324</v>
      </c>
    </row>
    <row r="54" spans="2:11" x14ac:dyDescent="0.2">
      <c r="B54" s="457"/>
      <c r="C54" s="184" t="s">
        <v>221</v>
      </c>
      <c r="D54" s="183">
        <f>MAX(C72:D72)</f>
        <v>0</v>
      </c>
      <c r="E54" s="183">
        <f>MAX(E72:G72)</f>
        <v>0</v>
      </c>
      <c r="F54" s="183">
        <f>MAX(H72,J72)+MAX(I72,K72)</f>
        <v>0</v>
      </c>
      <c r="G54" s="183">
        <f t="shared" si="0"/>
        <v>0</v>
      </c>
      <c r="H54" s="468"/>
    </row>
    <row r="55" spans="2:11" x14ac:dyDescent="0.2">
      <c r="B55" s="456" t="s">
        <v>311</v>
      </c>
      <c r="C55" s="184" t="s">
        <v>220</v>
      </c>
      <c r="D55" s="183">
        <f>MIN(C73:D73)</f>
        <v>0</v>
      </c>
      <c r="E55" s="183">
        <f>MIN(E73:G73)</f>
        <v>0</v>
      </c>
      <c r="F55" s="183">
        <f>MIN(H73,J73)+MIN(I73,K73)</f>
        <v>0</v>
      </c>
      <c r="G55" s="183">
        <f t="shared" si="0"/>
        <v>0</v>
      </c>
      <c r="H55" s="468"/>
    </row>
    <row r="56" spans="2:11" x14ac:dyDescent="0.2">
      <c r="B56" s="457"/>
      <c r="C56" s="184" t="s">
        <v>221</v>
      </c>
      <c r="D56" s="183">
        <f>MAX(C73:D73)</f>
        <v>0</v>
      </c>
      <c r="E56" s="183">
        <f>MAX(E73:G73)</f>
        <v>0</v>
      </c>
      <c r="F56" s="183">
        <f>MAX(H73,J73)+MAX(I73,K73)</f>
        <v>0</v>
      </c>
      <c r="G56" s="183">
        <f t="shared" si="0"/>
        <v>0</v>
      </c>
      <c r="H56" s="468"/>
    </row>
    <row r="59" spans="2:11" ht="15.75" x14ac:dyDescent="0.25">
      <c r="B59" s="188" t="s">
        <v>284</v>
      </c>
    </row>
    <row r="60" spans="2:11" ht="16.5" thickBot="1" x14ac:dyDescent="0.3">
      <c r="B60" s="182" t="s">
        <v>167</v>
      </c>
    </row>
    <row r="61" spans="2:11" s="180" customFormat="1" ht="13.5" thickBot="1" x14ac:dyDescent="0.25">
      <c r="B61" s="181"/>
      <c r="C61" s="458" t="s">
        <v>222</v>
      </c>
      <c r="D61" s="459"/>
      <c r="E61" s="458" t="s">
        <v>314</v>
      </c>
      <c r="F61" s="465"/>
      <c r="G61" s="459"/>
      <c r="H61" s="462" t="s">
        <v>313</v>
      </c>
      <c r="I61" s="463"/>
      <c r="J61" s="463"/>
      <c r="K61" s="464"/>
    </row>
    <row r="62" spans="2:11" s="180" customFormat="1" x14ac:dyDescent="0.2">
      <c r="B62" s="181"/>
      <c r="C62" s="452" t="s">
        <v>332</v>
      </c>
      <c r="D62" s="454" t="s">
        <v>333</v>
      </c>
      <c r="E62" s="452" t="s">
        <v>334</v>
      </c>
      <c r="F62" s="466" t="s">
        <v>335</v>
      </c>
      <c r="G62" s="454" t="s">
        <v>336</v>
      </c>
      <c r="H62" s="458" t="s">
        <v>466</v>
      </c>
      <c r="I62" s="459"/>
      <c r="J62" s="460" t="s">
        <v>467</v>
      </c>
      <c r="K62" s="461"/>
    </row>
    <row r="63" spans="2:11" s="180" customFormat="1" x14ac:dyDescent="0.2">
      <c r="B63" s="181"/>
      <c r="C63" s="453"/>
      <c r="D63" s="455"/>
      <c r="E63" s="453"/>
      <c r="F63" s="467"/>
      <c r="G63" s="455"/>
      <c r="H63" s="179" t="s">
        <v>337</v>
      </c>
      <c r="I63" s="218" t="s">
        <v>338</v>
      </c>
      <c r="J63" s="179" t="s">
        <v>337</v>
      </c>
      <c r="K63" s="218" t="s">
        <v>338</v>
      </c>
    </row>
    <row r="64" spans="2:11" x14ac:dyDescent="0.2">
      <c r="B64" s="112" t="s">
        <v>363</v>
      </c>
      <c r="C64" s="178">
        <f>INDEX($F$79:$G$88,MATCH($B64,$B$79:$B$88,0),MATCH(C$62,$F$78:$G$78,0))</f>
        <v>5.5154816547376369E-2</v>
      </c>
      <c r="D64" s="177">
        <f>INDEX($F$79:$G$88,MATCH($B64,$B$79:$B$88,0),MATCH(D$62,$F$78:$G$78,0))</f>
        <v>2.3898848951214448E-2</v>
      </c>
      <c r="E64" s="178">
        <f t="shared" ref="E64:F73" si="1">F104</f>
        <v>6.6939017648871085E-2</v>
      </c>
      <c r="F64" s="176">
        <f t="shared" si="1"/>
        <v>5.8513200432517128E-2</v>
      </c>
      <c r="G64" s="177">
        <f t="shared" ref="G64:G73" si="2">G116</f>
        <v>2.9308524462024196E-2</v>
      </c>
      <c r="H64" s="178">
        <f>I137</f>
        <v>4.8011425252417556E-2</v>
      </c>
      <c r="I64" s="177">
        <f>J137</f>
        <v>3.7793157914262185E-3</v>
      </c>
      <c r="J64" s="178">
        <f>I149</f>
        <v>4.2826807100201959E-2</v>
      </c>
      <c r="K64" s="177">
        <f>J149</f>
        <v>3.0114446758856767E-3</v>
      </c>
    </row>
    <row r="65" spans="2:11" x14ac:dyDescent="0.2">
      <c r="B65" s="112" t="s">
        <v>453</v>
      </c>
      <c r="C65" s="178" t="str">
        <f t="shared" ref="C65:D73" si="3">INDEX($F$79:$G$88,MATCH($B65,$B$79:$B$88,0),MATCH(C$62,$F$78:$G$78,0))</f>
        <v xml:space="preserve"> -</v>
      </c>
      <c r="D65" s="177" t="str">
        <f t="shared" si="3"/>
        <v xml:space="preserve"> -</v>
      </c>
      <c r="E65" s="178" t="str">
        <f t="shared" si="1"/>
        <v xml:space="preserve"> - </v>
      </c>
      <c r="F65" s="176" t="str">
        <f t="shared" si="1"/>
        <v xml:space="preserve"> - </v>
      </c>
      <c r="G65" s="177" t="str">
        <f t="shared" si="2"/>
        <v xml:space="preserve"> - </v>
      </c>
      <c r="H65" s="178" t="str">
        <f t="shared" ref="H65:I73" si="4">I138</f>
        <v xml:space="preserve"> - </v>
      </c>
      <c r="I65" s="177" t="str">
        <f t="shared" si="4"/>
        <v xml:space="preserve"> - </v>
      </c>
      <c r="J65" s="178" t="str">
        <f t="shared" ref="J65:K73" si="5">I150</f>
        <v xml:space="preserve"> - </v>
      </c>
      <c r="K65" s="177" t="str">
        <f t="shared" si="5"/>
        <v xml:space="preserve"> - </v>
      </c>
    </row>
    <row r="66" spans="2:11" x14ac:dyDescent="0.2">
      <c r="B66" s="112" t="s">
        <v>365</v>
      </c>
      <c r="C66" s="178" t="str">
        <f t="shared" si="3"/>
        <v xml:space="preserve"> -</v>
      </c>
      <c r="D66" s="177" t="str">
        <f t="shared" si="3"/>
        <v xml:space="preserve"> -</v>
      </c>
      <c r="E66" s="178" t="str">
        <f t="shared" si="1"/>
        <v xml:space="preserve"> - </v>
      </c>
      <c r="F66" s="176" t="str">
        <f t="shared" si="1"/>
        <v xml:space="preserve"> - </v>
      </c>
      <c r="G66" s="177" t="str">
        <f t="shared" si="2"/>
        <v xml:space="preserve"> - </v>
      </c>
      <c r="H66" s="178" t="str">
        <f t="shared" si="4"/>
        <v xml:space="preserve"> - </v>
      </c>
      <c r="I66" s="177" t="str">
        <f t="shared" si="4"/>
        <v xml:space="preserve"> - </v>
      </c>
      <c r="J66" s="178" t="str">
        <f>I151</f>
        <v xml:space="preserve"> - </v>
      </c>
      <c r="K66" s="177" t="str">
        <f t="shared" si="5"/>
        <v xml:space="preserve"> - </v>
      </c>
    </row>
    <row r="67" spans="2:11" x14ac:dyDescent="0.2">
      <c r="B67" s="112" t="s">
        <v>366</v>
      </c>
      <c r="C67" s="178" t="str">
        <f t="shared" si="3"/>
        <v xml:space="preserve"> -</v>
      </c>
      <c r="D67" s="177" t="str">
        <f t="shared" si="3"/>
        <v xml:space="preserve"> -</v>
      </c>
      <c r="E67" s="178" t="str">
        <f t="shared" si="1"/>
        <v xml:space="preserve"> - </v>
      </c>
      <c r="F67" s="176" t="str">
        <f t="shared" si="1"/>
        <v xml:space="preserve"> - </v>
      </c>
      <c r="G67" s="177" t="str">
        <f t="shared" si="2"/>
        <v xml:space="preserve"> - </v>
      </c>
      <c r="H67" s="178" t="str">
        <f t="shared" si="4"/>
        <v xml:space="preserve"> - </v>
      </c>
      <c r="I67" s="177" t="str">
        <f t="shared" si="4"/>
        <v xml:space="preserve"> - </v>
      </c>
      <c r="J67" s="178" t="str">
        <f t="shared" si="5"/>
        <v xml:space="preserve"> - </v>
      </c>
      <c r="K67" s="177" t="str">
        <f t="shared" si="5"/>
        <v xml:space="preserve"> - </v>
      </c>
    </row>
    <row r="68" spans="2:11" x14ac:dyDescent="0.2">
      <c r="B68" s="193" t="s">
        <v>367</v>
      </c>
      <c r="C68" s="178" t="str">
        <f t="shared" si="3"/>
        <v xml:space="preserve"> -</v>
      </c>
      <c r="D68" s="177" t="str">
        <f t="shared" si="3"/>
        <v xml:space="preserve"> -</v>
      </c>
      <c r="E68" s="178" t="str">
        <f t="shared" si="1"/>
        <v xml:space="preserve"> - </v>
      </c>
      <c r="F68" s="176" t="str">
        <f t="shared" si="1"/>
        <v xml:space="preserve"> - </v>
      </c>
      <c r="G68" s="177" t="str">
        <f t="shared" si="2"/>
        <v xml:space="preserve"> - </v>
      </c>
      <c r="H68" s="178" t="str">
        <f t="shared" si="4"/>
        <v xml:space="preserve"> - </v>
      </c>
      <c r="I68" s="177" t="str">
        <f t="shared" si="4"/>
        <v xml:space="preserve"> - </v>
      </c>
      <c r="J68" s="178" t="str">
        <f t="shared" si="5"/>
        <v xml:space="preserve"> - </v>
      </c>
      <c r="K68" s="177" t="str">
        <f t="shared" si="5"/>
        <v xml:space="preserve"> - </v>
      </c>
    </row>
    <row r="69" spans="2:11" x14ac:dyDescent="0.2">
      <c r="B69" s="112" t="s">
        <v>454</v>
      </c>
      <c r="C69" s="178" t="str">
        <f t="shared" si="3"/>
        <v xml:space="preserve"> -</v>
      </c>
      <c r="D69" s="177" t="str">
        <f t="shared" si="3"/>
        <v xml:space="preserve"> -</v>
      </c>
      <c r="E69" s="178" t="str">
        <f t="shared" si="1"/>
        <v xml:space="preserve"> - </v>
      </c>
      <c r="F69" s="176" t="str">
        <f t="shared" si="1"/>
        <v xml:space="preserve"> - </v>
      </c>
      <c r="G69" s="177" t="str">
        <f t="shared" si="2"/>
        <v xml:space="preserve"> - </v>
      </c>
      <c r="H69" s="178" t="str">
        <f t="shared" si="4"/>
        <v xml:space="preserve"> - </v>
      </c>
      <c r="I69" s="177" t="str">
        <f>J142</f>
        <v xml:space="preserve"> - </v>
      </c>
      <c r="J69" s="178" t="str">
        <f t="shared" si="5"/>
        <v xml:space="preserve"> - </v>
      </c>
      <c r="K69" s="177" t="str">
        <f t="shared" si="5"/>
        <v xml:space="preserve"> - </v>
      </c>
    </row>
    <row r="70" spans="2:11" x14ac:dyDescent="0.2">
      <c r="B70" s="112" t="s">
        <v>369</v>
      </c>
      <c r="C70" s="178" t="str">
        <f t="shared" si="3"/>
        <v xml:space="preserve"> -</v>
      </c>
      <c r="D70" s="177" t="str">
        <f t="shared" si="3"/>
        <v xml:space="preserve"> -</v>
      </c>
      <c r="E70" s="178" t="str">
        <f t="shared" si="1"/>
        <v xml:space="preserve"> - </v>
      </c>
      <c r="F70" s="176" t="str">
        <f t="shared" si="1"/>
        <v xml:space="preserve"> - </v>
      </c>
      <c r="G70" s="177" t="str">
        <f t="shared" si="2"/>
        <v xml:space="preserve"> - </v>
      </c>
      <c r="H70" s="178" t="str">
        <f t="shared" si="4"/>
        <v xml:space="preserve"> - </v>
      </c>
      <c r="I70" s="177" t="str">
        <f t="shared" si="4"/>
        <v xml:space="preserve"> - </v>
      </c>
      <c r="J70" s="178" t="str">
        <f t="shared" si="5"/>
        <v xml:space="preserve"> - </v>
      </c>
      <c r="K70" s="177" t="str">
        <f>J155</f>
        <v xml:space="preserve"> - </v>
      </c>
    </row>
    <row r="71" spans="2:11" x14ac:dyDescent="0.2">
      <c r="B71" s="112" t="s">
        <v>370</v>
      </c>
      <c r="C71" s="178" t="str">
        <f t="shared" si="3"/>
        <v xml:space="preserve"> -</v>
      </c>
      <c r="D71" s="177" t="str">
        <f t="shared" si="3"/>
        <v xml:space="preserve"> -</v>
      </c>
      <c r="E71" s="178" t="str">
        <f t="shared" si="1"/>
        <v xml:space="preserve"> - </v>
      </c>
      <c r="F71" s="176" t="str">
        <f t="shared" si="1"/>
        <v xml:space="preserve"> - </v>
      </c>
      <c r="G71" s="177" t="str">
        <f t="shared" si="2"/>
        <v xml:space="preserve"> - </v>
      </c>
      <c r="H71" s="178" t="str">
        <f>I144</f>
        <v xml:space="preserve"> - </v>
      </c>
      <c r="I71" s="177" t="str">
        <f t="shared" si="4"/>
        <v xml:space="preserve"> - </v>
      </c>
      <c r="J71" s="178" t="str">
        <f t="shared" si="5"/>
        <v xml:space="preserve"> - </v>
      </c>
      <c r="K71" s="177" t="str">
        <f t="shared" si="5"/>
        <v xml:space="preserve"> - </v>
      </c>
    </row>
    <row r="72" spans="2:11" x14ac:dyDescent="0.2">
      <c r="B72" s="112" t="s">
        <v>371</v>
      </c>
      <c r="C72" s="178" t="str">
        <f t="shared" si="3"/>
        <v xml:space="preserve"> -</v>
      </c>
      <c r="D72" s="177" t="str">
        <f t="shared" si="3"/>
        <v xml:space="preserve"> -</v>
      </c>
      <c r="E72" s="178" t="str">
        <f t="shared" si="1"/>
        <v xml:space="preserve"> - </v>
      </c>
      <c r="F72" s="176" t="str">
        <f t="shared" si="1"/>
        <v xml:space="preserve"> - </v>
      </c>
      <c r="G72" s="177" t="str">
        <f t="shared" si="2"/>
        <v xml:space="preserve"> - </v>
      </c>
      <c r="H72" s="178" t="str">
        <f t="shared" si="4"/>
        <v xml:space="preserve"> - </v>
      </c>
      <c r="I72" s="177" t="str">
        <f t="shared" si="4"/>
        <v xml:space="preserve"> - </v>
      </c>
      <c r="J72" s="178" t="str">
        <f t="shared" si="5"/>
        <v xml:space="preserve"> - </v>
      </c>
      <c r="K72" s="177" t="str">
        <f t="shared" si="5"/>
        <v xml:space="preserve"> - </v>
      </c>
    </row>
    <row r="73" spans="2:11" ht="13.5" thickBot="1" x14ac:dyDescent="0.25">
      <c r="B73" s="112" t="s">
        <v>311</v>
      </c>
      <c r="C73" s="175" t="str">
        <f t="shared" si="3"/>
        <v xml:space="preserve"> -</v>
      </c>
      <c r="D73" s="174" t="str">
        <f t="shared" si="3"/>
        <v xml:space="preserve"> -</v>
      </c>
      <c r="E73" s="175" t="str">
        <f t="shared" si="1"/>
        <v xml:space="preserve"> - </v>
      </c>
      <c r="F73" s="173" t="str">
        <f t="shared" si="1"/>
        <v xml:space="preserve"> - </v>
      </c>
      <c r="G73" s="174" t="str">
        <f t="shared" si="2"/>
        <v xml:space="preserve"> - </v>
      </c>
      <c r="H73" s="175" t="str">
        <f t="shared" si="4"/>
        <v xml:space="preserve"> - </v>
      </c>
      <c r="I73" s="174" t="str">
        <f t="shared" si="4"/>
        <v xml:space="preserve"> - </v>
      </c>
      <c r="J73" s="175" t="str">
        <f t="shared" si="5"/>
        <v xml:space="preserve"> - </v>
      </c>
      <c r="K73" s="174" t="str">
        <f t="shared" si="5"/>
        <v xml:space="preserve"> - </v>
      </c>
    </row>
    <row r="76" spans="2:11" ht="15.75" x14ac:dyDescent="0.25">
      <c r="B76" s="188" t="s">
        <v>285</v>
      </c>
    </row>
    <row r="77" spans="2:11" ht="15.75" x14ac:dyDescent="0.25">
      <c r="B77" s="182" t="s">
        <v>219</v>
      </c>
    </row>
    <row r="78" spans="2:11" s="170" customFormat="1" ht="24.75" customHeight="1" x14ac:dyDescent="0.2">
      <c r="B78" s="172" t="s">
        <v>277</v>
      </c>
      <c r="C78" s="171" t="s">
        <v>273</v>
      </c>
      <c r="D78" s="171" t="s">
        <v>274</v>
      </c>
      <c r="E78" s="171" t="s">
        <v>350</v>
      </c>
      <c r="F78" s="172" t="s">
        <v>332</v>
      </c>
      <c r="G78" s="172" t="s">
        <v>333</v>
      </c>
    </row>
    <row r="79" spans="2:11" x14ac:dyDescent="0.2">
      <c r="B79" s="112" t="s">
        <v>363</v>
      </c>
      <c r="C79" s="169">
        <f>ABS('2.1 Profit &amp; Loss by component'!$F$32*INDEX('2.2 Allocation to services'!$D$56:$D$65,MATCH('6. Pricing template'!B79,'2.2 Allocation to services'!$C$56:$C$65,0),1))+ABS('2.1 Profit &amp; Loss by component'!$F$43*INDEX('2.2 Allocation to services'!$D$80:$D$89,MATCH('6. Pricing template'!B79,'2.2 Allocation to services'!$C$80:$C$89,0),1))-ABS('2.1 Profit &amp; Loss by component'!$F$37+'2.1 Profit &amp; Loss by component'!$F$26)*INDEX('2.2 Allocation to services'!$D$68:$D$77,MATCH('6. Pricing template'!B79,'2.2 Allocation to services'!$C$68:$C$77,0),1)</f>
        <v>3186078.7539337478</v>
      </c>
      <c r="D79" s="169">
        <f>ABS('2.1 Profit &amp; Loss by component'!$F$32*INDEX('2.2 Allocation to services'!$D$56:$D$65,MATCH('6. Pricing template'!B79,'2.2 Allocation to services'!$C$56:$C$65,0),1))-ABS('2.1 Profit &amp; Loss by component'!$F$26)*INDEX('2.2 Allocation to services'!$D$68:$D$77,MATCH('6. Pricing template'!B79,'2.2 Allocation to services'!$C$68:$C$77,0),1)</f>
        <v>1380543.3442341532</v>
      </c>
      <c r="E79" s="168">
        <f>INDEX('5. Historical demand'!$C$26:$C$35,MATCH('6. Pricing template'!B79,'5. Historical demand'!$B$26:$B$35,0),1)*(Yearending-Yearstart)</f>
        <v>57766.101917808024</v>
      </c>
      <c r="F79" s="167">
        <f>IFERROR(C79/(E79*1000)," -")</f>
        <v>5.5154816547376369E-2</v>
      </c>
      <c r="G79" s="167">
        <f>IFERROR(D79/(E79*1000)," -")</f>
        <v>2.3898848951214448E-2</v>
      </c>
    </row>
    <row r="80" spans="2:11" x14ac:dyDescent="0.2">
      <c r="B80" s="112" t="s">
        <v>453</v>
      </c>
      <c r="C80" s="169">
        <f>ABS('2.1 Profit &amp; Loss by component'!$F$32*INDEX('2.2 Allocation to services'!$D$56:$D$65,MATCH('6. Pricing template'!B80,'2.2 Allocation to services'!$C$56:$C$65,0),1))+ABS('2.1 Profit &amp; Loss by component'!$F$43*INDEX('2.2 Allocation to services'!$D$80:$D$89,MATCH('6. Pricing template'!B80,'2.2 Allocation to services'!$C$80:$C$89,0),1))-ABS('2.1 Profit &amp; Loss by component'!$F$37+'2.1 Profit &amp; Loss by component'!$F$26)*INDEX('2.2 Allocation to services'!$D$68:$D$77,MATCH('6. Pricing template'!B80,'2.2 Allocation to services'!$C$68:$C$77,0),1)</f>
        <v>0</v>
      </c>
      <c r="D80" s="169">
        <f>ABS('2.1 Profit &amp; Loss by component'!$F$32*INDEX('2.2 Allocation to services'!$D$56:$D$65,MATCH('6. Pricing template'!B80,'2.2 Allocation to services'!$C$56:$C$65,0),1))-ABS('2.1 Profit &amp; Loss by component'!$F$26)*INDEX('2.2 Allocation to services'!$D$68:$D$77,MATCH('6. Pricing template'!B80,'2.2 Allocation to services'!$C$68:$C$77,0),1)</f>
        <v>0</v>
      </c>
      <c r="E80" s="168">
        <f>INDEX('5. Historical demand'!$C$26:$C$35,MATCH('6. Pricing template'!B80,'5. Historical demand'!$B$26:$B$35,0),1)*(Yearending-Yearstart)</f>
        <v>0</v>
      </c>
      <c r="F80" s="167" t="str">
        <f t="shared" ref="F80:F88" si="6">IFERROR(C80/(E80*1000)," -")</f>
        <v xml:space="preserve"> -</v>
      </c>
      <c r="G80" s="167" t="str">
        <f t="shared" ref="G80:G88" si="7">IFERROR(D80/(E80*1000)," -")</f>
        <v xml:space="preserve"> -</v>
      </c>
    </row>
    <row r="81" spans="2:7" x14ac:dyDescent="0.2">
      <c r="B81" s="112" t="s">
        <v>365</v>
      </c>
      <c r="C81" s="169">
        <f>ABS('2.1 Profit &amp; Loss by component'!$F$32*INDEX('2.2 Allocation to services'!$D$56:$D$65,MATCH('6. Pricing template'!B81,'2.2 Allocation to services'!$C$56:$C$65,0),1))+ABS('2.1 Profit &amp; Loss by component'!$F$43*INDEX('2.2 Allocation to services'!$D$80:$D$89,MATCH('6. Pricing template'!B81,'2.2 Allocation to services'!$C$80:$C$89,0),1))-ABS('2.1 Profit &amp; Loss by component'!$F$37+'2.1 Profit &amp; Loss by component'!$F$26)*INDEX('2.2 Allocation to services'!$D$68:$D$77,MATCH('6. Pricing template'!B81,'2.2 Allocation to services'!$C$68:$C$77,0),1)</f>
        <v>704460.36999374768</v>
      </c>
      <c r="D81" s="169">
        <f>ABS('2.1 Profit &amp; Loss by component'!$F$32*INDEX('2.2 Allocation to services'!$D$56:$D$65,MATCH('6. Pricing template'!B81,'2.2 Allocation to services'!$C$56:$C$65,0),1))-ABS('2.1 Profit &amp; Loss by component'!$F$26)*INDEX('2.2 Allocation to services'!$D$68:$D$77,MATCH('6. Pricing template'!B81,'2.2 Allocation to services'!$C$68:$C$77,0),1)</f>
        <v>305246.08780333388</v>
      </c>
      <c r="E81" s="168">
        <f>INDEX('5. Historical demand'!$C$26:$C$35,MATCH('6. Pricing template'!B81,'5. Historical demand'!$B$26:$B$35,0),1)*(Yearending-Yearstart)</f>
        <v>0</v>
      </c>
      <c r="F81" s="167" t="str">
        <f t="shared" si="6"/>
        <v xml:space="preserve"> -</v>
      </c>
      <c r="G81" s="167" t="str">
        <f t="shared" si="7"/>
        <v xml:space="preserve"> -</v>
      </c>
    </row>
    <row r="82" spans="2:7" x14ac:dyDescent="0.2">
      <c r="B82" s="112" t="s">
        <v>366</v>
      </c>
      <c r="C82" s="169">
        <f>ABS('2.1 Profit &amp; Loss by component'!$F$32*INDEX('2.2 Allocation to services'!$D$56:$D$65,MATCH('6. Pricing template'!B82,'2.2 Allocation to services'!$C$56:$C$65,0),1))+ABS('2.1 Profit &amp; Loss by component'!$F$43*INDEX('2.2 Allocation to services'!$D$80:$D$89,MATCH('6. Pricing template'!B82,'2.2 Allocation to services'!$C$80:$C$89,0),1))-ABS('2.1 Profit &amp; Loss by component'!$F$37+'2.1 Profit &amp; Loss by component'!$F$26)*INDEX('2.2 Allocation to services'!$D$68:$D$77,MATCH('6. Pricing template'!B82,'2.2 Allocation to services'!$C$68:$C$77,0),1)</f>
        <v>0</v>
      </c>
      <c r="D82" s="169">
        <f>ABS('2.1 Profit &amp; Loss by component'!$F$32*INDEX('2.2 Allocation to services'!$D$56:$D$65,MATCH('6. Pricing template'!B82,'2.2 Allocation to services'!$C$56:$C$65,0),1))-ABS('2.1 Profit &amp; Loss by component'!$F$26)*INDEX('2.2 Allocation to services'!$D$68:$D$77,MATCH('6. Pricing template'!B82,'2.2 Allocation to services'!$C$68:$C$77,0),1)</f>
        <v>0</v>
      </c>
      <c r="E82" s="168">
        <f>INDEX('5. Historical demand'!$C$26:$C$35,MATCH('6. Pricing template'!B82,'5. Historical demand'!$B$26:$B$35,0),1)*(Yearending-Yearstart)</f>
        <v>0</v>
      </c>
      <c r="F82" s="167" t="str">
        <f t="shared" si="6"/>
        <v xml:space="preserve"> -</v>
      </c>
      <c r="G82" s="167" t="str">
        <f t="shared" si="7"/>
        <v xml:space="preserve"> -</v>
      </c>
    </row>
    <row r="83" spans="2:7" x14ac:dyDescent="0.2">
      <c r="B83" s="193" t="s">
        <v>367</v>
      </c>
      <c r="C83" s="169">
        <f>ABS('2.1 Profit &amp; Loss by component'!$F$32*INDEX('2.2 Allocation to services'!$D$56:$D$65,MATCH('6. Pricing template'!B83,'2.2 Allocation to services'!$C$56:$C$65,0),1))+ABS('2.1 Profit &amp; Loss by component'!$F$43*INDEX('2.2 Allocation to services'!$D$80:$D$89,MATCH('6. Pricing template'!B83,'2.2 Allocation to services'!$C$80:$C$89,0),1))-ABS('2.1 Profit &amp; Loss by component'!$F$37+'2.1 Profit &amp; Loss by component'!$F$26)*INDEX('2.2 Allocation to services'!$D$68:$D$77,MATCH('6. Pricing template'!B83,'2.2 Allocation to services'!$C$68:$C$77,0),1)</f>
        <v>0</v>
      </c>
      <c r="D83" s="169">
        <f>ABS('2.1 Profit &amp; Loss by component'!$F$32*INDEX('2.2 Allocation to services'!$D$56:$D$65,MATCH('6. Pricing template'!B83,'2.2 Allocation to services'!$C$56:$C$65,0),1))-ABS('2.1 Profit &amp; Loss by component'!$F$26)*INDEX('2.2 Allocation to services'!$D$68:$D$77,MATCH('6. Pricing template'!B83,'2.2 Allocation to services'!$C$68:$C$77,0),1)</f>
        <v>0</v>
      </c>
      <c r="E83" s="168">
        <f>INDEX('5. Historical demand'!$C$26:$C$35,MATCH('6. Pricing template'!B83,'5. Historical demand'!$B$26:$B$35,0),1)*(Yearending-Yearstart)</f>
        <v>0</v>
      </c>
      <c r="F83" s="167" t="str">
        <f t="shared" si="6"/>
        <v xml:space="preserve"> -</v>
      </c>
      <c r="G83" s="167" t="str">
        <f t="shared" si="7"/>
        <v xml:space="preserve"> -</v>
      </c>
    </row>
    <row r="84" spans="2:7" x14ac:dyDescent="0.2">
      <c r="B84" s="112" t="s">
        <v>454</v>
      </c>
      <c r="C84" s="169">
        <f>ABS('2.1 Profit &amp; Loss by component'!$F$32*INDEX('2.2 Allocation to services'!$D$56:$D$65,MATCH('6. Pricing template'!B84,'2.2 Allocation to services'!$C$56:$C$65,0),1))+ABS('2.1 Profit &amp; Loss by component'!$F$43*INDEX('2.2 Allocation to services'!$D$80:$D$89,MATCH('6. Pricing template'!B84,'2.2 Allocation to services'!$C$80:$C$89,0),1))-ABS('2.1 Profit &amp; Loss by component'!$F$37+'2.1 Profit &amp; Loss by component'!$F$26)*INDEX('2.2 Allocation to services'!$D$68:$D$77,MATCH('6. Pricing template'!B84,'2.2 Allocation to services'!$C$68:$C$77,0),1)</f>
        <v>0</v>
      </c>
      <c r="D84" s="169">
        <f>ABS('2.1 Profit &amp; Loss by component'!$F$32*INDEX('2.2 Allocation to services'!$D$56:$D$65,MATCH('6. Pricing template'!B84,'2.2 Allocation to services'!$C$56:$C$65,0),1))-ABS('2.1 Profit &amp; Loss by component'!$F$26)*INDEX('2.2 Allocation to services'!$D$68:$D$77,MATCH('6. Pricing template'!B84,'2.2 Allocation to services'!$C$68:$C$77,0),1)</f>
        <v>0</v>
      </c>
      <c r="E84" s="168">
        <f>INDEX('5. Historical demand'!$C$26:$C$35,MATCH('6. Pricing template'!B84,'5. Historical demand'!$B$26:$B$35,0),1)*(Yearending-Yearstart)</f>
        <v>0</v>
      </c>
      <c r="F84" s="167" t="str">
        <f t="shared" si="6"/>
        <v xml:space="preserve"> -</v>
      </c>
      <c r="G84" s="167" t="str">
        <f t="shared" si="7"/>
        <v xml:space="preserve"> -</v>
      </c>
    </row>
    <row r="85" spans="2:7" x14ac:dyDescent="0.2">
      <c r="B85" s="112" t="s">
        <v>369</v>
      </c>
      <c r="C85" s="169">
        <f>ABS('2.1 Profit &amp; Loss by component'!$F$32*INDEX('2.2 Allocation to services'!$D$56:$D$65,MATCH('6. Pricing template'!B85,'2.2 Allocation to services'!$C$56:$C$65,0),1))+ABS('2.1 Profit &amp; Loss by component'!$F$43*INDEX('2.2 Allocation to services'!$D$80:$D$89,MATCH('6. Pricing template'!B85,'2.2 Allocation to services'!$C$80:$C$89,0),1))-ABS('2.1 Profit &amp; Loss by component'!$F$37+'2.1 Profit &amp; Loss by component'!$F$26)*INDEX('2.2 Allocation to services'!$D$68:$D$77,MATCH('6. Pricing template'!B85,'2.2 Allocation to services'!$C$68:$C$77,0),1)</f>
        <v>0</v>
      </c>
      <c r="D85" s="169">
        <f>ABS('2.1 Profit &amp; Loss by component'!$F$32*INDEX('2.2 Allocation to services'!$D$56:$D$65,MATCH('6. Pricing template'!B85,'2.2 Allocation to services'!$C$56:$C$65,0),1))-ABS('2.1 Profit &amp; Loss by component'!$F$26)*INDEX('2.2 Allocation to services'!$D$68:$D$77,MATCH('6. Pricing template'!B85,'2.2 Allocation to services'!$C$68:$C$77,0),1)</f>
        <v>0</v>
      </c>
      <c r="E85" s="168">
        <f>INDEX('5. Historical demand'!$C$26:$C$35,MATCH('6. Pricing template'!B85,'5. Historical demand'!$B$26:$B$35,0),1)*(Yearending-Yearstart)</f>
        <v>0</v>
      </c>
      <c r="F85" s="167" t="str">
        <f t="shared" si="6"/>
        <v xml:space="preserve"> -</v>
      </c>
      <c r="G85" s="167" t="str">
        <f t="shared" si="7"/>
        <v xml:space="preserve"> -</v>
      </c>
    </row>
    <row r="86" spans="2:7" x14ac:dyDescent="0.2">
      <c r="B86" s="112" t="s">
        <v>370</v>
      </c>
      <c r="C86" s="169">
        <f>ABS('2.1 Profit &amp; Loss by component'!$F$32*INDEX('2.2 Allocation to services'!$D$56:$D$65,MATCH('6. Pricing template'!B86,'2.2 Allocation to services'!$C$56:$C$65,0),1))+ABS('2.1 Profit &amp; Loss by component'!$F$43*INDEX('2.2 Allocation to services'!$D$80:$D$89,MATCH('6. Pricing template'!B86,'2.2 Allocation to services'!$C$80:$C$89,0),1))-ABS('2.1 Profit &amp; Loss by component'!$F$37+'2.1 Profit &amp; Loss by component'!$F$26)*INDEX('2.2 Allocation to services'!$D$68:$D$77,MATCH('6. Pricing template'!B86,'2.2 Allocation to services'!$C$68:$C$77,0),1)</f>
        <v>1142.6242173443061</v>
      </c>
      <c r="D86" s="169">
        <f>ABS('2.1 Profit &amp; Loss by component'!$F$32*INDEX('2.2 Allocation to services'!$D$56:$D$65,MATCH('6. Pricing template'!B86,'2.2 Allocation to services'!$C$56:$C$65,0),1))-ABS('2.1 Profit &amp; Loss by component'!$F$26)*INDEX('2.2 Allocation to services'!$D$68:$D$77,MATCH('6. Pricing template'!B86,'2.2 Allocation to services'!$C$68:$C$77,0),1)</f>
        <v>495.10460350919561</v>
      </c>
      <c r="E86" s="168">
        <f>INDEX('5. Historical demand'!$C$26:$C$35,MATCH('6. Pricing template'!B86,'5. Historical demand'!$B$26:$B$35,0),1)*(Yearending-Yearstart)</f>
        <v>0</v>
      </c>
      <c r="F86" s="167" t="str">
        <f t="shared" si="6"/>
        <v xml:space="preserve"> -</v>
      </c>
      <c r="G86" s="167" t="str">
        <f t="shared" si="7"/>
        <v xml:space="preserve"> -</v>
      </c>
    </row>
    <row r="87" spans="2:7" x14ac:dyDescent="0.2">
      <c r="B87" s="112" t="s">
        <v>371</v>
      </c>
      <c r="C87" s="169">
        <f>ABS('2.1 Profit &amp; Loss by component'!$F$32*INDEX('2.2 Allocation to services'!$D$56:$D$65,MATCH('6. Pricing template'!B87,'2.2 Allocation to services'!$C$56:$C$65,0),1))+ABS('2.1 Profit &amp; Loss by component'!$F$43*INDEX('2.2 Allocation to services'!$D$80:$D$89,MATCH('6. Pricing template'!B87,'2.2 Allocation to services'!$C$80:$C$89,0),1))-ABS('2.1 Profit &amp; Loss by component'!$F$37+'2.1 Profit &amp; Loss by component'!$F$26)*INDEX('2.2 Allocation to services'!$D$68:$D$77,MATCH('6. Pricing template'!B87,'2.2 Allocation to services'!$C$68:$C$77,0),1)</f>
        <v>0</v>
      </c>
      <c r="D87" s="169">
        <f>ABS('2.1 Profit &amp; Loss by component'!$F$32*INDEX('2.2 Allocation to services'!$D$56:$D$65,MATCH('6. Pricing template'!B87,'2.2 Allocation to services'!$C$56:$C$65,0),1))-ABS('2.1 Profit &amp; Loss by component'!$F$26)*INDEX('2.2 Allocation to services'!$D$68:$D$77,MATCH('6. Pricing template'!B87,'2.2 Allocation to services'!$C$68:$C$77,0),1)</f>
        <v>0</v>
      </c>
      <c r="E87" s="168">
        <f>INDEX('5. Historical demand'!$C$26:$C$35,MATCH('6. Pricing template'!B87,'5. Historical demand'!$B$26:$B$35,0),1)*(Yearending-Yearstart)</f>
        <v>0</v>
      </c>
      <c r="F87" s="167" t="str">
        <f t="shared" si="6"/>
        <v xml:space="preserve"> -</v>
      </c>
      <c r="G87" s="167" t="str">
        <f t="shared" si="7"/>
        <v xml:space="preserve"> -</v>
      </c>
    </row>
    <row r="88" spans="2:7" x14ac:dyDescent="0.2">
      <c r="B88" s="112" t="s">
        <v>311</v>
      </c>
      <c r="C88" s="169">
        <f>ABS('2.1 Profit &amp; Loss by component'!$F$32*INDEX('2.2 Allocation to services'!$D$56:$D$65,MATCH('6. Pricing template'!B88,'2.2 Allocation to services'!$C$56:$C$65,0),1))+ABS('2.1 Profit &amp; Loss by component'!$F$43*INDEX('2.2 Allocation to services'!$D$80:$D$89,MATCH('6. Pricing template'!B88,'2.2 Allocation to services'!$C$80:$C$89,0),1))-ABS('2.1 Profit &amp; Loss by component'!$F$37+'2.1 Profit &amp; Loss by component'!$F$26)*INDEX('2.2 Allocation to services'!$D$68:$D$77,MATCH('6. Pricing template'!B88,'2.2 Allocation to services'!$C$68:$C$77,0),1)</f>
        <v>110620.76614515082</v>
      </c>
      <c r="D88" s="169">
        <f>ABS('2.1 Profit &amp; Loss by component'!$F$32*INDEX('2.2 Allocation to services'!$D$56:$D$65,MATCH('6. Pricing template'!B88,'2.2 Allocation to services'!$C$56:$C$65,0),1))-ABS('2.1 Profit &amp; Loss by component'!$F$26)*INDEX('2.2 Allocation to services'!$D$68:$D$77,MATCH('6. Pricing template'!B88,'2.2 Allocation to services'!$C$68:$C$77,0),1)</f>
        <v>47932.513359004806</v>
      </c>
      <c r="E88" s="168">
        <f>INDEX('5. Historical demand'!$C$26:$C$35,MATCH('6. Pricing template'!B88,'5. Historical demand'!$B$26:$B$35,0),1)*(Yearending-Yearstart)</f>
        <v>0</v>
      </c>
      <c r="F88" s="167" t="str">
        <f t="shared" si="6"/>
        <v xml:space="preserve"> -</v>
      </c>
      <c r="G88" s="167" t="str">
        <f t="shared" si="7"/>
        <v xml:space="preserve"> -</v>
      </c>
    </row>
    <row r="90" spans="2:7" ht="15.75" x14ac:dyDescent="0.25">
      <c r="B90" s="182" t="s">
        <v>117</v>
      </c>
    </row>
    <row r="91" spans="2:7" x14ac:dyDescent="0.2">
      <c r="B91" s="166" t="s">
        <v>194</v>
      </c>
      <c r="C91" s="187" t="s">
        <v>430</v>
      </c>
      <c r="D91" s="187" t="s">
        <v>195</v>
      </c>
      <c r="E91" s="187" t="s">
        <v>196</v>
      </c>
    </row>
    <row r="92" spans="2:7" x14ac:dyDescent="0.2">
      <c r="B92" s="112" t="s">
        <v>363</v>
      </c>
      <c r="C92" s="169">
        <f>IF(Cover!$C$23="Scheme pipeline",( '3.2 Regulatory Asset Base'!$H$95-'3.2 Regulatory Asset Base'!$H$94)*C21,('3.1 Depreciated Book Value'!$D$25+'3.1 Depreciated Book Value'!$D$33+'3.1 Depreciated Book Value'!$D$41+'3.1 Depreciated Book Value'!$D$49+'3.1 Depreciated Book Value'!$D$57+'3.1 Depreciated Book Value'!$D$65+'3.1 Depreciated Book Value'!$D$73+'3.1 Depreciated Book Value'!$D$88+'3.1 Depreciated Book Value'!$D$96)*C21)</f>
        <v>37048068.806632005</v>
      </c>
      <c r="D92" s="169">
        <f>ABS('2.1 Profit &amp; Loss by component'!$F$26)*INDEX('2.2 Allocation to services'!$D$68:$D$77,MATCH('6. Pricing template'!B79,'2.2 Allocation to services'!$C$68:$C$77,0),1)/(Yearending-Yearstart)*365</f>
        <v>3389365.432413457</v>
      </c>
      <c r="E92" s="165">
        <f t="shared" ref="E92:E101" si="8">IFERROR(C92/D92," - ")</f>
        <v>10.930679959242777</v>
      </c>
    </row>
    <row r="93" spans="2:7" x14ac:dyDescent="0.2">
      <c r="B93" s="112" t="s">
        <v>453</v>
      </c>
      <c r="C93" s="169">
        <f>IF(Cover!$C$23="Scheme pipeline",( '3.2 Regulatory Asset Base'!$H$95-'3.2 Regulatory Asset Base'!$H$94)*C22,('3.1 Depreciated Book Value'!$D$25+'3.1 Depreciated Book Value'!$D$33+'3.1 Depreciated Book Value'!$D$41+'3.1 Depreciated Book Value'!$D$49+'3.1 Depreciated Book Value'!$D$57+'3.1 Depreciated Book Value'!$D$65+'3.1 Depreciated Book Value'!$D$73+'3.1 Depreciated Book Value'!$D$88+'3.1 Depreciated Book Value'!$D$96)*C22)</f>
        <v>0</v>
      </c>
      <c r="D93" s="169">
        <f>ABS('2.1 Profit &amp; Loss by component'!$F$26)*INDEX('2.2 Allocation to services'!$D$68:$D$77,MATCH('6. Pricing template'!B80,'2.2 Allocation to services'!$C$68:$C$77,0),1)/(Yearending-Yearstart)*365</f>
        <v>0</v>
      </c>
      <c r="E93" s="165" t="str">
        <f t="shared" si="8"/>
        <v xml:space="preserve"> - </v>
      </c>
      <c r="G93" s="164"/>
    </row>
    <row r="94" spans="2:7" x14ac:dyDescent="0.2">
      <c r="B94" s="112" t="s">
        <v>365</v>
      </c>
      <c r="C94" s="169">
        <f>IF(Cover!$C$23="Scheme pipeline",( '3.2 Regulatory Asset Base'!$H$95-'3.2 Regulatory Asset Base'!$H$94)*C23,('3.1 Depreciated Book Value'!$D$25+'3.1 Depreciated Book Value'!$D$33+'3.1 Depreciated Book Value'!$D$41+'3.1 Depreciated Book Value'!$D$49+'3.1 Depreciated Book Value'!$D$57+'3.1 Depreciated Book Value'!$D$65+'3.1 Depreciated Book Value'!$D$73+'3.1 Depreciated Book Value'!$D$88+'3.1 Depreciated Book Value'!$D$96)*C23)</f>
        <v>8191541.4761328017</v>
      </c>
      <c r="D94" s="169">
        <f>ABS('2.1 Profit &amp; Loss by component'!$F$26)*INDEX('2.2 Allocation to services'!$D$68:$D$77,MATCH('6. Pricing template'!B81,'2.2 Allocation to services'!$C$68:$C$77,0),1)/(Yearending-Yearstart)*365</f>
        <v>749408.2258996329</v>
      </c>
      <c r="E94" s="165">
        <f t="shared" si="8"/>
        <v>10.930679959242777</v>
      </c>
    </row>
    <row r="95" spans="2:7" x14ac:dyDescent="0.2">
      <c r="B95" s="112" t="s">
        <v>366</v>
      </c>
      <c r="C95" s="169">
        <f>IF(Cover!$C$23="Scheme pipeline",( '3.2 Regulatory Asset Base'!$H$95-'3.2 Regulatory Asset Base'!$H$94)*C24,('3.1 Depreciated Book Value'!$D$25+'3.1 Depreciated Book Value'!$D$33+'3.1 Depreciated Book Value'!$D$41+'3.1 Depreciated Book Value'!$D$49+'3.1 Depreciated Book Value'!$D$57+'3.1 Depreciated Book Value'!$D$65+'3.1 Depreciated Book Value'!$D$73+'3.1 Depreciated Book Value'!$D$88+'3.1 Depreciated Book Value'!$D$96)*C24)</f>
        <v>0</v>
      </c>
      <c r="D95" s="169">
        <f>ABS('2.1 Profit &amp; Loss by component'!$F$26)*INDEX('2.2 Allocation to services'!$D$68:$D$77,MATCH('6. Pricing template'!B82,'2.2 Allocation to services'!$C$68:$C$77,0),1)/(Yearending-Yearstart)*365</f>
        <v>0</v>
      </c>
      <c r="E95" s="165" t="str">
        <f t="shared" si="8"/>
        <v xml:space="preserve"> - </v>
      </c>
    </row>
    <row r="96" spans="2:7" x14ac:dyDescent="0.2">
      <c r="B96" s="193" t="s">
        <v>367</v>
      </c>
      <c r="C96" s="169">
        <f>IF(Cover!$C$23="Scheme pipeline",( '3.2 Regulatory Asset Base'!$H$95-'3.2 Regulatory Asset Base'!$H$94)*C25,('3.1 Depreciated Book Value'!$D$25+'3.1 Depreciated Book Value'!$D$33+'3.1 Depreciated Book Value'!$D$41+'3.1 Depreciated Book Value'!$D$49+'3.1 Depreciated Book Value'!$D$57+'3.1 Depreciated Book Value'!$D$65+'3.1 Depreciated Book Value'!$D$73+'3.1 Depreciated Book Value'!$D$88+'3.1 Depreciated Book Value'!$D$96)*C25)</f>
        <v>0</v>
      </c>
      <c r="D96" s="169">
        <f>ABS('2.1 Profit &amp; Loss by component'!$F$26)*INDEX('2.2 Allocation to services'!$D$68:$D$77,MATCH('6. Pricing template'!B83,'2.2 Allocation to services'!$C$68:$C$77,0),1)/(Yearending-Yearstart)*365</f>
        <v>0</v>
      </c>
      <c r="E96" s="165" t="str">
        <f t="shared" si="8"/>
        <v xml:space="preserve"> - </v>
      </c>
    </row>
    <row r="97" spans="2:7" x14ac:dyDescent="0.2">
      <c r="B97" s="112" t="s">
        <v>454</v>
      </c>
      <c r="C97" s="169">
        <f>IF(Cover!$C$23="Scheme pipeline",( '3.2 Regulatory Asset Base'!$H$95-'3.2 Regulatory Asset Base'!$H$94)*C26,('3.1 Depreciated Book Value'!$D$25+'3.1 Depreciated Book Value'!$D$33+'3.1 Depreciated Book Value'!$D$41+'3.1 Depreciated Book Value'!$D$49+'3.1 Depreciated Book Value'!$D$57+'3.1 Depreciated Book Value'!$D$65+'3.1 Depreciated Book Value'!$D$73+'3.1 Depreciated Book Value'!$D$88+'3.1 Depreciated Book Value'!$D$96)*C26)</f>
        <v>0</v>
      </c>
      <c r="D97" s="169">
        <f>ABS('2.1 Profit &amp; Loss by component'!$F$26)*INDEX('2.2 Allocation to services'!$D$68:$D$77,MATCH('6. Pricing template'!B84,'2.2 Allocation to services'!$C$68:$C$77,0),1)/(Yearending-Yearstart)*365</f>
        <v>0</v>
      </c>
      <c r="E97" s="165" t="str">
        <f t="shared" si="8"/>
        <v xml:space="preserve"> - </v>
      </c>
    </row>
    <row r="98" spans="2:7" x14ac:dyDescent="0.2">
      <c r="B98" s="112" t="s">
        <v>369</v>
      </c>
      <c r="C98" s="169">
        <f>IF(Cover!$C$23="Scheme pipeline",( '3.2 Regulatory Asset Base'!$H$95-'3.2 Regulatory Asset Base'!$H$94)*C27,('3.1 Depreciated Book Value'!$D$25+'3.1 Depreciated Book Value'!$D$33+'3.1 Depreciated Book Value'!$D$41+'3.1 Depreciated Book Value'!$D$49+'3.1 Depreciated Book Value'!$D$57+'3.1 Depreciated Book Value'!$D$65+'3.1 Depreciated Book Value'!$D$73+'3.1 Depreciated Book Value'!$D$88+'3.1 Depreciated Book Value'!$D$96)*C27)</f>
        <v>0</v>
      </c>
      <c r="D98" s="169">
        <f>ABS('2.1 Profit &amp; Loss by component'!$F$26)*INDEX('2.2 Allocation to services'!$D$68:$D$77,MATCH('6. Pricing template'!B85,'2.2 Allocation to services'!$C$68:$C$77,0),1)/(Yearending-Yearstart)*365</f>
        <v>0</v>
      </c>
      <c r="E98" s="165" t="str">
        <f t="shared" si="8"/>
        <v xml:space="preserve"> - </v>
      </c>
    </row>
    <row r="99" spans="2:7" x14ac:dyDescent="0.2">
      <c r="B99" s="112" t="s">
        <v>370</v>
      </c>
      <c r="C99" s="169">
        <f>IF(Cover!$C$23="Scheme pipeline",( '3.2 Regulatory Asset Base'!$H$95-'3.2 Regulatory Asset Base'!$H$94)*C28,('3.1 Depreciated Book Value'!$D$25+'3.1 Depreciated Book Value'!$D$33+'3.1 Depreciated Book Value'!$D$41+'3.1 Depreciated Book Value'!$D$49+'3.1 Depreciated Book Value'!$D$57+'3.1 Depreciated Book Value'!$D$65+'3.1 Depreciated Book Value'!$D$73+'3.1 Depreciated Book Value'!$D$88+'3.1 Depreciated Book Value'!$D$96)*C28)</f>
        <v>13286.558146759537</v>
      </c>
      <c r="D99" s="169">
        <f>ABS('2.1 Profit &amp; Loss by component'!$F$26)*INDEX('2.2 Allocation to services'!$D$68:$D$77,MATCH('6. Pricing template'!B86,'2.2 Allocation to services'!$C$68:$C$77,0),1)/(Yearending-Yearstart)*365</f>
        <v>1215.5289694969683</v>
      </c>
      <c r="E99" s="165">
        <f t="shared" si="8"/>
        <v>10.930679959242777</v>
      </c>
    </row>
    <row r="100" spans="2:7" x14ac:dyDescent="0.2">
      <c r="B100" s="112" t="s">
        <v>371</v>
      </c>
      <c r="C100" s="169">
        <f>IF(Cover!$C$23="Scheme pipeline",( '3.2 Regulatory Asset Base'!$H$95-'3.2 Regulatory Asset Base'!$H$94)*C29,('3.1 Depreciated Book Value'!$D$25+'3.1 Depreciated Book Value'!$D$33+'3.1 Depreciated Book Value'!$D$41+'3.1 Depreciated Book Value'!$D$49+'3.1 Depreciated Book Value'!$D$57+'3.1 Depreciated Book Value'!$D$65+'3.1 Depreciated Book Value'!$D$73+'3.1 Depreciated Book Value'!$D$88+'3.1 Depreciated Book Value'!$D$96)*C29)</f>
        <v>0</v>
      </c>
      <c r="D100" s="169">
        <f>ABS('2.1 Profit &amp; Loss by component'!$F$26)*INDEX('2.2 Allocation to services'!$D$68:$D$77,MATCH('6. Pricing template'!B87,'2.2 Allocation to services'!$C$68:$C$77,0),1)/(Yearending-Yearstart)*365</f>
        <v>0</v>
      </c>
      <c r="E100" s="165" t="str">
        <f t="shared" si="8"/>
        <v xml:space="preserve"> - </v>
      </c>
    </row>
    <row r="101" spans="2:7" x14ac:dyDescent="0.2">
      <c r="B101" s="112" t="s">
        <v>311</v>
      </c>
      <c r="C101" s="169">
        <f>IF(Cover!$C$23="Scheme pipeline",( '3.2 Regulatory Asset Base'!$H$95-'3.2 Regulatory Asset Base'!$H$94)*C30,('3.1 Depreciated Book Value'!$D$25+'3.1 Depreciated Book Value'!$D$33+'3.1 Depreciated Book Value'!$D$41+'3.1 Depreciated Book Value'!$D$49+'3.1 Depreciated Book Value'!$D$57+'3.1 Depreciated Book Value'!$D$65+'3.1 Depreciated Book Value'!$D$73+'3.1 Depreciated Book Value'!$D$88+'3.1 Depreciated Book Value'!$D$96)*C30)</f>
        <v>1286310.2490884373</v>
      </c>
      <c r="D101" s="169">
        <f>ABS('2.1 Profit &amp; Loss by component'!$F$26)*INDEX('2.2 Allocation to services'!$D$68:$D$77,MATCH('6. Pricing template'!B88,'2.2 Allocation to services'!$C$68:$C$77,0),1)/(Yearending-Yearstart)*365</f>
        <v>117678.88675587445</v>
      </c>
      <c r="E101" s="165">
        <f t="shared" si="8"/>
        <v>10.930679959242779</v>
      </c>
    </row>
    <row r="103" spans="2:7" s="170" customFormat="1" ht="27" customHeight="1" x14ac:dyDescent="0.2">
      <c r="B103" s="163" t="s">
        <v>228</v>
      </c>
      <c r="C103" s="171" t="s">
        <v>278</v>
      </c>
      <c r="D103" s="171" t="s">
        <v>279</v>
      </c>
      <c r="E103" s="171" t="s">
        <v>350</v>
      </c>
      <c r="F103" s="172" t="s">
        <v>334</v>
      </c>
      <c r="G103" s="199" t="s">
        <v>335</v>
      </c>
    </row>
    <row r="104" spans="2:7" x14ac:dyDescent="0.2">
      <c r="B104" s="112" t="s">
        <v>363</v>
      </c>
      <c r="C104" s="169">
        <f>ABS('2.1 Profit &amp; Loss by component'!$F$26+'2.1 Profit &amp; Loss by component'!$F$37)*INDEX('2.2 Allocation to services'!$D$68:$D$77,MATCH(B104,'2.2 Allocation to services'!$C$68:$C$77,0),1)</f>
        <v>3866806.1157826376</v>
      </c>
      <c r="D104" s="169">
        <f>ABS('2.1 Profit &amp; Loss by component'!$F$26*INDEX('2.2 Allocation to services'!$D$68:$D$77,MATCH(B104,'2.2 Allocation to services'!$C$68:$C$77,0),1))</f>
        <v>3380079.4997219131</v>
      </c>
      <c r="E104" s="168">
        <f>INDEX('5. Historical demand'!$C$26:$C$35,MATCH(B104,'5. Historical demand'!$B$26:$B$35,0),1)*(Yearending-Yearstart)</f>
        <v>57766.101917808024</v>
      </c>
      <c r="F104" s="200">
        <f>IFERROR(C104/(E104*1000)," - ")</f>
        <v>6.6939017648871085E-2</v>
      </c>
      <c r="G104" s="200">
        <f>IFERROR(D104/(E104*1000)," - ")</f>
        <v>5.8513200432517128E-2</v>
      </c>
    </row>
    <row r="105" spans="2:7" x14ac:dyDescent="0.2">
      <c r="B105" s="112" t="s">
        <v>453</v>
      </c>
      <c r="C105" s="169">
        <f>ABS('2.1 Profit &amp; Loss by component'!$F$26+'2.1 Profit &amp; Loss by component'!$F$37)*INDEX('2.2 Allocation to services'!$D$68:$D$77,MATCH(B105,'2.2 Allocation to services'!$C$68:$C$77,0),1)</f>
        <v>0</v>
      </c>
      <c r="D105" s="169">
        <f>ABS('2.1 Profit &amp; Loss by component'!$F$26*INDEX('2.2 Allocation to services'!$D$68:$D$77,MATCH(B105,'2.2 Allocation to services'!$C$68:$C$77,0),1))</f>
        <v>0</v>
      </c>
      <c r="E105" s="168">
        <f>INDEX('5. Historical demand'!$C$26:$C$35,MATCH(B105,'5. Historical demand'!$B$26:$B$35,0),1)*(Yearending-Yearstart)</f>
        <v>0</v>
      </c>
      <c r="F105" s="200" t="str">
        <f t="shared" ref="F105:F113" si="9">IFERROR(C105/(E105*1000)," - ")</f>
        <v xml:space="preserve"> - </v>
      </c>
      <c r="G105" s="200" t="str">
        <f t="shared" ref="G105:G113" si="10">IFERROR(D105/(E105*1000)," - ")</f>
        <v xml:space="preserve"> - </v>
      </c>
    </row>
    <row r="106" spans="2:7" x14ac:dyDescent="0.2">
      <c r="B106" s="112" t="s">
        <v>365</v>
      </c>
      <c r="C106" s="169">
        <f>ABS('2.1 Profit &amp; Loss by component'!$F$26+'2.1 Profit &amp; Loss by component'!$F$37)*INDEX('2.2 Allocation to services'!$D$68:$D$77,MATCH(B106,'2.2 Allocation to services'!$C$68:$C$77,0),1)</f>
        <v>854973.11190286023</v>
      </c>
      <c r="D106" s="169">
        <f>ABS('2.1 Profit &amp; Loss by component'!$F$26*INDEX('2.2 Allocation to services'!$D$68:$D$77,MATCH(B106,'2.2 Allocation to services'!$C$68:$C$77,0),1))</f>
        <v>747355.05267799005</v>
      </c>
      <c r="E106" s="168">
        <f>INDEX('5. Historical demand'!$C$26:$C$35,MATCH(B106,'5. Historical demand'!$B$26:$B$35,0),1)*(Yearending-Yearstart)</f>
        <v>0</v>
      </c>
      <c r="F106" s="200" t="str">
        <f t="shared" si="9"/>
        <v xml:space="preserve"> - </v>
      </c>
      <c r="G106" s="200" t="str">
        <f t="shared" si="10"/>
        <v xml:space="preserve"> - </v>
      </c>
    </row>
    <row r="107" spans="2:7" x14ac:dyDescent="0.2">
      <c r="B107" s="112" t="s">
        <v>366</v>
      </c>
      <c r="C107" s="169">
        <f>ABS('2.1 Profit &amp; Loss by component'!$F$26+'2.1 Profit &amp; Loss by component'!$F$37)*INDEX('2.2 Allocation to services'!$D$68:$D$77,MATCH(B107,'2.2 Allocation to services'!$C$68:$C$77,0),1)</f>
        <v>0</v>
      </c>
      <c r="D107" s="169">
        <f>ABS('2.1 Profit &amp; Loss by component'!$F$26*INDEX('2.2 Allocation to services'!$D$68:$D$77,MATCH(B107,'2.2 Allocation to services'!$C$68:$C$77,0),1))</f>
        <v>0</v>
      </c>
      <c r="E107" s="168">
        <f>INDEX('5. Historical demand'!$C$26:$C$35,MATCH(B107,'5. Historical demand'!$B$26:$B$35,0),1)*(Yearending-Yearstart)</f>
        <v>0</v>
      </c>
      <c r="F107" s="200" t="str">
        <f t="shared" si="9"/>
        <v xml:space="preserve"> - </v>
      </c>
      <c r="G107" s="200" t="str">
        <f t="shared" si="10"/>
        <v xml:space="preserve"> - </v>
      </c>
    </row>
    <row r="108" spans="2:7" x14ac:dyDescent="0.2">
      <c r="B108" s="193" t="s">
        <v>367</v>
      </c>
      <c r="C108" s="169">
        <f>ABS('2.1 Profit &amp; Loss by component'!$F$26+'2.1 Profit &amp; Loss by component'!$F$37)*INDEX('2.2 Allocation to services'!$D$68:$D$77,MATCH(B108,'2.2 Allocation to services'!$C$68:$C$77,0),1)</f>
        <v>0</v>
      </c>
      <c r="D108" s="169">
        <f>ABS('2.1 Profit &amp; Loss by component'!$F$26*INDEX('2.2 Allocation to services'!$D$68:$D$77,MATCH(B108,'2.2 Allocation to services'!$C$68:$C$77,0),1))</f>
        <v>0</v>
      </c>
      <c r="E108" s="168">
        <f>INDEX('5. Historical demand'!$C$26:$C$35,MATCH(B108,'5. Historical demand'!$B$26:$B$35,0),1)*(Yearending-Yearstart)</f>
        <v>0</v>
      </c>
      <c r="F108" s="200" t="str">
        <f t="shared" si="9"/>
        <v xml:space="preserve"> - </v>
      </c>
      <c r="G108" s="200" t="str">
        <f t="shared" si="10"/>
        <v xml:space="preserve"> - </v>
      </c>
    </row>
    <row r="109" spans="2:7" x14ac:dyDescent="0.2">
      <c r="B109" s="112" t="s">
        <v>454</v>
      </c>
      <c r="C109" s="169">
        <f>ABS('2.1 Profit &amp; Loss by component'!$F$26+'2.1 Profit &amp; Loss by component'!$F$37)*INDEX('2.2 Allocation to services'!$D$68:$D$77,MATCH(B109,'2.2 Allocation to services'!$C$68:$C$77,0),1)</f>
        <v>0</v>
      </c>
      <c r="D109" s="169">
        <f>ABS('2.1 Profit &amp; Loss by component'!$F$26*INDEX('2.2 Allocation to services'!$D$68:$D$77,MATCH(B109,'2.2 Allocation to services'!$C$68:$C$77,0),1))</f>
        <v>0</v>
      </c>
      <c r="E109" s="168">
        <f>INDEX('5. Historical demand'!$C$26:$C$35,MATCH(B109,'5. Historical demand'!$B$26:$B$35,0),1)*(Yearending-Yearstart)</f>
        <v>0</v>
      </c>
      <c r="F109" s="200" t="str">
        <f t="shared" si="9"/>
        <v xml:space="preserve"> - </v>
      </c>
      <c r="G109" s="200" t="str">
        <f t="shared" si="10"/>
        <v xml:space="preserve"> - </v>
      </c>
    </row>
    <row r="110" spans="2:7" x14ac:dyDescent="0.2">
      <c r="B110" s="112" t="s">
        <v>369</v>
      </c>
      <c r="C110" s="169">
        <f>ABS('2.1 Profit &amp; Loss by component'!$F$26+'2.1 Profit &amp; Loss by component'!$F$37)*INDEX('2.2 Allocation to services'!$D$68:$D$77,MATCH(B110,'2.2 Allocation to services'!$C$68:$C$77,0),1)</f>
        <v>0</v>
      </c>
      <c r="D110" s="169">
        <f>ABS('2.1 Profit &amp; Loss by component'!$F$26*INDEX('2.2 Allocation to services'!$D$68:$D$77,MATCH(B110,'2.2 Allocation to services'!$C$68:$C$77,0),1))</f>
        <v>0</v>
      </c>
      <c r="E110" s="168">
        <f>INDEX('5. Historical demand'!$C$26:$C$35,MATCH(B110,'5. Historical demand'!$B$26:$B$35,0),1)*(Yearending-Yearstart)</f>
        <v>0</v>
      </c>
      <c r="F110" s="200" t="str">
        <f t="shared" si="9"/>
        <v xml:space="preserve"> - </v>
      </c>
      <c r="G110" s="200" t="str">
        <f t="shared" si="10"/>
        <v xml:space="preserve"> - </v>
      </c>
    </row>
    <row r="111" spans="2:7" x14ac:dyDescent="0.2">
      <c r="B111" s="112" t="s">
        <v>370</v>
      </c>
      <c r="C111" s="169">
        <f>ABS('2.1 Profit &amp; Loss by component'!$F$26+'2.1 Profit &amp; Loss by component'!$F$37)*INDEX('2.2 Allocation to services'!$D$68:$D$77,MATCH(B111,'2.2 Allocation to services'!$C$68:$C$77,0),1)</f>
        <v>1386.753640729431</v>
      </c>
      <c r="D111" s="169">
        <f>ABS('2.1 Profit &amp; Loss by component'!$F$26*INDEX('2.2 Allocation to services'!$D$68:$D$77,MATCH(B111,'2.2 Allocation to services'!$C$68:$C$77,0),1))</f>
        <v>1212.1987531421821</v>
      </c>
      <c r="E111" s="168">
        <f>INDEX('5. Historical demand'!$C$26:$C$35,MATCH(B111,'5. Historical demand'!$B$26:$B$35,0),1)*(Yearending-Yearstart)</f>
        <v>0</v>
      </c>
      <c r="F111" s="200" t="str">
        <f t="shared" si="9"/>
        <v xml:space="preserve"> - </v>
      </c>
      <c r="G111" s="200" t="str">
        <f t="shared" si="10"/>
        <v xml:space="preserve"> - </v>
      </c>
    </row>
    <row r="112" spans="2:7" x14ac:dyDescent="0.2">
      <c r="B112" s="112" t="s">
        <v>371</v>
      </c>
      <c r="C112" s="169">
        <f>ABS('2.1 Profit &amp; Loss by component'!$F$26+'2.1 Profit &amp; Loss by component'!$F$37)*INDEX('2.2 Allocation to services'!$D$68:$D$77,MATCH(B112,'2.2 Allocation to services'!$C$68:$C$77,0),1)</f>
        <v>0</v>
      </c>
      <c r="D112" s="169">
        <f>ABS('2.1 Profit &amp; Loss by component'!$F$26*INDEX('2.2 Allocation to services'!$D$68:$D$77,MATCH(B112,'2.2 Allocation to services'!$C$68:$C$77,0),1))</f>
        <v>0</v>
      </c>
      <c r="E112" s="168">
        <f>INDEX('5. Historical demand'!$C$26:$C$35,MATCH(B112,'5. Historical demand'!$B$26:$B$35,0),1)*(Yearending-Yearstart)</f>
        <v>0</v>
      </c>
      <c r="F112" s="200" t="str">
        <f t="shared" si="9"/>
        <v xml:space="preserve"> - </v>
      </c>
      <c r="G112" s="200" t="str">
        <f t="shared" si="10"/>
        <v xml:space="preserve"> - </v>
      </c>
    </row>
    <row r="113" spans="2:7" x14ac:dyDescent="0.2">
      <c r="B113" s="112" t="s">
        <v>311</v>
      </c>
      <c r="C113" s="169">
        <f>ABS('2.1 Profit &amp; Loss by component'!$F$26+'2.1 Profit &amp; Loss by component'!$F$37)*INDEX('2.2 Allocation to services'!$D$68:$D$77,MATCH(B113,'2.2 Allocation to services'!$C$68:$C$77,0),1)</f>
        <v>134255.64403720479</v>
      </c>
      <c r="D113" s="169">
        <f>ABS('2.1 Profit &amp; Loss by component'!$F$26*INDEX('2.2 Allocation to services'!$D$68:$D$77,MATCH(B113,'2.2 Allocation to services'!$C$68:$C$77,0),1))</f>
        <v>117356.47884695424</v>
      </c>
      <c r="E113" s="168">
        <f>INDEX('5. Historical demand'!$C$26:$C$35,MATCH(B113,'5. Historical demand'!$B$26:$B$35,0),1)*(Yearending-Yearstart)</f>
        <v>0</v>
      </c>
      <c r="F113" s="200" t="str">
        <f t="shared" si="9"/>
        <v xml:space="preserve"> - </v>
      </c>
      <c r="G113" s="200" t="str">
        <f t="shared" si="10"/>
        <v xml:space="preserve"> - </v>
      </c>
    </row>
    <row r="114" spans="2:7" ht="15.75" x14ac:dyDescent="0.25">
      <c r="B114" s="188"/>
    </row>
    <row r="115" spans="2:7" s="170" customFormat="1" ht="24.75" customHeight="1" x14ac:dyDescent="0.2">
      <c r="B115" s="163" t="s">
        <v>234</v>
      </c>
      <c r="C115" s="201" t="s">
        <v>236</v>
      </c>
      <c r="D115" s="201" t="s">
        <v>196</v>
      </c>
      <c r="E115" s="201" t="s">
        <v>238</v>
      </c>
      <c r="F115" s="171" t="s">
        <v>350</v>
      </c>
      <c r="G115" s="199" t="s">
        <v>336</v>
      </c>
    </row>
    <row r="116" spans="2:7" x14ac:dyDescent="0.2">
      <c r="B116" s="112" t="s">
        <v>363</v>
      </c>
      <c r="C116" s="110">
        <f>'4. Recovered Capital'!$E$37*C21</f>
        <v>18506069.775353078</v>
      </c>
      <c r="D116" s="165">
        <f>E92</f>
        <v>10.930679959242777</v>
      </c>
      <c r="E116" s="110">
        <f t="shared" ref="E116:E125" si="11">IFERROR(C116/D116, " - ")</f>
        <v>1693039.2111338594</v>
      </c>
      <c r="F116" s="168">
        <f>INDEX('5. Historical demand'!$C$26:$C$35,MATCH(B116,'5. Historical demand'!$B$26:$B$35,0),1)*(Yearending-Yearstart)</f>
        <v>57766.101917808024</v>
      </c>
      <c r="G116" s="200">
        <f>IFERROR(E116/(E104*1000), " - ")</f>
        <v>2.9308524462024196E-2</v>
      </c>
    </row>
    <row r="117" spans="2:7" x14ac:dyDescent="0.2">
      <c r="B117" s="112" t="s">
        <v>453</v>
      </c>
      <c r="C117" s="110">
        <f>'4. Recovered Capital'!$E$37*C22</f>
        <v>0</v>
      </c>
      <c r="D117" s="165" t="str">
        <f t="shared" ref="D117:D125" si="12">E93</f>
        <v xml:space="preserve"> - </v>
      </c>
      <c r="E117" s="110" t="str">
        <f t="shared" si="11"/>
        <v xml:space="preserve"> - </v>
      </c>
      <c r="F117" s="168">
        <f>INDEX('5. Historical demand'!$C$26:$C$35,MATCH(B117,'5. Historical demand'!$B$26:$B$35,0),1)*(Yearending-Yearstart)</f>
        <v>0</v>
      </c>
      <c r="G117" s="200" t="str">
        <f t="shared" ref="G117:G125" si="13">IFERROR(E117/(E105*1000), " - ")</f>
        <v xml:space="preserve"> - </v>
      </c>
    </row>
    <row r="118" spans="2:7" x14ac:dyDescent="0.2">
      <c r="B118" s="112" t="s">
        <v>365</v>
      </c>
      <c r="C118" s="110">
        <f>'4. Recovered Capital'!$E$37*C23</f>
        <v>4091798.6553154844</v>
      </c>
      <c r="D118" s="165">
        <f t="shared" si="12"/>
        <v>10.930679959242777</v>
      </c>
      <c r="E118" s="110">
        <f t="shared" si="11"/>
        <v>374340.72450868314</v>
      </c>
      <c r="F118" s="168">
        <f>INDEX('5. Historical demand'!$C$26:$C$35,MATCH(B118,'5. Historical demand'!$B$26:$B$35,0),1)*(Yearending-Yearstart)</f>
        <v>0</v>
      </c>
      <c r="G118" s="200" t="str">
        <f t="shared" si="13"/>
        <v xml:space="preserve"> - </v>
      </c>
    </row>
    <row r="119" spans="2:7" x14ac:dyDescent="0.2">
      <c r="B119" s="112" t="s">
        <v>366</v>
      </c>
      <c r="C119" s="110">
        <f>'4. Recovered Capital'!$E$37*C24</f>
        <v>0</v>
      </c>
      <c r="D119" s="165" t="str">
        <f t="shared" si="12"/>
        <v xml:space="preserve"> - </v>
      </c>
      <c r="E119" s="110" t="str">
        <f t="shared" si="11"/>
        <v xml:space="preserve"> - </v>
      </c>
      <c r="F119" s="168">
        <f>INDEX('5. Historical demand'!$C$26:$C$35,MATCH(B119,'5. Historical demand'!$B$26:$B$35,0),1)*(Yearending-Yearstart)</f>
        <v>0</v>
      </c>
      <c r="G119" s="200" t="str">
        <f t="shared" si="13"/>
        <v xml:space="preserve"> - </v>
      </c>
    </row>
    <row r="120" spans="2:7" x14ac:dyDescent="0.2">
      <c r="B120" s="193" t="s">
        <v>367</v>
      </c>
      <c r="C120" s="110">
        <f>'4. Recovered Capital'!$E$37*C25</f>
        <v>0</v>
      </c>
      <c r="D120" s="165" t="str">
        <f t="shared" si="12"/>
        <v xml:space="preserve"> - </v>
      </c>
      <c r="E120" s="110" t="str">
        <f t="shared" si="11"/>
        <v xml:space="preserve"> - </v>
      </c>
      <c r="F120" s="168">
        <f>INDEX('5. Historical demand'!$C$26:$C$35,MATCH(B120,'5. Historical demand'!$B$26:$B$35,0),1)*(Yearending-Yearstart)</f>
        <v>0</v>
      </c>
      <c r="G120" s="200" t="str">
        <f t="shared" si="13"/>
        <v xml:space="preserve"> - </v>
      </c>
    </row>
    <row r="121" spans="2:7" x14ac:dyDescent="0.2">
      <c r="B121" s="112" t="s">
        <v>454</v>
      </c>
      <c r="C121" s="110">
        <f>'4. Recovered Capital'!$E$37*C26</f>
        <v>0</v>
      </c>
      <c r="D121" s="165" t="str">
        <f t="shared" si="12"/>
        <v xml:space="preserve"> - </v>
      </c>
      <c r="E121" s="110" t="str">
        <f t="shared" si="11"/>
        <v xml:space="preserve"> - </v>
      </c>
      <c r="F121" s="168">
        <f>INDEX('5. Historical demand'!$C$26:$C$35,MATCH(B121,'5. Historical demand'!$B$26:$B$35,0),1)*(Yearending-Yearstart)</f>
        <v>0</v>
      </c>
      <c r="G121" s="200" t="str">
        <f t="shared" si="13"/>
        <v xml:space="preserve"> - </v>
      </c>
    </row>
    <row r="122" spans="2:7" x14ac:dyDescent="0.2">
      <c r="B122" s="112" t="s">
        <v>369</v>
      </c>
      <c r="C122" s="110">
        <f>'4. Recovered Capital'!$E$37*C27</f>
        <v>0</v>
      </c>
      <c r="D122" s="165" t="str">
        <f t="shared" si="12"/>
        <v xml:space="preserve"> - </v>
      </c>
      <c r="E122" s="110" t="str">
        <f t="shared" si="11"/>
        <v xml:space="preserve"> - </v>
      </c>
      <c r="F122" s="168">
        <f>INDEX('5. Historical demand'!$C$26:$C$35,MATCH(B122,'5. Historical demand'!$B$26:$B$35,0),1)*(Yearending-Yearstart)</f>
        <v>0</v>
      </c>
      <c r="G122" s="200" t="str">
        <f t="shared" si="13"/>
        <v xml:space="preserve"> - </v>
      </c>
    </row>
    <row r="123" spans="2:7" x14ac:dyDescent="0.2">
      <c r="B123" s="112" t="s">
        <v>370</v>
      </c>
      <c r="C123" s="110">
        <f>'4. Recovered Capital'!$E$37*C28</f>
        <v>6636.8364143774834</v>
      </c>
      <c r="D123" s="165">
        <f t="shared" si="12"/>
        <v>10.930679959242777</v>
      </c>
      <c r="E123" s="110">
        <f t="shared" si="11"/>
        <v>607.17507411471684</v>
      </c>
      <c r="F123" s="168">
        <f>INDEX('5. Historical demand'!$C$26:$C$35,MATCH(B123,'5. Historical demand'!$B$26:$B$35,0),1)*(Yearending-Yearstart)</f>
        <v>0</v>
      </c>
      <c r="G123" s="200" t="str">
        <f t="shared" si="13"/>
        <v xml:space="preserve"> - </v>
      </c>
    </row>
    <row r="124" spans="2:7" x14ac:dyDescent="0.2">
      <c r="B124" s="112" t="s">
        <v>371</v>
      </c>
      <c r="C124" s="110">
        <f>'4. Recovered Capital'!$E$37*C29</f>
        <v>0</v>
      </c>
      <c r="D124" s="165" t="str">
        <f t="shared" si="12"/>
        <v xml:space="preserve"> - </v>
      </c>
      <c r="E124" s="110" t="str">
        <f t="shared" si="11"/>
        <v xml:space="preserve"> - </v>
      </c>
      <c r="F124" s="168">
        <f>INDEX('5. Historical demand'!$C$26:$C$35,MATCH(B124,'5. Historical demand'!$B$26:$B$35,0),1)*(Yearending-Yearstart)</f>
        <v>0</v>
      </c>
      <c r="G124" s="200" t="str">
        <f t="shared" si="13"/>
        <v xml:space="preserve"> - </v>
      </c>
    </row>
    <row r="125" spans="2:7" x14ac:dyDescent="0.2">
      <c r="B125" s="112" t="s">
        <v>311</v>
      </c>
      <c r="C125" s="110">
        <f>'4. Recovered Capital'!$E$37*C30</f>
        <v>642531.39203091594</v>
      </c>
      <c r="D125" s="165">
        <f t="shared" si="12"/>
        <v>10.930679959242779</v>
      </c>
      <c r="E125" s="110">
        <f t="shared" si="11"/>
        <v>58782.380824131935</v>
      </c>
      <c r="F125" s="168">
        <f>INDEX('5. Historical demand'!$C$26:$C$35,MATCH(B125,'5. Historical demand'!$B$26:$B$35,0),1)*(Yearending-Yearstart)</f>
        <v>0</v>
      </c>
      <c r="G125" s="200" t="str">
        <f t="shared" si="13"/>
        <v xml:space="preserve"> - </v>
      </c>
    </row>
    <row r="127" spans="2:7" ht="15.75" x14ac:dyDescent="0.25">
      <c r="B127" s="182" t="s">
        <v>223</v>
      </c>
    </row>
    <row r="128" spans="2:7" x14ac:dyDescent="0.2">
      <c r="B128" s="166" t="s">
        <v>229</v>
      </c>
      <c r="C128" s="166"/>
    </row>
    <row r="129" spans="2:10" x14ac:dyDescent="0.2">
      <c r="B129" s="166" t="s">
        <v>230</v>
      </c>
      <c r="C129" s="202">
        <f>IF(IFERROR(INDEX('4. Recovered Capital'!F39:BH39,1,MATCH(VALUE(RIGHT(TEXT(Yearending,"dd/mm/yyyy"),4)),'4. Recovered Capital'!$F$12:$BH$12,0)),)=0," - ",IFERROR(INDEX('4. Recovered Capital'!F39:BH39,1,MATCH(VALUE(RIGHT(TEXT(Yearending,"dd/mm/yyyy"),4)),'4. Recovered Capital'!$F$12:$BH$12,0)),))</f>
        <v>7.466260359614646E-2</v>
      </c>
    </row>
    <row r="130" spans="2:10" x14ac:dyDescent="0.2">
      <c r="B130" s="166" t="s">
        <v>231</v>
      </c>
      <c r="C130" s="202">
        <f>IFERROR((C129-E21*E22)/(1-E22), " - ")</f>
        <v>9.9206508990366149E-2</v>
      </c>
    </row>
    <row r="131" spans="2:10" x14ac:dyDescent="0.2">
      <c r="B131" s="166" t="s">
        <v>232</v>
      </c>
      <c r="C131" s="202">
        <f>IFERROR(C130/(1-E23*(1-E24))," - ")</f>
        <v>0.11389955107963967</v>
      </c>
    </row>
    <row r="132" spans="2:10" x14ac:dyDescent="0.2">
      <c r="B132" s="166" t="s">
        <v>233</v>
      </c>
      <c r="C132" s="202">
        <f>IFERROR(C131-C130," - ")</f>
        <v>1.4693042089273523E-2</v>
      </c>
    </row>
    <row r="133" spans="2:10" x14ac:dyDescent="0.2">
      <c r="B133" s="166" t="s">
        <v>235</v>
      </c>
      <c r="C133" s="202">
        <f>IFERROR(C132*(1-E22)," - ")</f>
        <v>5.877216835709409E-3</v>
      </c>
    </row>
    <row r="134" spans="2:10" x14ac:dyDescent="0.2">
      <c r="B134" s="166" t="s">
        <v>237</v>
      </c>
      <c r="C134" s="202">
        <f>IFERROR(C129+C133," - ")</f>
        <v>8.0539820431855869E-2</v>
      </c>
    </row>
    <row r="136" spans="2:10" s="282" customFormat="1" ht="26.25" customHeight="1" x14ac:dyDescent="0.2">
      <c r="B136" s="280" t="s">
        <v>282</v>
      </c>
      <c r="C136" s="171" t="s">
        <v>462</v>
      </c>
      <c r="D136" s="201" t="s">
        <v>230</v>
      </c>
      <c r="E136" s="201" t="s">
        <v>235</v>
      </c>
      <c r="F136" s="201" t="s">
        <v>100</v>
      </c>
      <c r="G136" s="201" t="s">
        <v>239</v>
      </c>
      <c r="H136" s="171" t="s">
        <v>350</v>
      </c>
      <c r="I136" s="281" t="s">
        <v>337</v>
      </c>
      <c r="J136" s="281" t="s">
        <v>338</v>
      </c>
    </row>
    <row r="137" spans="2:10" x14ac:dyDescent="0.2">
      <c r="B137" s="112" t="s">
        <v>363</v>
      </c>
      <c r="C137" s="110">
        <f>IF(Cover!$C$23="Scheme pipeline",'3.2 Regulatory Asset Base'!$H$78*'6. Pricing template'!C21,C92+'3.1 Depreciated Book Value'!$D$80*'6. Pricing template'!C21)</f>
        <v>37146211.768236794</v>
      </c>
      <c r="D137" s="202">
        <f t="shared" ref="D137:D146" si="14">$C$129</f>
        <v>7.466260359614646E-2</v>
      </c>
      <c r="E137" s="202">
        <f t="shared" ref="E137:E146" si="15">$C$133</f>
        <v>5.877216835709409E-3</v>
      </c>
      <c r="F137" s="110">
        <f t="shared" ref="F137:F146" si="16">IFERROR(C137*D137, " -")</f>
        <v>2773432.8843503743</v>
      </c>
      <c r="G137" s="110">
        <f t="shared" ref="G137:G146" si="17">IFERROR(C137*E137, " -")</f>
        <v>218316.34118710825</v>
      </c>
      <c r="H137" s="168">
        <f>INDEX('5. Historical demand'!$C$26:$C$35,MATCH(B137,'5. Historical demand'!$B$26:$B$35,0),1)*(Yearending-Yearstart)</f>
        <v>57766.101917808024</v>
      </c>
      <c r="I137" s="200">
        <f>IFERROR(F137/(H137*1000)," - ")</f>
        <v>4.8011425252417556E-2</v>
      </c>
      <c r="J137" s="200">
        <f>IFERROR(G137/(H137*1000)," - ")</f>
        <v>3.7793157914262185E-3</v>
      </c>
    </row>
    <row r="138" spans="2:10" x14ac:dyDescent="0.2">
      <c r="B138" s="112" t="s">
        <v>453</v>
      </c>
      <c r="C138" s="110">
        <f>IF(Cover!$C$23="Scheme pipeline",'3.2 Regulatory Asset Base'!$H$78*'6. Pricing template'!C22,C93+'3.1 Depreciated Book Value'!$D$80*'6. Pricing template'!C22)</f>
        <v>0</v>
      </c>
      <c r="D138" s="202">
        <f t="shared" si="14"/>
        <v>7.466260359614646E-2</v>
      </c>
      <c r="E138" s="202">
        <f t="shared" si="15"/>
        <v>5.877216835709409E-3</v>
      </c>
      <c r="F138" s="110">
        <f t="shared" si="16"/>
        <v>0</v>
      </c>
      <c r="G138" s="110">
        <f t="shared" si="17"/>
        <v>0</v>
      </c>
      <c r="H138" s="168">
        <f>INDEX('5. Historical demand'!$C$26:$C$35,MATCH(B138,'5. Historical demand'!$B$26:$B$35,0),1)*(Yearending-Yearstart)</f>
        <v>0</v>
      </c>
      <c r="I138" s="200" t="str">
        <f t="shared" ref="I138:I146" si="18">IFERROR(F138/(H138*1000)," - ")</f>
        <v xml:space="preserve"> - </v>
      </c>
      <c r="J138" s="200" t="str">
        <f t="shared" ref="J138:J146" si="19">IFERROR(G138/(H138*1000)," - ")</f>
        <v xml:space="preserve"> - </v>
      </c>
    </row>
    <row r="139" spans="2:10" x14ac:dyDescent="0.2">
      <c r="B139" s="112" t="s">
        <v>365</v>
      </c>
      <c r="C139" s="110">
        <f>IF(Cover!$C$23="Scheme pipeline",'3.2 Regulatory Asset Base'!$H$78*'6. Pricing template'!C23,C94+'3.1 Depreciated Book Value'!$D$80*'6. Pricing template'!C23)</f>
        <v>8213241.4504222088</v>
      </c>
      <c r="D139" s="202">
        <f t="shared" si="14"/>
        <v>7.466260359614646E-2</v>
      </c>
      <c r="E139" s="202">
        <f t="shared" si="15"/>
        <v>5.877216835709409E-3</v>
      </c>
      <c r="F139" s="110">
        <f t="shared" si="16"/>
        <v>613221.99065231241</v>
      </c>
      <c r="G139" s="110">
        <f t="shared" si="17"/>
        <v>48271.00092816777</v>
      </c>
      <c r="H139" s="168">
        <f>INDEX('5. Historical demand'!$C$26:$C$35,MATCH(B139,'5. Historical demand'!$B$26:$B$35,0),1)*(Yearending-Yearstart)</f>
        <v>0</v>
      </c>
      <c r="I139" s="200" t="str">
        <f t="shared" si="18"/>
        <v xml:space="preserve"> - </v>
      </c>
      <c r="J139" s="200" t="str">
        <f t="shared" si="19"/>
        <v xml:space="preserve"> - </v>
      </c>
    </row>
    <row r="140" spans="2:10" x14ac:dyDescent="0.2">
      <c r="B140" s="112" t="s">
        <v>366</v>
      </c>
      <c r="C140" s="110">
        <f>IF(Cover!$C$23="Scheme pipeline",'3.2 Regulatory Asset Base'!$H$78*'6. Pricing template'!C24,C95+'3.1 Depreciated Book Value'!$D$80*'6. Pricing template'!C24)</f>
        <v>0</v>
      </c>
      <c r="D140" s="202">
        <f t="shared" si="14"/>
        <v>7.466260359614646E-2</v>
      </c>
      <c r="E140" s="202">
        <f t="shared" si="15"/>
        <v>5.877216835709409E-3</v>
      </c>
      <c r="F140" s="110">
        <f t="shared" si="16"/>
        <v>0</v>
      </c>
      <c r="G140" s="110">
        <f t="shared" si="17"/>
        <v>0</v>
      </c>
      <c r="H140" s="168">
        <f>INDEX('5. Historical demand'!$C$26:$C$35,MATCH(B140,'5. Historical demand'!$B$26:$B$35,0),1)*(Yearending-Yearstart)</f>
        <v>0</v>
      </c>
      <c r="I140" s="200" t="str">
        <f t="shared" si="18"/>
        <v xml:space="preserve"> - </v>
      </c>
      <c r="J140" s="200" t="str">
        <f t="shared" si="19"/>
        <v xml:space="preserve"> - </v>
      </c>
    </row>
    <row r="141" spans="2:10" x14ac:dyDescent="0.2">
      <c r="B141" s="193" t="s">
        <v>367</v>
      </c>
      <c r="C141" s="110">
        <f>IF(Cover!$C$23="Scheme pipeline",'3.2 Regulatory Asset Base'!$H$78*'6. Pricing template'!C25,C96+'3.1 Depreciated Book Value'!$D$80*'6. Pricing template'!C25)</f>
        <v>0</v>
      </c>
      <c r="D141" s="202">
        <f t="shared" si="14"/>
        <v>7.466260359614646E-2</v>
      </c>
      <c r="E141" s="202">
        <f t="shared" si="15"/>
        <v>5.877216835709409E-3</v>
      </c>
      <c r="F141" s="110">
        <f t="shared" si="16"/>
        <v>0</v>
      </c>
      <c r="G141" s="110">
        <f t="shared" si="17"/>
        <v>0</v>
      </c>
      <c r="H141" s="168">
        <f>INDEX('5. Historical demand'!$C$26:$C$35,MATCH(B141,'5. Historical demand'!$B$26:$B$35,0),1)*(Yearending-Yearstart)</f>
        <v>0</v>
      </c>
      <c r="I141" s="200" t="str">
        <f t="shared" si="18"/>
        <v xml:space="preserve"> - </v>
      </c>
      <c r="J141" s="200" t="str">
        <f t="shared" si="19"/>
        <v xml:space="preserve"> - </v>
      </c>
    </row>
    <row r="142" spans="2:10" x14ac:dyDescent="0.2">
      <c r="B142" s="112" t="s">
        <v>454</v>
      </c>
      <c r="C142" s="110">
        <f>IF(Cover!$C$23="Scheme pipeline",'3.2 Regulatory Asset Base'!$H$78*'6. Pricing template'!C26,C97+'3.1 Depreciated Book Value'!$D$80*'6. Pricing template'!C26)</f>
        <v>0</v>
      </c>
      <c r="D142" s="202">
        <f t="shared" si="14"/>
        <v>7.466260359614646E-2</v>
      </c>
      <c r="E142" s="202">
        <f t="shared" si="15"/>
        <v>5.877216835709409E-3</v>
      </c>
      <c r="F142" s="110">
        <f t="shared" si="16"/>
        <v>0</v>
      </c>
      <c r="G142" s="110">
        <f t="shared" si="17"/>
        <v>0</v>
      </c>
      <c r="H142" s="168">
        <f>INDEX('5. Historical demand'!$C$26:$C$35,MATCH(B142,'5. Historical demand'!$B$26:$B$35,0),1)*(Yearending-Yearstart)</f>
        <v>0</v>
      </c>
      <c r="I142" s="200" t="str">
        <f t="shared" si="18"/>
        <v xml:space="preserve"> - </v>
      </c>
      <c r="J142" s="200" t="str">
        <f t="shared" si="19"/>
        <v xml:space="preserve"> - </v>
      </c>
    </row>
    <row r="143" spans="2:10" x14ac:dyDescent="0.2">
      <c r="B143" s="112" t="s">
        <v>369</v>
      </c>
      <c r="C143" s="110">
        <f>IF(Cover!$C$23="Scheme pipeline",'3.2 Regulatory Asset Base'!$H$78*'6. Pricing template'!C27,C98+'3.1 Depreciated Book Value'!$D$80*'6. Pricing template'!C27)</f>
        <v>0</v>
      </c>
      <c r="D143" s="202">
        <f t="shared" si="14"/>
        <v>7.466260359614646E-2</v>
      </c>
      <c r="E143" s="202">
        <f t="shared" si="15"/>
        <v>5.877216835709409E-3</v>
      </c>
      <c r="F143" s="110">
        <f t="shared" si="16"/>
        <v>0</v>
      </c>
      <c r="G143" s="110">
        <f t="shared" si="17"/>
        <v>0</v>
      </c>
      <c r="H143" s="168">
        <f>INDEX('5. Historical demand'!$C$26:$C$35,MATCH(B143,'5. Historical demand'!$B$26:$B$35,0),1)*(Yearending-Yearstart)</f>
        <v>0</v>
      </c>
      <c r="I143" s="200" t="str">
        <f t="shared" si="18"/>
        <v xml:space="preserve"> - </v>
      </c>
      <c r="J143" s="200" t="str">
        <f t="shared" si="19"/>
        <v xml:space="preserve"> - </v>
      </c>
    </row>
    <row r="144" spans="2:10" x14ac:dyDescent="0.2">
      <c r="B144" s="112" t="s">
        <v>370</v>
      </c>
      <c r="C144" s="110">
        <f>IF(Cover!$C$23="Scheme pipeline",'3.2 Regulatory Asset Base'!$H$78*'6. Pricing template'!C28,C99+'3.1 Depreciated Book Value'!$D$80*'6. Pricing template'!C28)</f>
        <v>13321.755181532473</v>
      </c>
      <c r="D144" s="202">
        <f t="shared" si="14"/>
        <v>7.466260359614646E-2</v>
      </c>
      <c r="E144" s="202">
        <f t="shared" si="15"/>
        <v>5.877216835709409E-3</v>
      </c>
      <c r="F144" s="110">
        <f t="shared" si="16"/>
        <v>994.63692632366917</v>
      </c>
      <c r="G144" s="110">
        <f t="shared" si="17"/>
        <v>78.294843834101712</v>
      </c>
      <c r="H144" s="168">
        <f>INDEX('5. Historical demand'!$C$26:$C$35,MATCH(B144,'5. Historical demand'!$B$26:$B$35,0),1)*(Yearending-Yearstart)</f>
        <v>0</v>
      </c>
      <c r="I144" s="200" t="str">
        <f t="shared" si="18"/>
        <v xml:space="preserve"> - </v>
      </c>
      <c r="J144" s="200" t="str">
        <f t="shared" si="19"/>
        <v xml:space="preserve"> - </v>
      </c>
    </row>
    <row r="145" spans="2:10" x14ac:dyDescent="0.2">
      <c r="B145" s="112" t="s">
        <v>371</v>
      </c>
      <c r="C145" s="110">
        <f>IF(Cover!$C$23="Scheme pipeline",'3.2 Regulatory Asset Base'!$H$78*'6. Pricing template'!C29,C100+'3.1 Depreciated Book Value'!$D$80*'6. Pricing template'!C29)</f>
        <v>0</v>
      </c>
      <c r="D145" s="202">
        <f t="shared" si="14"/>
        <v>7.466260359614646E-2</v>
      </c>
      <c r="E145" s="202">
        <f t="shared" si="15"/>
        <v>5.877216835709409E-3</v>
      </c>
      <c r="F145" s="110">
        <f t="shared" si="16"/>
        <v>0</v>
      </c>
      <c r="G145" s="110">
        <f t="shared" si="17"/>
        <v>0</v>
      </c>
      <c r="H145" s="168">
        <f>INDEX('5. Historical demand'!$C$26:$C$35,MATCH(B145,'5. Historical demand'!$B$26:$B$35,0),1)*(Yearending-Yearstart)</f>
        <v>0</v>
      </c>
      <c r="I145" s="200" t="str">
        <f t="shared" si="18"/>
        <v xml:space="preserve"> - </v>
      </c>
      <c r="J145" s="200" t="str">
        <f t="shared" si="19"/>
        <v xml:space="preserve"> - </v>
      </c>
    </row>
    <row r="146" spans="2:10" x14ac:dyDescent="0.2">
      <c r="B146" s="112" t="s">
        <v>311</v>
      </c>
      <c r="C146" s="110">
        <f>IF(Cover!$C$23="Scheme pipeline",'3.2 Regulatory Asset Base'!$H$78*'6. Pricing template'!C30,C101+'3.1 Depreciated Book Value'!$D$80*'6. Pricing template'!C30)</f>
        <v>1289717.7761594714</v>
      </c>
      <c r="D146" s="202">
        <f t="shared" si="14"/>
        <v>7.466260359614646E-2</v>
      </c>
      <c r="E146" s="202">
        <f t="shared" si="15"/>
        <v>5.877216835709409E-3</v>
      </c>
      <c r="F146" s="110">
        <f t="shared" si="16"/>
        <v>96293.687072298155</v>
      </c>
      <c r="G146" s="110">
        <f t="shared" si="17"/>
        <v>7579.9510273581445</v>
      </c>
      <c r="H146" s="168">
        <f>INDEX('5. Historical demand'!$C$26:$C$35,MATCH(B146,'5. Historical demand'!$B$26:$B$35,0),1)*(Yearending-Yearstart)</f>
        <v>0</v>
      </c>
      <c r="I146" s="200" t="str">
        <f t="shared" si="18"/>
        <v xml:space="preserve"> - </v>
      </c>
      <c r="J146" s="200" t="str">
        <f t="shared" si="19"/>
        <v xml:space="preserve"> - </v>
      </c>
    </row>
    <row r="148" spans="2:10" s="282" customFormat="1" ht="25.5" customHeight="1" x14ac:dyDescent="0.2">
      <c r="B148" s="280" t="s">
        <v>465</v>
      </c>
      <c r="C148" s="171" t="s">
        <v>462</v>
      </c>
      <c r="D148" s="201" t="s">
        <v>247</v>
      </c>
      <c r="E148" s="201" t="s">
        <v>235</v>
      </c>
      <c r="F148" s="201" t="s">
        <v>100</v>
      </c>
      <c r="G148" s="201" t="s">
        <v>239</v>
      </c>
      <c r="H148" s="171" t="s">
        <v>350</v>
      </c>
      <c r="I148" s="281" t="s">
        <v>337</v>
      </c>
      <c r="J148" s="281" t="s">
        <v>338</v>
      </c>
    </row>
    <row r="149" spans="2:10" x14ac:dyDescent="0.2">
      <c r="B149" s="112" t="s">
        <v>363</v>
      </c>
      <c r="C149" s="110">
        <f>IF(Cover!$C$23="Scheme pipeline",'3.2 Regulatory Asset Base'!$H$78*'6. Pricing template'!C21,C92+'3.1 Depreciated Book Value'!$D$80*'6. Pricing template'!C21)</f>
        <v>37146211.768236794</v>
      </c>
      <c r="D149" s="202">
        <f t="shared" ref="D149:D158" si="20">IF($E$25=0," - ",$E$25)</f>
        <v>6.6600000000000006E-2</v>
      </c>
      <c r="E149" s="202">
        <f t="shared" ref="E149:E158" si="21">IFERROR((($E$25-$E$21*$E$22)/(1-$E$22)/(1-$E$23*(1-$E$24))-($E$25-$E$21*$E$22)/(1-$E$22))*(1-$E$22)," - ")</f>
        <v>4.6830998851894404E-3</v>
      </c>
      <c r="F149" s="110">
        <f t="shared" ref="F149:F158" si="22">IFERROR(C149*D149, " -")</f>
        <v>2473937.7037645709</v>
      </c>
      <c r="G149" s="110">
        <f t="shared" ref="G149:G158" si="23">IFERROR(C149*E149, " -")</f>
        <v>173959.42006705236</v>
      </c>
      <c r="H149" s="168">
        <f>INDEX('5. Historical demand'!$C$26:$C$35,MATCH(B149,'5. Historical demand'!$B$26:$B$35,0),1)*(Yearending-Yearstart)</f>
        <v>57766.101917808024</v>
      </c>
      <c r="I149" s="200">
        <f>IFERROR(F149/(H149*1000)," - ")</f>
        <v>4.2826807100201959E-2</v>
      </c>
      <c r="J149" s="200">
        <f>IFERROR(G149/(H149*1000)," - ")</f>
        <v>3.0114446758856767E-3</v>
      </c>
    </row>
    <row r="150" spans="2:10" x14ac:dyDescent="0.2">
      <c r="B150" s="112" t="s">
        <v>453</v>
      </c>
      <c r="C150" s="110">
        <f>IF(Cover!$C$23="Scheme pipeline",'3.2 Regulatory Asset Base'!$H$78*'6. Pricing template'!C22,C93+'3.1 Depreciated Book Value'!$D$80*'6. Pricing template'!C22)</f>
        <v>0</v>
      </c>
      <c r="D150" s="202">
        <f t="shared" si="20"/>
        <v>6.6600000000000006E-2</v>
      </c>
      <c r="E150" s="202">
        <f t="shared" si="21"/>
        <v>4.6830998851894404E-3</v>
      </c>
      <c r="F150" s="110">
        <f t="shared" si="22"/>
        <v>0</v>
      </c>
      <c r="G150" s="110">
        <f t="shared" si="23"/>
        <v>0</v>
      </c>
      <c r="H150" s="168">
        <f>INDEX('5. Historical demand'!$C$26:$C$35,MATCH(B150,'5. Historical demand'!$B$26:$B$35,0),1)*(Yearending-Yearstart)</f>
        <v>0</v>
      </c>
      <c r="I150" s="200" t="str">
        <f t="shared" ref="I150:I158" si="24">IFERROR(F150/(H150*1000)," - ")</f>
        <v xml:space="preserve"> - </v>
      </c>
      <c r="J150" s="200" t="str">
        <f t="shared" ref="J150:J158" si="25">IFERROR(G150/(H150*1000)," - ")</f>
        <v xml:space="preserve"> - </v>
      </c>
    </row>
    <row r="151" spans="2:10" x14ac:dyDescent="0.2">
      <c r="B151" s="112" t="s">
        <v>365</v>
      </c>
      <c r="C151" s="110">
        <f>IF(Cover!$C$23="Scheme pipeline",'3.2 Regulatory Asset Base'!$H$78*'6. Pricing template'!C23,C94+'3.1 Depreciated Book Value'!$D$80*'6. Pricing template'!C23)</f>
        <v>8213241.4504222088</v>
      </c>
      <c r="D151" s="202">
        <f t="shared" si="20"/>
        <v>6.6600000000000006E-2</v>
      </c>
      <c r="E151" s="202">
        <f t="shared" si="21"/>
        <v>4.6830998851894404E-3</v>
      </c>
      <c r="F151" s="110">
        <f t="shared" si="22"/>
        <v>547001.88059811911</v>
      </c>
      <c r="G151" s="110">
        <f t="shared" si="23"/>
        <v>38463.430093505398</v>
      </c>
      <c r="H151" s="168">
        <f>INDEX('5. Historical demand'!$C$26:$C$35,MATCH(B151,'5. Historical demand'!$B$26:$B$35,0),1)*(Yearending-Yearstart)</f>
        <v>0</v>
      </c>
      <c r="I151" s="200" t="str">
        <f t="shared" si="24"/>
        <v xml:space="preserve"> - </v>
      </c>
      <c r="J151" s="200" t="str">
        <f t="shared" si="25"/>
        <v xml:space="preserve"> - </v>
      </c>
    </row>
    <row r="152" spans="2:10" x14ac:dyDescent="0.2">
      <c r="B152" s="112" t="s">
        <v>366</v>
      </c>
      <c r="C152" s="110">
        <f>IF(Cover!$C$23="Scheme pipeline",'3.2 Regulatory Asset Base'!$H$78*'6. Pricing template'!C24,C95+'3.1 Depreciated Book Value'!$D$80*'6. Pricing template'!C24)</f>
        <v>0</v>
      </c>
      <c r="D152" s="202">
        <f t="shared" si="20"/>
        <v>6.6600000000000006E-2</v>
      </c>
      <c r="E152" s="202">
        <f t="shared" si="21"/>
        <v>4.6830998851894404E-3</v>
      </c>
      <c r="F152" s="110">
        <f t="shared" si="22"/>
        <v>0</v>
      </c>
      <c r="G152" s="110">
        <f t="shared" si="23"/>
        <v>0</v>
      </c>
      <c r="H152" s="168">
        <f>INDEX('5. Historical demand'!$C$26:$C$35,MATCH(B152,'5. Historical demand'!$B$26:$B$35,0),1)*(Yearending-Yearstart)</f>
        <v>0</v>
      </c>
      <c r="I152" s="200" t="str">
        <f t="shared" si="24"/>
        <v xml:space="preserve"> - </v>
      </c>
      <c r="J152" s="200" t="str">
        <f t="shared" si="25"/>
        <v xml:space="preserve"> - </v>
      </c>
    </row>
    <row r="153" spans="2:10" x14ac:dyDescent="0.2">
      <c r="B153" s="193" t="s">
        <v>367</v>
      </c>
      <c r="C153" s="110">
        <f>IF(Cover!$C$23="Scheme pipeline",'3.2 Regulatory Asset Base'!$H$78*'6. Pricing template'!C25,C96+'3.1 Depreciated Book Value'!$D$80*'6. Pricing template'!C25)</f>
        <v>0</v>
      </c>
      <c r="D153" s="202">
        <f t="shared" si="20"/>
        <v>6.6600000000000006E-2</v>
      </c>
      <c r="E153" s="202">
        <f t="shared" si="21"/>
        <v>4.6830998851894404E-3</v>
      </c>
      <c r="F153" s="110">
        <f t="shared" si="22"/>
        <v>0</v>
      </c>
      <c r="G153" s="110">
        <f t="shared" si="23"/>
        <v>0</v>
      </c>
      <c r="H153" s="168">
        <f>INDEX('5. Historical demand'!$C$26:$C$35,MATCH(B153,'5. Historical demand'!$B$26:$B$35,0),1)*(Yearending-Yearstart)</f>
        <v>0</v>
      </c>
      <c r="I153" s="200" t="str">
        <f t="shared" si="24"/>
        <v xml:space="preserve"> - </v>
      </c>
      <c r="J153" s="200" t="str">
        <f t="shared" si="25"/>
        <v xml:space="preserve"> - </v>
      </c>
    </row>
    <row r="154" spans="2:10" x14ac:dyDescent="0.2">
      <c r="B154" s="112" t="s">
        <v>454</v>
      </c>
      <c r="C154" s="110">
        <f>IF(Cover!$C$23="Scheme pipeline",'3.2 Regulatory Asset Base'!$H$78*'6. Pricing template'!C26,C97+'3.1 Depreciated Book Value'!$D$80*'6. Pricing template'!C26)</f>
        <v>0</v>
      </c>
      <c r="D154" s="202">
        <f t="shared" si="20"/>
        <v>6.6600000000000006E-2</v>
      </c>
      <c r="E154" s="202">
        <f t="shared" si="21"/>
        <v>4.6830998851894404E-3</v>
      </c>
      <c r="F154" s="110">
        <f t="shared" si="22"/>
        <v>0</v>
      </c>
      <c r="G154" s="110">
        <f t="shared" si="23"/>
        <v>0</v>
      </c>
      <c r="H154" s="168">
        <f>INDEX('5. Historical demand'!$C$26:$C$35,MATCH(B154,'5. Historical demand'!$B$26:$B$35,0),1)*(Yearending-Yearstart)</f>
        <v>0</v>
      </c>
      <c r="I154" s="200" t="str">
        <f t="shared" si="24"/>
        <v xml:space="preserve"> - </v>
      </c>
      <c r="J154" s="200" t="str">
        <f t="shared" si="25"/>
        <v xml:space="preserve"> - </v>
      </c>
    </row>
    <row r="155" spans="2:10" x14ac:dyDescent="0.2">
      <c r="B155" s="112" t="s">
        <v>369</v>
      </c>
      <c r="C155" s="110">
        <f>IF(Cover!$C$23="Scheme pipeline",'3.2 Regulatory Asset Base'!$H$78*'6. Pricing template'!C27,C98+'3.1 Depreciated Book Value'!$D$80*'6. Pricing template'!C27)</f>
        <v>0</v>
      </c>
      <c r="D155" s="202">
        <f t="shared" si="20"/>
        <v>6.6600000000000006E-2</v>
      </c>
      <c r="E155" s="202">
        <f t="shared" si="21"/>
        <v>4.6830998851894404E-3</v>
      </c>
      <c r="F155" s="110">
        <f t="shared" si="22"/>
        <v>0</v>
      </c>
      <c r="G155" s="110">
        <f t="shared" si="23"/>
        <v>0</v>
      </c>
      <c r="H155" s="168">
        <f>INDEX('5. Historical demand'!$C$26:$C$35,MATCH(B155,'5. Historical demand'!$B$26:$B$35,0),1)*(Yearending-Yearstart)</f>
        <v>0</v>
      </c>
      <c r="I155" s="200" t="str">
        <f t="shared" si="24"/>
        <v xml:space="preserve"> - </v>
      </c>
      <c r="J155" s="200" t="str">
        <f t="shared" si="25"/>
        <v xml:space="preserve"> - </v>
      </c>
    </row>
    <row r="156" spans="2:10" x14ac:dyDescent="0.2">
      <c r="B156" s="112" t="s">
        <v>370</v>
      </c>
      <c r="C156" s="110">
        <f>IF(Cover!$C$23="Scheme pipeline",'3.2 Regulatory Asset Base'!$H$78*'6. Pricing template'!C28,C99+'3.1 Depreciated Book Value'!$D$80*'6. Pricing template'!C28)</f>
        <v>13321.755181532473</v>
      </c>
      <c r="D156" s="202">
        <f t="shared" si="20"/>
        <v>6.6600000000000006E-2</v>
      </c>
      <c r="E156" s="202">
        <f t="shared" si="21"/>
        <v>4.6830998851894404E-3</v>
      </c>
      <c r="F156" s="110">
        <f t="shared" si="22"/>
        <v>887.22889509006279</v>
      </c>
      <c r="G156" s="110">
        <f t="shared" si="23"/>
        <v>62.387110161156556</v>
      </c>
      <c r="H156" s="168">
        <f>INDEX('5. Historical demand'!$C$26:$C$35,MATCH(B156,'5. Historical demand'!$B$26:$B$35,0),1)*(Yearending-Yearstart)</f>
        <v>0</v>
      </c>
      <c r="I156" s="200" t="str">
        <f t="shared" si="24"/>
        <v xml:space="preserve"> - </v>
      </c>
      <c r="J156" s="200" t="str">
        <f t="shared" si="25"/>
        <v xml:space="preserve"> - </v>
      </c>
    </row>
    <row r="157" spans="2:10" x14ac:dyDescent="0.2">
      <c r="B157" s="112" t="s">
        <v>371</v>
      </c>
      <c r="C157" s="110">
        <f>IF(Cover!$C$23="Scheme pipeline",'3.2 Regulatory Asset Base'!$H$78*'6. Pricing template'!C29,C100+'3.1 Depreciated Book Value'!$D$80*'6. Pricing template'!C29)</f>
        <v>0</v>
      </c>
      <c r="D157" s="202">
        <f t="shared" si="20"/>
        <v>6.6600000000000006E-2</v>
      </c>
      <c r="E157" s="202">
        <f t="shared" si="21"/>
        <v>4.6830998851894404E-3</v>
      </c>
      <c r="F157" s="110">
        <f t="shared" si="22"/>
        <v>0</v>
      </c>
      <c r="G157" s="110">
        <f t="shared" si="23"/>
        <v>0</v>
      </c>
      <c r="H157" s="168">
        <f>INDEX('5. Historical demand'!$C$26:$C$35,MATCH(B157,'5. Historical demand'!$B$26:$B$35,0),1)*(Yearending-Yearstart)</f>
        <v>0</v>
      </c>
      <c r="I157" s="200" t="str">
        <f t="shared" si="24"/>
        <v xml:space="preserve"> - </v>
      </c>
      <c r="J157" s="200" t="str">
        <f t="shared" si="25"/>
        <v xml:space="preserve"> - </v>
      </c>
    </row>
    <row r="158" spans="2:10" x14ac:dyDescent="0.2">
      <c r="B158" s="112" t="s">
        <v>311</v>
      </c>
      <c r="C158" s="110">
        <f>IF(Cover!$C$23="Scheme pipeline",'3.2 Regulatory Asset Base'!$H$78*'6. Pricing template'!C30,C101+'3.1 Depreciated Book Value'!$D$80*'6. Pricing template'!C30)</f>
        <v>1289717.7761594714</v>
      </c>
      <c r="D158" s="202">
        <f t="shared" si="20"/>
        <v>6.6600000000000006E-2</v>
      </c>
      <c r="E158" s="202">
        <f t="shared" si="21"/>
        <v>4.6830998851894404E-3</v>
      </c>
      <c r="F158" s="110">
        <f t="shared" si="22"/>
        <v>85895.203892220801</v>
      </c>
      <c r="G158" s="110">
        <f t="shared" si="23"/>
        <v>6039.8771694592006</v>
      </c>
      <c r="H158" s="168">
        <f>INDEX('5. Historical demand'!$C$26:$C$35,MATCH(B158,'5. Historical demand'!$B$26:$B$35,0),1)*(Yearending-Yearstart)</f>
        <v>0</v>
      </c>
      <c r="I158" s="200" t="str">
        <f t="shared" si="24"/>
        <v xml:space="preserve"> - </v>
      </c>
      <c r="J158" s="200" t="str">
        <f t="shared" si="25"/>
        <v xml:space="preserve"> - </v>
      </c>
    </row>
    <row r="188" ht="27" customHeight="1" x14ac:dyDescent="0.2"/>
    <row r="195" ht="32.1" customHeight="1" x14ac:dyDescent="0.2"/>
  </sheetData>
  <sheetProtection sheet="1"/>
  <mergeCells count="36">
    <mergeCell ref="H49:H50"/>
    <mergeCell ref="H51:H52"/>
    <mergeCell ref="B47:B48"/>
    <mergeCell ref="H41:H42"/>
    <mergeCell ref="H43:H44"/>
    <mergeCell ref="H45:H46"/>
    <mergeCell ref="H47:H48"/>
    <mergeCell ref="H39:H40"/>
    <mergeCell ref="H55:H56"/>
    <mergeCell ref="H53:H54"/>
    <mergeCell ref="H37:H38"/>
    <mergeCell ref="B7:D13"/>
    <mergeCell ref="B19:B20"/>
    <mergeCell ref="E19:E20"/>
    <mergeCell ref="B45:B46"/>
    <mergeCell ref="B55:B56"/>
    <mergeCell ref="B18:C18"/>
    <mergeCell ref="D18:E18"/>
    <mergeCell ref="B37:B38"/>
    <mergeCell ref="B39:B40"/>
    <mergeCell ref="B41:B42"/>
    <mergeCell ref="B43:B44"/>
    <mergeCell ref="D19:D20"/>
    <mergeCell ref="J62:K62"/>
    <mergeCell ref="H61:K61"/>
    <mergeCell ref="E61:G61"/>
    <mergeCell ref="E62:E63"/>
    <mergeCell ref="F62:F63"/>
    <mergeCell ref="G62:G63"/>
    <mergeCell ref="H62:I62"/>
    <mergeCell ref="C62:C63"/>
    <mergeCell ref="D62:D63"/>
    <mergeCell ref="B53:B54"/>
    <mergeCell ref="C61:D61"/>
    <mergeCell ref="B49:B50"/>
    <mergeCell ref="B51:B52"/>
  </mergeCells>
  <conditionalFormatting sqref="C31">
    <cfRule type="cellIs" dxfId="1" priority="1" stopIfTrue="1" operator="lessThan">
      <formula>1</formula>
    </cfRule>
    <cfRule type="cellIs" dxfId="0" priority="2" stopIfTrue="1" operator="greaterThan">
      <formula>1</formula>
    </cfRule>
  </conditionalFormatting>
  <pageMargins left="0.7" right="0.7" top="0.75" bottom="0.75" header="0.3" footer="0.3"/>
  <pageSetup paperSize="9" orientation="portrait" r:id="rId1"/>
  <headerFooter>
    <oddFooter>&amp;C_x000D_&amp;1#&amp;"Calibri"&amp;10&amp;K008000 APA-INTERNAL</oddFooter>
  </headerFooter>
  <drawing r:id="rId2"/>
  <legacyDrawing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681F1-4E68-476D-AF2B-E6424814CBA5}">
  <sheetPr>
    <tabColor theme="3" tint="-0.249977111117893"/>
  </sheetPr>
  <dimension ref="A1:G4"/>
  <sheetViews>
    <sheetView zoomScale="115" zoomScaleNormal="115" workbookViewId="0"/>
  </sheetViews>
  <sheetFormatPr defaultColWidth="0" defaultRowHeight="12.75" x14ac:dyDescent="0.2"/>
  <cols>
    <col min="1" max="1" width="10.42578125" bestFit="1" customWidth="1"/>
    <col min="2" max="2" width="22" bestFit="1" customWidth="1"/>
    <col min="3" max="3" width="22.5703125" bestFit="1" customWidth="1"/>
    <col min="4" max="4" width="56.5703125" bestFit="1" customWidth="1"/>
    <col min="5" max="5" width="22.5703125" bestFit="1" customWidth="1"/>
    <col min="6" max="6" width="45.5703125" bestFit="1" customWidth="1"/>
    <col min="7" max="7" width="70.5703125" bestFit="1" customWidth="1"/>
  </cols>
  <sheetData>
    <row r="1" spans="1:7" x14ac:dyDescent="0.2">
      <c r="A1" s="301" t="s">
        <v>134</v>
      </c>
      <c r="B1" s="302" t="s">
        <v>135</v>
      </c>
      <c r="C1" s="303" t="s">
        <v>136</v>
      </c>
      <c r="D1" s="302" t="s">
        <v>137</v>
      </c>
      <c r="E1" s="303" t="s">
        <v>142</v>
      </c>
      <c r="F1" s="303" t="s">
        <v>138</v>
      </c>
      <c r="G1" s="304" t="s">
        <v>139</v>
      </c>
    </row>
    <row r="2" spans="1:7" x14ac:dyDescent="0.2">
      <c r="A2" s="305">
        <v>45775</v>
      </c>
      <c r="B2">
        <v>1</v>
      </c>
      <c r="C2" s="6" t="s">
        <v>144</v>
      </c>
      <c r="E2" s="6" t="s">
        <v>481</v>
      </c>
      <c r="F2" s="6" t="s">
        <v>489</v>
      </c>
      <c r="G2" s="6" t="s">
        <v>486</v>
      </c>
    </row>
    <row r="3" spans="1:7" x14ac:dyDescent="0.2">
      <c r="A3" s="305">
        <v>45775</v>
      </c>
      <c r="B3">
        <v>2</v>
      </c>
      <c r="C3" s="6" t="s">
        <v>176</v>
      </c>
      <c r="D3" t="s">
        <v>111</v>
      </c>
      <c r="E3" s="6" t="s">
        <v>480</v>
      </c>
      <c r="F3" t="s">
        <v>482</v>
      </c>
      <c r="G3" t="s">
        <v>483</v>
      </c>
    </row>
    <row r="4" spans="1:7" x14ac:dyDescent="0.2">
      <c r="A4" s="305">
        <v>45775</v>
      </c>
      <c r="B4">
        <v>3</v>
      </c>
      <c r="C4" s="6" t="s">
        <v>140</v>
      </c>
      <c r="D4" t="s">
        <v>485</v>
      </c>
      <c r="E4" s="6" t="s">
        <v>487</v>
      </c>
      <c r="F4" t="s">
        <v>484</v>
      </c>
      <c r="G4" s="6" t="s">
        <v>488</v>
      </c>
    </row>
  </sheetData>
  <sheetProtection sheet="1"/>
  <pageMargins left="0.7" right="0.7" top="0.75" bottom="0.75" header="0.3" footer="0.3"/>
  <headerFooter>
    <oddFooter>&amp;C_x000D_&amp;1#&amp;"Calibri"&amp;10&amp;K008000 APA-INTERNAL</oddFooter>
  </headerFooter>
  <tableParts count="1">
    <tablePart r:id="rId1"/>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979BC0-B4F3-4178-B8D7-BA5D3A0BC9AB}">
  <sheetPr>
    <tabColor theme="1"/>
  </sheetPr>
  <dimension ref="A2:M30"/>
  <sheetViews>
    <sheetView workbookViewId="0">
      <selection activeCell="B22" sqref="B22"/>
    </sheetView>
  </sheetViews>
  <sheetFormatPr defaultRowHeight="12.75" x14ac:dyDescent="0.2"/>
  <cols>
    <col min="1" max="1" width="32.5703125" customWidth="1"/>
    <col min="2" max="2" width="79" customWidth="1"/>
    <col min="4" max="13" width="12.5703125" customWidth="1"/>
  </cols>
  <sheetData>
    <row r="2" spans="1:13" x14ac:dyDescent="0.2">
      <c r="A2" s="306" t="s">
        <v>540</v>
      </c>
    </row>
    <row r="4" spans="1:13" x14ac:dyDescent="0.2">
      <c r="A4" s="306" t="s">
        <v>517</v>
      </c>
      <c r="B4" s="6"/>
      <c r="C4" s="6"/>
      <c r="D4" s="6"/>
      <c r="E4" s="6"/>
      <c r="F4" s="6"/>
      <c r="G4" s="6"/>
      <c r="H4" s="6"/>
      <c r="I4" s="6"/>
      <c r="J4" s="6"/>
      <c r="K4" s="6"/>
      <c r="L4" s="6"/>
      <c r="M4" s="6"/>
    </row>
    <row r="5" spans="1:13" x14ac:dyDescent="0.2">
      <c r="A5" s="306" t="s">
        <v>518</v>
      </c>
      <c r="B5" s="6"/>
      <c r="C5" s="6"/>
      <c r="D5" s="6"/>
      <c r="E5" s="6"/>
      <c r="F5" s="6"/>
      <c r="G5" s="6"/>
      <c r="H5" s="6"/>
      <c r="I5" s="6"/>
      <c r="J5" s="6"/>
      <c r="K5" s="6"/>
      <c r="L5" s="6"/>
      <c r="M5" s="6"/>
    </row>
    <row r="6" spans="1:13" x14ac:dyDescent="0.2">
      <c r="A6" s="306"/>
      <c r="B6" s="6"/>
      <c r="C6" s="6"/>
      <c r="D6" s="6"/>
      <c r="E6" s="6"/>
      <c r="F6" s="6"/>
      <c r="G6" s="6"/>
      <c r="H6" s="6"/>
      <c r="I6" s="6"/>
      <c r="J6" s="6"/>
      <c r="K6" s="6"/>
      <c r="L6" s="6"/>
      <c r="M6" s="6"/>
    </row>
    <row r="7" spans="1:13" ht="36.75" thickBot="1" x14ac:dyDescent="0.25">
      <c r="A7" s="317" t="s">
        <v>539</v>
      </c>
      <c r="B7" s="312" t="s">
        <v>519</v>
      </c>
      <c r="C7" s="312" t="s">
        <v>520</v>
      </c>
      <c r="D7" s="332" t="s">
        <v>521</v>
      </c>
      <c r="E7" s="313" t="s">
        <v>52</v>
      </c>
      <c r="F7" s="313" t="s">
        <v>522</v>
      </c>
      <c r="G7" s="313" t="s">
        <v>510</v>
      </c>
      <c r="H7" s="332" t="s">
        <v>523</v>
      </c>
      <c r="I7" s="313" t="s">
        <v>524</v>
      </c>
      <c r="J7" s="313" t="s">
        <v>525</v>
      </c>
      <c r="K7" s="313" t="s">
        <v>526</v>
      </c>
      <c r="L7" s="332" t="s">
        <v>527</v>
      </c>
      <c r="M7" s="313" t="s">
        <v>528</v>
      </c>
    </row>
    <row r="8" spans="1:13" x14ac:dyDescent="0.2">
      <c r="A8" s="6"/>
      <c r="B8" s="314" t="s">
        <v>509</v>
      </c>
      <c r="C8" s="335" t="s">
        <v>508</v>
      </c>
      <c r="D8" s="315"/>
      <c r="E8" s="315"/>
      <c r="F8" s="315"/>
      <c r="G8" s="315"/>
      <c r="H8" s="315"/>
      <c r="I8" s="315"/>
      <c r="J8" s="315"/>
      <c r="K8" s="315"/>
      <c r="L8" s="315"/>
      <c r="M8" s="315"/>
    </row>
    <row r="9" spans="1:13" x14ac:dyDescent="0.2">
      <c r="A9" s="6" t="s">
        <v>497</v>
      </c>
      <c r="B9" s="314" t="s">
        <v>497</v>
      </c>
      <c r="C9" s="314" t="s">
        <v>505</v>
      </c>
      <c r="D9" s="315">
        <v>0.02</v>
      </c>
      <c r="E9" s="315">
        <v>6261.17</v>
      </c>
      <c r="F9" s="315">
        <v>-6261.17</v>
      </c>
      <c r="G9" s="315">
        <v>0</v>
      </c>
      <c r="H9" s="315">
        <v>0.02</v>
      </c>
      <c r="I9" s="315">
        <v>0.02</v>
      </c>
      <c r="J9" s="315">
        <v>0</v>
      </c>
      <c r="K9" s="315">
        <v>0</v>
      </c>
      <c r="L9" s="315">
        <v>0.02</v>
      </c>
      <c r="M9" s="315">
        <v>0</v>
      </c>
    </row>
    <row r="10" spans="1:13" x14ac:dyDescent="0.2">
      <c r="A10" s="320" t="s">
        <v>514</v>
      </c>
      <c r="B10" s="314"/>
      <c r="C10" s="314" t="s">
        <v>506</v>
      </c>
      <c r="D10" s="321">
        <v>7567454</v>
      </c>
      <c r="E10" s="321">
        <v>0</v>
      </c>
      <c r="F10" s="321">
        <v>0</v>
      </c>
      <c r="G10" s="321">
        <v>0</v>
      </c>
      <c r="H10" s="321">
        <v>7567454</v>
      </c>
      <c r="I10" s="321">
        <v>3252204.64</v>
      </c>
      <c r="J10" s="321">
        <v>294891.21000000002</v>
      </c>
      <c r="K10" s="321">
        <v>0</v>
      </c>
      <c r="L10" s="321">
        <v>3547095.85</v>
      </c>
      <c r="M10" s="321">
        <v>4020358.15</v>
      </c>
    </row>
    <row r="11" spans="1:13" x14ac:dyDescent="0.2">
      <c r="A11" s="6" t="s">
        <v>511</v>
      </c>
      <c r="B11" s="314" t="s">
        <v>529</v>
      </c>
      <c r="C11" s="314" t="s">
        <v>505</v>
      </c>
      <c r="D11" s="315">
        <v>70000</v>
      </c>
      <c r="E11" s="315">
        <v>0</v>
      </c>
      <c r="F11" s="315">
        <v>0</v>
      </c>
      <c r="G11" s="315">
        <v>0</v>
      </c>
      <c r="H11" s="315">
        <v>70000</v>
      </c>
      <c r="I11" s="315">
        <v>33482.93</v>
      </c>
      <c r="J11" s="315">
        <v>2803.3900000000003</v>
      </c>
      <c r="K11" s="315">
        <v>0</v>
      </c>
      <c r="L11" s="315">
        <v>36286.32</v>
      </c>
      <c r="M11" s="315">
        <v>33713.68</v>
      </c>
    </row>
    <row r="12" spans="1:13" x14ac:dyDescent="0.2">
      <c r="A12" s="6" t="s">
        <v>512</v>
      </c>
      <c r="B12" s="314" t="s">
        <v>530</v>
      </c>
      <c r="C12" s="314" t="s">
        <v>505</v>
      </c>
      <c r="D12" s="315">
        <v>182903.94</v>
      </c>
      <c r="E12" s="315">
        <v>0</v>
      </c>
      <c r="F12" s="315">
        <v>0</v>
      </c>
      <c r="G12" s="315">
        <v>0</v>
      </c>
      <c r="H12" s="315">
        <v>182903.94</v>
      </c>
      <c r="I12" s="315">
        <v>87430.86</v>
      </c>
      <c r="J12" s="315">
        <v>8076.01</v>
      </c>
      <c r="K12" s="315">
        <v>0</v>
      </c>
      <c r="L12" s="315">
        <v>95506.87</v>
      </c>
      <c r="M12" s="315">
        <v>87397.07</v>
      </c>
    </row>
    <row r="13" spans="1:13" x14ac:dyDescent="0.2">
      <c r="A13" s="333" t="s">
        <v>131</v>
      </c>
      <c r="B13" s="314" t="s">
        <v>531</v>
      </c>
      <c r="C13" s="314" t="s">
        <v>505</v>
      </c>
      <c r="D13" s="336">
        <v>530747.03</v>
      </c>
      <c r="E13" s="336">
        <v>0</v>
      </c>
      <c r="F13" s="336">
        <v>0</v>
      </c>
      <c r="G13" s="336">
        <v>0</v>
      </c>
      <c r="H13" s="336">
        <v>530747.03</v>
      </c>
      <c r="I13" s="336">
        <v>505047.02</v>
      </c>
      <c r="J13" s="336">
        <v>25048.67</v>
      </c>
      <c r="K13" s="336">
        <v>0</v>
      </c>
      <c r="L13" s="336">
        <v>530095.69000000006</v>
      </c>
      <c r="M13" s="336">
        <v>651.33999999999992</v>
      </c>
    </row>
    <row r="14" spans="1:13" x14ac:dyDescent="0.2">
      <c r="A14" s="6" t="s">
        <v>90</v>
      </c>
      <c r="B14" s="314" t="s">
        <v>532</v>
      </c>
      <c r="C14" s="314" t="s">
        <v>505</v>
      </c>
      <c r="D14" s="315">
        <v>123285.66</v>
      </c>
      <c r="E14" s="315">
        <v>0</v>
      </c>
      <c r="F14" s="315">
        <v>0</v>
      </c>
      <c r="G14" s="315">
        <v>0</v>
      </c>
      <c r="H14" s="315">
        <v>123285.66</v>
      </c>
      <c r="I14" s="315">
        <v>0</v>
      </c>
      <c r="J14" s="315">
        <v>0</v>
      </c>
      <c r="K14" s="315">
        <v>0</v>
      </c>
      <c r="L14" s="315">
        <v>0</v>
      </c>
      <c r="M14" s="315">
        <v>123285.66</v>
      </c>
    </row>
    <row r="15" spans="1:13" x14ac:dyDescent="0.2">
      <c r="A15" s="6" t="s">
        <v>513</v>
      </c>
      <c r="B15" s="314" t="s">
        <v>533</v>
      </c>
      <c r="C15" s="314" t="s">
        <v>505</v>
      </c>
      <c r="D15" s="315">
        <v>3689.35</v>
      </c>
      <c r="E15" s="315">
        <v>0</v>
      </c>
      <c r="F15" s="315">
        <v>0</v>
      </c>
      <c r="G15" s="315">
        <v>0</v>
      </c>
      <c r="H15" s="315">
        <v>3689.35</v>
      </c>
      <c r="I15" s="315">
        <v>3689.35</v>
      </c>
      <c r="J15" s="315">
        <v>0</v>
      </c>
      <c r="K15" s="315">
        <v>0</v>
      </c>
      <c r="L15" s="315">
        <v>3689.35</v>
      </c>
      <c r="M15" s="315">
        <v>0</v>
      </c>
    </row>
    <row r="16" spans="1:13" x14ac:dyDescent="0.2">
      <c r="A16" s="333" t="s">
        <v>131</v>
      </c>
      <c r="B16" s="314" t="s">
        <v>534</v>
      </c>
      <c r="C16" s="314" t="s">
        <v>505</v>
      </c>
      <c r="D16" s="336">
        <v>302500</v>
      </c>
      <c r="E16" s="336">
        <v>0</v>
      </c>
      <c r="F16" s="336">
        <v>0</v>
      </c>
      <c r="G16" s="336">
        <v>0</v>
      </c>
      <c r="H16" s="336">
        <v>302500</v>
      </c>
      <c r="I16" s="336">
        <v>302145.83</v>
      </c>
      <c r="J16" s="336">
        <v>243.04</v>
      </c>
      <c r="K16" s="336">
        <v>0</v>
      </c>
      <c r="L16" s="336">
        <v>302388.87</v>
      </c>
      <c r="M16" s="336">
        <v>111.13</v>
      </c>
    </row>
    <row r="17" spans="1:13" x14ac:dyDescent="0.2">
      <c r="A17" s="329" t="s">
        <v>514</v>
      </c>
      <c r="B17" s="314" t="s">
        <v>535</v>
      </c>
      <c r="C17" s="314" t="s">
        <v>505</v>
      </c>
      <c r="D17" s="321">
        <v>83057857.310000017</v>
      </c>
      <c r="E17" s="321">
        <v>1824445.34</v>
      </c>
      <c r="F17" s="321">
        <v>-1824445.34</v>
      </c>
      <c r="G17" s="321">
        <v>0</v>
      </c>
      <c r="H17" s="321">
        <v>83057857.310000017</v>
      </c>
      <c r="I17" s="321">
        <v>34932450.589999989</v>
      </c>
      <c r="J17" s="321">
        <v>3361466.7899999996</v>
      </c>
      <c r="K17" s="321">
        <v>0</v>
      </c>
      <c r="L17" s="321">
        <v>38293917.38000001</v>
      </c>
      <c r="M17" s="321">
        <v>44763939.93</v>
      </c>
    </row>
    <row r="18" spans="1:13" x14ac:dyDescent="0.2">
      <c r="A18" s="6" t="s">
        <v>515</v>
      </c>
      <c r="B18" s="314" t="s">
        <v>536</v>
      </c>
      <c r="C18" s="314" t="s">
        <v>505</v>
      </c>
      <c r="D18" s="315">
        <v>262425.46999999997</v>
      </c>
      <c r="E18" s="315">
        <v>0</v>
      </c>
      <c r="F18" s="315">
        <v>0</v>
      </c>
      <c r="G18" s="315">
        <v>0</v>
      </c>
      <c r="H18" s="315">
        <v>262425.46999999997</v>
      </c>
      <c r="I18" s="315">
        <v>181843.83</v>
      </c>
      <c r="J18" s="315">
        <v>25987.96</v>
      </c>
      <c r="K18" s="315">
        <v>0</v>
      </c>
      <c r="L18" s="315">
        <v>207831.79</v>
      </c>
      <c r="M18" s="315">
        <v>54593.68</v>
      </c>
    </row>
    <row r="19" spans="1:13" x14ac:dyDescent="0.2">
      <c r="A19" s="322" t="s">
        <v>18</v>
      </c>
      <c r="B19" s="323" t="s">
        <v>537</v>
      </c>
      <c r="C19" s="323" t="s">
        <v>537</v>
      </c>
      <c r="D19" s="324">
        <v>92100862.780000001</v>
      </c>
      <c r="E19" s="324">
        <v>1830706.51</v>
      </c>
      <c r="F19" s="324">
        <v>-1830706.51</v>
      </c>
      <c r="G19" s="324">
        <v>0</v>
      </c>
      <c r="H19" s="324">
        <v>92100862.780000001</v>
      </c>
      <c r="I19" s="324">
        <v>39298295.07</v>
      </c>
      <c r="J19" s="324">
        <v>3718517.07</v>
      </c>
      <c r="K19" s="324">
        <v>0</v>
      </c>
      <c r="L19" s="324">
        <v>43016812.140000001</v>
      </c>
      <c r="M19" s="324">
        <v>49084050.640000001</v>
      </c>
    </row>
    <row r="20" spans="1:13" x14ac:dyDescent="0.2">
      <c r="A20" s="6"/>
      <c r="B20" s="6"/>
      <c r="C20" s="6"/>
      <c r="D20" s="6"/>
      <c r="E20" s="6"/>
      <c r="F20" s="6"/>
      <c r="G20" s="6"/>
      <c r="H20" s="6"/>
      <c r="I20" s="6"/>
      <c r="J20" s="6"/>
      <c r="K20" s="6"/>
      <c r="L20" s="6"/>
    </row>
    <row r="21" spans="1:13" x14ac:dyDescent="0.2">
      <c r="A21" s="325" t="s">
        <v>514</v>
      </c>
      <c r="B21" s="326" t="s">
        <v>507</v>
      </c>
      <c r="C21" s="327" t="s">
        <v>505</v>
      </c>
      <c r="D21" s="328">
        <v>0</v>
      </c>
      <c r="E21" s="328">
        <v>1824444.34</v>
      </c>
      <c r="F21" s="328"/>
      <c r="G21" s="328"/>
      <c r="H21" s="328">
        <v>1824444.34</v>
      </c>
      <c r="I21" s="328"/>
      <c r="J21" s="328"/>
      <c r="K21" s="328"/>
      <c r="L21" s="328">
        <v>0</v>
      </c>
      <c r="M21" s="328">
        <v>1824444.34</v>
      </c>
    </row>
    <row r="22" spans="1:13" x14ac:dyDescent="0.2">
      <c r="A22" s="6"/>
      <c r="B22" s="6"/>
      <c r="C22" s="6"/>
      <c r="D22" s="6"/>
      <c r="E22" s="6"/>
      <c r="F22" s="6"/>
      <c r="G22" s="6"/>
      <c r="H22" s="6"/>
      <c r="I22" s="6"/>
      <c r="J22" s="6"/>
      <c r="K22" s="6"/>
      <c r="L22" s="6"/>
    </row>
    <row r="23" spans="1:13" ht="13.5" thickBot="1" x14ac:dyDescent="0.25">
      <c r="A23" s="306"/>
      <c r="B23" s="306" t="s">
        <v>538</v>
      </c>
      <c r="C23" s="306"/>
      <c r="D23" s="316">
        <f t="shared" ref="D23:M23" si="0">SUM(D19,D21)</f>
        <v>92100862.780000001</v>
      </c>
      <c r="E23" s="316">
        <f t="shared" si="0"/>
        <v>3655150.85</v>
      </c>
      <c r="F23" s="316">
        <f t="shared" si="0"/>
        <v>-1830706.51</v>
      </c>
      <c r="G23" s="316">
        <f t="shared" si="0"/>
        <v>0</v>
      </c>
      <c r="H23" s="316">
        <f t="shared" si="0"/>
        <v>93925307.120000005</v>
      </c>
      <c r="I23" s="316">
        <f t="shared" si="0"/>
        <v>39298295.07</v>
      </c>
      <c r="J23" s="316">
        <f t="shared" si="0"/>
        <v>3718517.07</v>
      </c>
      <c r="K23" s="316">
        <f t="shared" si="0"/>
        <v>0</v>
      </c>
      <c r="L23" s="316">
        <f t="shared" si="0"/>
        <v>43016812.140000001</v>
      </c>
      <c r="M23" s="316">
        <f t="shared" si="0"/>
        <v>50908494.980000004</v>
      </c>
    </row>
    <row r="24" spans="1:13" ht="13.5" thickTop="1" x14ac:dyDescent="0.2">
      <c r="A24" s="308"/>
      <c r="B24" s="308"/>
      <c r="C24" s="308"/>
      <c r="D24" s="308"/>
      <c r="E24" s="308"/>
      <c r="F24" s="308"/>
      <c r="G24" s="308"/>
      <c r="H24" s="318"/>
      <c r="I24" s="308"/>
      <c r="J24" s="308"/>
      <c r="K24" s="308"/>
      <c r="L24" s="318"/>
      <c r="M24" s="318"/>
    </row>
    <row r="25" spans="1:13" x14ac:dyDescent="0.2">
      <c r="B25" s="309" t="s">
        <v>541</v>
      </c>
      <c r="D25" s="319">
        <v>0</v>
      </c>
      <c r="E25" s="319">
        <v>0</v>
      </c>
      <c r="F25" s="319">
        <v>0</v>
      </c>
      <c r="G25" s="319">
        <v>0</v>
      </c>
      <c r="H25" s="319">
        <v>0</v>
      </c>
      <c r="I25" s="319">
        <v>0</v>
      </c>
      <c r="J25" s="319">
        <v>0</v>
      </c>
      <c r="K25" s="319">
        <v>0</v>
      </c>
      <c r="L25" s="319">
        <v>0</v>
      </c>
      <c r="M25" s="319">
        <v>0</v>
      </c>
    </row>
    <row r="27" spans="1:13" x14ac:dyDescent="0.2">
      <c r="B27" s="307"/>
    </row>
    <row r="28" spans="1:13" x14ac:dyDescent="0.2">
      <c r="A28" s="330" t="s">
        <v>542</v>
      </c>
      <c r="B28" s="309"/>
      <c r="C28" s="309"/>
      <c r="D28" s="331">
        <f>D10+D17</f>
        <v>90625311.310000017</v>
      </c>
      <c r="E28" s="331">
        <f t="shared" ref="E28:M28" si="1">E10+E17</f>
        <v>1824445.34</v>
      </c>
      <c r="F28" s="331">
        <f t="shared" si="1"/>
        <v>-1824445.34</v>
      </c>
      <c r="G28" s="331">
        <f t="shared" si="1"/>
        <v>0</v>
      </c>
      <c r="H28" s="331">
        <f t="shared" si="1"/>
        <v>90625311.310000017</v>
      </c>
      <c r="I28" s="331">
        <f t="shared" si="1"/>
        <v>38184655.229999989</v>
      </c>
      <c r="J28" s="331">
        <f t="shared" si="1"/>
        <v>3656357.9999999995</v>
      </c>
      <c r="K28" s="331">
        <f t="shared" si="1"/>
        <v>0</v>
      </c>
      <c r="L28" s="331">
        <f t="shared" si="1"/>
        <v>41841013.230000012</v>
      </c>
      <c r="M28" s="331">
        <f t="shared" si="1"/>
        <v>48784298.079999998</v>
      </c>
    </row>
    <row r="30" spans="1:13" x14ac:dyDescent="0.2">
      <c r="A30" s="334" t="s">
        <v>543</v>
      </c>
      <c r="D30" s="337">
        <f>D13+D16</f>
        <v>833247.03</v>
      </c>
      <c r="E30" s="337">
        <f t="shared" ref="E30:M30" si="2">E13+E16</f>
        <v>0</v>
      </c>
      <c r="F30" s="337">
        <f t="shared" si="2"/>
        <v>0</v>
      </c>
      <c r="G30" s="337">
        <f t="shared" si="2"/>
        <v>0</v>
      </c>
      <c r="H30" s="337">
        <f t="shared" si="2"/>
        <v>833247.03</v>
      </c>
      <c r="I30" s="337">
        <f t="shared" si="2"/>
        <v>807192.85000000009</v>
      </c>
      <c r="J30" s="337">
        <f t="shared" si="2"/>
        <v>25291.71</v>
      </c>
      <c r="K30" s="337">
        <f t="shared" si="2"/>
        <v>0</v>
      </c>
      <c r="L30" s="337">
        <f t="shared" si="2"/>
        <v>832484.56</v>
      </c>
      <c r="M30" s="337">
        <f t="shared" si="2"/>
        <v>762.46999999999991</v>
      </c>
    </row>
  </sheetData>
  <pageMargins left="0.7" right="0.7" top="0.75" bottom="0.75" header="0.3" footer="0.3"/>
  <headerFooter>
    <oddFooter>&amp;C_x000D_&amp;1#&amp;"Calibri"&amp;10&amp;K008000 APA-INTERNAL</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5068AE-13E1-4251-9979-097A76DCA29B}">
  <sheetPr codeName="Sheet6">
    <pageSetUpPr fitToPage="1"/>
  </sheetPr>
  <dimension ref="A1:H17"/>
  <sheetViews>
    <sheetView workbookViewId="0">
      <selection activeCell="G4" sqref="G4"/>
    </sheetView>
  </sheetViews>
  <sheetFormatPr defaultColWidth="9.42578125" defaultRowHeight="15" customHeight="1" x14ac:dyDescent="0.2"/>
  <cols>
    <col min="1" max="6" width="9.42578125" style="158"/>
    <col min="7" max="7" width="28" style="158" bestFit="1" customWidth="1"/>
    <col min="8" max="8" width="18.42578125" style="158" bestFit="1" customWidth="1"/>
    <col min="9" max="16384" width="9.42578125" style="158"/>
  </cols>
  <sheetData>
    <row r="1" spans="1:8" ht="15" customHeight="1" x14ac:dyDescent="0.2">
      <c r="A1" s="158" t="s">
        <v>339</v>
      </c>
      <c r="G1" s="158" t="s">
        <v>472</v>
      </c>
      <c r="H1" s="158" t="s">
        <v>472</v>
      </c>
    </row>
    <row r="3" spans="1:8" ht="15" customHeight="1" x14ac:dyDescent="0.2">
      <c r="A3" s="159" t="s">
        <v>340</v>
      </c>
      <c r="G3" s="158" t="s">
        <v>471</v>
      </c>
      <c r="H3" s="158" t="s">
        <v>478</v>
      </c>
    </row>
    <row r="4" spans="1:8" ht="15" customHeight="1" x14ac:dyDescent="0.2">
      <c r="A4" s="159" t="s">
        <v>341</v>
      </c>
      <c r="G4" s="158" t="s">
        <v>473</v>
      </c>
      <c r="H4" s="158" t="s">
        <v>477</v>
      </c>
    </row>
    <row r="5" spans="1:8" ht="15" customHeight="1" x14ac:dyDescent="0.2">
      <c r="A5" s="159" t="s">
        <v>342</v>
      </c>
      <c r="G5" s="158" t="s">
        <v>474</v>
      </c>
      <c r="H5" s="158" t="s">
        <v>479</v>
      </c>
    </row>
    <row r="6" spans="1:8" ht="15" customHeight="1" x14ac:dyDescent="0.2">
      <c r="A6" s="159" t="s">
        <v>343</v>
      </c>
    </row>
    <row r="7" spans="1:8" ht="15" customHeight="1" x14ac:dyDescent="0.2">
      <c r="A7" s="159" t="s">
        <v>344</v>
      </c>
    </row>
    <row r="8" spans="1:8" ht="15" customHeight="1" x14ac:dyDescent="0.2">
      <c r="A8" s="159" t="s">
        <v>345</v>
      </c>
    </row>
    <row r="9" spans="1:8" ht="15" customHeight="1" x14ac:dyDescent="0.2">
      <c r="A9" s="159" t="s">
        <v>346</v>
      </c>
    </row>
    <row r="10" spans="1:8" ht="15" customHeight="1" x14ac:dyDescent="0.2">
      <c r="A10" s="159" t="s">
        <v>90</v>
      </c>
    </row>
    <row r="11" spans="1:8" ht="15" customHeight="1" x14ac:dyDescent="0.2">
      <c r="A11" s="159" t="s">
        <v>131</v>
      </c>
    </row>
    <row r="12" spans="1:8" ht="15" customHeight="1" x14ac:dyDescent="0.2">
      <c r="A12" s="158" t="s">
        <v>347</v>
      </c>
    </row>
    <row r="13" spans="1:8" ht="15" customHeight="1" x14ac:dyDescent="0.2">
      <c r="A13" s="158" t="s">
        <v>153</v>
      </c>
    </row>
    <row r="14" spans="1:8" ht="15" customHeight="1" x14ac:dyDescent="0.2">
      <c r="A14" s="158" t="s">
        <v>145</v>
      </c>
    </row>
    <row r="15" spans="1:8" ht="15" customHeight="1" x14ac:dyDescent="0.2">
      <c r="A15" s="158" t="s">
        <v>348</v>
      </c>
    </row>
    <row r="16" spans="1:8" ht="15" customHeight="1" x14ac:dyDescent="0.2">
      <c r="A16" s="158" t="s">
        <v>71</v>
      </c>
    </row>
    <row r="17" spans="1:1" ht="15" customHeight="1" x14ac:dyDescent="0.2">
      <c r="A17" s="158" t="s">
        <v>349</v>
      </c>
    </row>
  </sheetData>
  <pageMargins left="0.7" right="0.7" top="0.75" bottom="0.75" header="0.3" footer="0.3"/>
  <pageSetup paperSize="9" orientation="landscape" r:id="rId1"/>
  <headerFooter>
    <oddFooter>&amp;L&amp;8&amp;F&amp;D&amp;T&amp;C&amp;8&amp;A_x000D_&amp;1#&amp;"Calibri"&amp;10&amp;K008000 APA-INTERNAL&amp;R&amp;8Page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704da589-9a5f-45d1-b9c9-18eae98c3af3">
      <Terms xmlns="http://schemas.microsoft.com/office/infopath/2007/PartnerControls"/>
    </lcf76f155ced4ddcb4097134ff3c332f>
    <_ip_UnifiedCompliancePolicyProperties xmlns="http://schemas.microsoft.com/sharepoint/v3" xsi:nil="true"/>
    <TaxCatchAll xmlns="68339cd5-4ed0-4715-a10c-fb6cfca0aa9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441C17B6C006147B9AF9AD50D625621" ma:contentTypeVersion="13" ma:contentTypeDescription="Create a new document." ma:contentTypeScope="" ma:versionID="b749f095ec6c1130b4dff2afd90042d8">
  <xsd:schema xmlns:xsd="http://www.w3.org/2001/XMLSchema" xmlns:xs="http://www.w3.org/2001/XMLSchema" xmlns:p="http://schemas.microsoft.com/office/2006/metadata/properties" xmlns:ns1="http://schemas.microsoft.com/sharepoint/v3" xmlns:ns2="704da589-9a5f-45d1-b9c9-18eae98c3af3" xmlns:ns3="68339cd5-4ed0-4715-a10c-fb6cfca0aa9a" targetNamespace="http://schemas.microsoft.com/office/2006/metadata/properties" ma:root="true" ma:fieldsID="0cbdaff6d6ee3764630b5f6ade14c026" ns1:_="" ns2:_="" ns3:_="">
    <xsd:import namespace="http://schemas.microsoft.com/sharepoint/v3"/>
    <xsd:import namespace="704da589-9a5f-45d1-b9c9-18eae98c3af3"/>
    <xsd:import namespace="68339cd5-4ed0-4715-a10c-fb6cfca0aa9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1:_ip_UnifiedCompliancePolicyProperties" minOccurs="0"/>
                <xsd:element ref="ns1:_ip_UnifiedCompliancePolicyUIAction"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04da589-9a5f-45d1-b9c9-18eae98c3a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13e7742f-285e-485e-85d6-cdf9f73a73c3"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8339cd5-4ed0-4715-a10c-fb6cfca0aa9a"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241d24e2-75bd-489b-80c8-6337db1f4585}" ma:internalName="TaxCatchAll" ma:showField="CatchAllData" ma:web="68339cd5-4ed0-4715-a10c-fb6cfca0aa9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E219A04-71DD-4FB0-89F7-5C2A9A6AF757}">
  <ds:schemaRefs>
    <ds:schemaRef ds:uri="http://schemas.microsoft.com/sharepoint/v3/contenttype/forms"/>
  </ds:schemaRefs>
</ds:datastoreItem>
</file>

<file path=customXml/itemProps2.xml><?xml version="1.0" encoding="utf-8"?>
<ds:datastoreItem xmlns:ds="http://schemas.openxmlformats.org/officeDocument/2006/customXml" ds:itemID="{01A8F634-EDAB-437B-8DD3-45352C320AD6}">
  <ds:schemaRefs>
    <ds:schemaRef ds:uri="http://schemas.microsoft.com/office/2006/metadata/properties"/>
    <ds:schemaRef ds:uri="http://schemas.openxmlformats.org/package/2006/metadata/core-properties"/>
    <ds:schemaRef ds:uri="http://www.w3.org/XML/1998/namespace"/>
    <ds:schemaRef ds:uri="http://purl.org/dc/elements/1.1/"/>
    <ds:schemaRef ds:uri="http://schemas.microsoft.com/sharepoint/v3"/>
    <ds:schemaRef ds:uri="http://purl.org/dc/terms/"/>
    <ds:schemaRef ds:uri="68339cd5-4ed0-4715-a10c-fb6cfca0aa9a"/>
    <ds:schemaRef ds:uri="http://schemas.microsoft.com/office/2006/documentManagement/types"/>
    <ds:schemaRef ds:uri="http://purl.org/dc/dcmitype/"/>
    <ds:schemaRef ds:uri="http://schemas.microsoft.com/office/infopath/2007/PartnerControls"/>
    <ds:schemaRef ds:uri="704da589-9a5f-45d1-b9c9-18eae98c3af3"/>
  </ds:schemaRefs>
</ds:datastoreItem>
</file>

<file path=customXml/itemProps3.xml><?xml version="1.0" encoding="utf-8"?>
<ds:datastoreItem xmlns:ds="http://schemas.openxmlformats.org/officeDocument/2006/customXml" ds:itemID="{79883C5C-C533-4358-A571-65A3957A280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04da589-9a5f-45d1-b9c9-18eae98c3af3"/>
    <ds:schemaRef ds:uri="68339cd5-4ed0-4715-a10c-fb6cfca0aa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29</vt:i4>
      </vt:variant>
      <vt:variant>
        <vt:lpstr>Named Ranges</vt:lpstr>
      </vt:variant>
      <vt:variant>
        <vt:i4>28</vt:i4>
      </vt:variant>
    </vt:vector>
  </HeadingPairs>
  <TitlesOfParts>
    <vt:vector size="57" baseType="lpstr">
      <vt:lpstr>Cover</vt:lpstr>
      <vt:lpstr>Contents</vt:lpstr>
      <vt:lpstr>Financial summary</vt:lpstr>
      <vt:lpstr>Data visualisation</vt:lpstr>
      <vt:lpstr>Pricing benchmarks summary</vt:lpstr>
      <vt:lpstr>1. Pipeline information</vt:lpstr>
      <vt:lpstr>2. Revenue and expenses</vt:lpstr>
      <vt:lpstr>2.1 Profit &amp; Loss by component</vt:lpstr>
      <vt:lpstr>2.2 Allocation to services</vt:lpstr>
      <vt:lpstr>2.3 Revenue contributions </vt:lpstr>
      <vt:lpstr>2.4 Indirect revenue</vt:lpstr>
      <vt:lpstr>2.5 Shared expenses</vt:lpstr>
      <vt:lpstr>3.1 Depreciated Book Value</vt:lpstr>
      <vt:lpstr>3.2 Regulatory Asset Base</vt:lpstr>
      <vt:lpstr>3.3 Asset useful life</vt:lpstr>
      <vt:lpstr>3.4 Asset impairment</vt:lpstr>
      <vt:lpstr>3.5 Depreciation amortisation</vt:lpstr>
      <vt:lpstr>3.6 Shared supporting assets</vt:lpstr>
      <vt:lpstr>Auditor's Report Statement</vt:lpstr>
      <vt:lpstr>4. Recovered Capital</vt:lpstr>
      <vt:lpstr>Auditor's Review Report RCM</vt:lpstr>
      <vt:lpstr>4.1 Pipelines capex</vt:lpstr>
      <vt:lpstr>Auditor's Review Report Capex</vt:lpstr>
      <vt:lpstr>5. Historical demand</vt:lpstr>
      <vt:lpstr>Auditor's Review Report Demand</vt:lpstr>
      <vt:lpstr>6. Pricing template</vt:lpstr>
      <vt:lpstr>7. Amendment record</vt:lpstr>
      <vt:lpstr>F2. PPE FY24</vt:lpstr>
      <vt:lpstr>Sheet1</vt:lpstr>
      <vt:lpstr>ABN</vt:lpstr>
      <vt:lpstr>'1. Pipeline information'!Print_Area</vt:lpstr>
      <vt:lpstr>'2. Revenue and expenses'!Print_Area</vt:lpstr>
      <vt:lpstr>'2.1 Profit &amp; Loss by component'!Print_Area</vt:lpstr>
      <vt:lpstr>'2.2 Allocation to services'!Print_Area</vt:lpstr>
      <vt:lpstr>'2.3 Revenue contributions '!Print_Area</vt:lpstr>
      <vt:lpstr>'2.4 Indirect revenue'!Print_Area</vt:lpstr>
      <vt:lpstr>'2.5 Shared expenses'!Print_Area</vt:lpstr>
      <vt:lpstr>'3.1 Depreciated Book Value'!Print_Area</vt:lpstr>
      <vt:lpstr>'3.2 Regulatory Asset Base'!Print_Area</vt:lpstr>
      <vt:lpstr>'3.3 Asset useful life'!Print_Area</vt:lpstr>
      <vt:lpstr>'3.4 Asset impairment'!Print_Area</vt:lpstr>
      <vt:lpstr>'3.5 Depreciation amortisation'!Print_Area</vt:lpstr>
      <vt:lpstr>'3.6 Shared supporting assets'!Print_Area</vt:lpstr>
      <vt:lpstr>'4. Recovered Capital'!Print_Area</vt:lpstr>
      <vt:lpstr>'4.1 Pipelines capex'!Print_Area</vt:lpstr>
      <vt:lpstr>'5. Historical demand'!Print_Area</vt:lpstr>
      <vt:lpstr>Cover!Print_Area</vt:lpstr>
      <vt:lpstr>'Data visualisation'!Print_Area</vt:lpstr>
      <vt:lpstr>Sheet1!Print_Area</vt:lpstr>
      <vt:lpstr>rAllAssets</vt:lpstr>
      <vt:lpstr>rInitialcosts</vt:lpstr>
      <vt:lpstr>rInitialyears</vt:lpstr>
      <vt:lpstr>rPipelineAssets</vt:lpstr>
      <vt:lpstr>rSharedAssets</vt:lpstr>
      <vt:lpstr>Tradingname</vt:lpstr>
      <vt:lpstr>Yearending</vt:lpstr>
      <vt:lpstr>Yearstart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Zhang, Cathy</dc:creator>
  <cp:lastModifiedBy>Chai, Melvin</cp:lastModifiedBy>
  <cp:lastPrinted>2025-11-14T05:39:02Z</cp:lastPrinted>
  <dcterms:created xsi:type="dcterms:W3CDTF">2021-05-07T02:14:11Z</dcterms:created>
  <dcterms:modified xsi:type="dcterms:W3CDTF">2026-09-15T23:07:18Z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Enabled">
    <vt:lpwstr>true</vt:lpwstr>
  </property>
  <property fmtid="{D5CDD505-2E9C-101B-9397-08002B2CF9AE}" pid="3" name="MSIP_Label_ea60d57e-af5b-4752-ac57-3e4f28ca11dc_SetDate">
    <vt:lpwstr>2023-10-06T00:12:00Z</vt:lpwstr>
  </property>
  <property fmtid="{D5CDD505-2E9C-101B-9397-08002B2CF9AE}" pid="4" name="MSIP_Label_ea60d57e-af5b-4752-ac57-3e4f28ca11dc_Method">
    <vt:lpwstr>Standard</vt:lpwstr>
  </property>
  <property fmtid="{D5CDD505-2E9C-101B-9397-08002B2CF9AE}" pid="5" name="MSIP_Label_ea60d57e-af5b-4752-ac57-3e4f28ca11dc_Name">
    <vt:lpwstr>ea60d57e-af5b-4752-ac57-3e4f28ca11dc</vt:lpwstr>
  </property>
  <property fmtid="{D5CDD505-2E9C-101B-9397-08002B2CF9AE}" pid="6" name="MSIP_Label_ea60d57e-af5b-4752-ac57-3e4f28ca11dc_SiteId">
    <vt:lpwstr>36da45f1-dd2c-4d1f-af13-5abe46b99921</vt:lpwstr>
  </property>
  <property fmtid="{D5CDD505-2E9C-101B-9397-08002B2CF9AE}" pid="7" name="MSIP_Label_ea60d57e-af5b-4752-ac57-3e4f28ca11dc_ActionId">
    <vt:lpwstr>0a0f773b-a259-4d79-90b4-dbf8487c7a20</vt:lpwstr>
  </property>
  <property fmtid="{D5CDD505-2E9C-101B-9397-08002B2CF9AE}" pid="8" name="MSIP_Label_ea60d57e-af5b-4752-ac57-3e4f28ca11dc_ContentBits">
    <vt:lpwstr>0</vt:lpwstr>
  </property>
  <property fmtid="{D5CDD505-2E9C-101B-9397-08002B2CF9AE}" pid="9" name="MSIP_Label_8e2e509a-f02b-496b-97a8-09ffbb9893ea_Enabled">
    <vt:lpwstr>true</vt:lpwstr>
  </property>
  <property fmtid="{D5CDD505-2E9C-101B-9397-08002B2CF9AE}" pid="10" name="MSIP_Label_8e2e509a-f02b-496b-97a8-09ffbb9893ea_SetDate">
    <vt:lpwstr>2025-10-31T04:12:01Z</vt:lpwstr>
  </property>
  <property fmtid="{D5CDD505-2E9C-101B-9397-08002B2CF9AE}" pid="11" name="MSIP_Label_8e2e509a-f02b-496b-97a8-09ffbb9893ea_Method">
    <vt:lpwstr>Privileged</vt:lpwstr>
  </property>
  <property fmtid="{D5CDD505-2E9C-101B-9397-08002B2CF9AE}" pid="12" name="MSIP_Label_8e2e509a-f02b-496b-97a8-09ffbb9893ea_Name">
    <vt:lpwstr>APA-Internal</vt:lpwstr>
  </property>
  <property fmtid="{D5CDD505-2E9C-101B-9397-08002B2CF9AE}" pid="13" name="MSIP_Label_8e2e509a-f02b-496b-97a8-09ffbb9893ea_SiteId">
    <vt:lpwstr>234ac309-c216-4661-a5ba-18879f6c4c75</vt:lpwstr>
  </property>
  <property fmtid="{D5CDD505-2E9C-101B-9397-08002B2CF9AE}" pid="14" name="MSIP_Label_8e2e509a-f02b-496b-97a8-09ffbb9893ea_ActionId">
    <vt:lpwstr>e5a0d338-8981-4caa-a166-3f3a89c95c34</vt:lpwstr>
  </property>
  <property fmtid="{D5CDD505-2E9C-101B-9397-08002B2CF9AE}" pid="15" name="MSIP_Label_8e2e509a-f02b-496b-97a8-09ffbb9893ea_ContentBits">
    <vt:lpwstr>2</vt:lpwstr>
  </property>
  <property fmtid="{D5CDD505-2E9C-101B-9397-08002B2CF9AE}" pid="16" name="MSIP_Label_8e2e509a-f02b-496b-97a8-09ffbb9893ea_Tag">
    <vt:lpwstr>10, 0, 1, 1</vt:lpwstr>
  </property>
  <property fmtid="{D5CDD505-2E9C-101B-9397-08002B2CF9AE}" pid="17" name="MediaServiceImageTags">
    <vt:lpwstr/>
  </property>
  <property fmtid="{D5CDD505-2E9C-101B-9397-08002B2CF9AE}" pid="18" name="ContentTypeId">
    <vt:lpwstr>0x0101009441C17B6C006147B9AF9AD50D625621</vt:lpwstr>
  </property>
  <property fmtid="{D5CDD505-2E9C-101B-9397-08002B2CF9AE}" pid="19" name="SV_QUERY_LIST_4F35BF76-6C0D-4D9B-82B2-816C12CF3733">
    <vt:lpwstr>empty_477D106A-C0D6-4607-AEBD-E2C9D60EA279</vt:lpwstr>
  </property>
  <property fmtid="{D5CDD505-2E9C-101B-9397-08002B2CF9AE}" pid="20" name="SV_HIDDEN_GRID_QUERY_LIST_4F35BF76-6C0D-4D9B-82B2-816C12CF3733">
    <vt:lpwstr>empty_477D106A-C0D6-4607-AEBD-E2C9D60EA279</vt:lpwstr>
  </property>
</Properties>
</file>