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tables/table1.xml" ContentType="application/vnd.openxmlformats-officedocument.spreadsheetml.table+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Reg Light Regulated Assets\FY22\4. KKP\ERA Template\z. Publication\"/>
    </mc:Choice>
  </mc:AlternateContent>
  <xr:revisionPtr revIDLastSave="0" documentId="13_ncr:1_{7789A914-AC2B-47CC-AFED-31D6E20ED3D3}" xr6:coauthVersionLast="47" xr6:coauthVersionMax="47" xr10:uidLastSave="{00000000-0000-0000-0000-000000000000}"/>
  <bookViews>
    <workbookView xWindow="20370" yWindow="-120" windowWidth="20730" windowHeight="11160" tabRatio="952" xr2:uid="{00000000-000D-0000-FFFF-FFFF00000000}"/>
  </bookViews>
  <sheets>
    <sheet name="Cover" sheetId="11" r:id="rId1"/>
    <sheet name="Contents" sheetId="4" r:id="rId2"/>
    <sheet name="1. Pipeline information" sheetId="44" r:id="rId3"/>
    <sheet name="1.1 Financial summary" sheetId="70"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Asset useful life" sheetId="55" r:id="rId11"/>
    <sheet name="3.2 Shared supporting assets" sheetId="59" r:id="rId12"/>
    <sheet name="Auditor's Report Statements" sheetId="92" r:id="rId13"/>
    <sheet name="4. Recovered capital" sheetId="47" r:id="rId14"/>
    <sheet name="4.1 Pipelines capex" sheetId="66" r:id="rId15"/>
    <sheet name="Auditor's Review Report RCM" sheetId="88" r:id="rId16"/>
    <sheet name="5. Weighted average price" sheetId="54" r:id="rId17"/>
    <sheet name="5.1 Exempt WAP services" sheetId="60" r:id="rId18"/>
    <sheet name="5.2 Actual Pricing" sheetId="69" r:id="rId19"/>
    <sheet name="Auditor's Review Report WAP" sheetId="93" r:id="rId20"/>
    <sheet name="Amendment record" sheetId="67" r:id="rId21"/>
    <sheet name="APA Amendment record" sheetId="89" r:id="rId22"/>
    <sheet name="6. Notes" sheetId="64" r:id="rId23"/>
    <sheet name="Sheet1" sheetId="61" state="hidden" r:id="rId24"/>
  </sheets>
  <externalReferences>
    <externalReference r:id="rId25"/>
    <externalReference r:id="rId26"/>
    <externalReference r:id="rId27"/>
    <externalReference r:id="rId28"/>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_123Graph_ACHART_1" hidden="1">[1]SYDNEY!$G$19:$G$48</definedName>
    <definedName name="_1__123Graph_ACHART_1" hidden="1">[1]SYDNEY!$G$19:$G$48</definedName>
    <definedName name="_10___123Graph_ACHART_9" hidden="1">[1]SYDNEY!$K$19:$K$49</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_123Graph_BCHART_1" hidden="1">[1]SYDNEY!$I$19:$I$49</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_123Graph_BCHART_13" hidden="1">[2]Instructions!$S$31:$AD$31</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_123Graph_BCHART_19" hidden="1">[2]Instructions!$S$34:$AD$34</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_123Graph_BCHART_2" hidden="1">[1]WOLLONGONG!$L$12:$L$23</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_123Graph_BCHART_25" hidden="1">'[2]GAS RECEIPTS DATA'!$B$5:$B$40</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_123Graph_BCHART_26" hidden="1">[2]CUSTDATA!$E$95:$E$142</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_123Graph_BCHART_3" hidden="1">[1]CANBERRA!$I$19:$I$49</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_123Graph_BCHART_4" hidden="1">[1]BATHURST!$L$12:$L$23</definedName>
    <definedName name="_18__123Graph_BCHART_4" hidden="1">[1]BATHURST!$L$12:$L$23</definedName>
    <definedName name="_181__123Graph_BCHART_7" hidden="1">[1]CANBERRA!$V$27:$V$38</definedName>
    <definedName name="_184__123Graph_XCHART_1" hidden="1">[1]SYDNEY!$B$19:$B$48</definedName>
    <definedName name="_19___123Graph_BCHART_5" hidden="1">'[1]SYDN WEST'!$K$9:$K$20</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_123Graph_ACHART_2" hidden="1">[1]WOLLONGONG!$K$12:$K$23</definedName>
    <definedName name="_2__123Graph_ACHART_1" hidden="1">[1]SYDNEY!$G$19:$G$48</definedName>
    <definedName name="_2__123Graph_ACHART_2" hidden="1">[1]WOLLONGONG!$K$12:$K$23</definedName>
    <definedName name="_20___123Graph_BCHART_6" hidden="1">[1]GOULBURN!$K$14:$K$25</definedName>
    <definedName name="_20__123Graph_BCHART_6" hidden="1">[1]GOULBURN!$K$14:$K$25</definedName>
    <definedName name="_203__123Graph_BCHART_9" hidden="1">[1]SYDNEY!$L$19:$L$49</definedName>
    <definedName name="_204__123Graph_CCHART_12" hidden="1">[2]Instructions!$Q$26:$Q$26</definedName>
    <definedName name="_21___123Graph_BCHART_7" hidden="1">[1]CANBERRA!$V$27:$V$38</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_123Graph_BCHART_8" hidden="1">[1]CANBERRA!$L$19:$L$49</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_123Graph_BCHART_9" hidden="1">[1]SYDNEY!$L$19:$L$49</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_123Graph_CCHART_12" hidden="1">[2]Instructions!$Q$26:$Q$26</definedName>
    <definedName name="_24__123Graph_CCHART_12" hidden="1">[2]Instructions!$Q$26:$Q$26</definedName>
    <definedName name="_249__123Graph_CCHART_6" hidden="1">[1]GOULBURN!$L$14:$L$25</definedName>
    <definedName name="_25___123Graph_CCHART_2" hidden="1">[1]WOLLONGONG!$M$12:$M$23</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_123Graph_CCHART_26" hidden="1">[2]CUSTDATA!$F$95:$F$146</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_123Graph_CCHART_4" hidden="1">[1]BATHURST!$M$12:$M$23</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_123Graph_CCHART_5" hidden="1">'[1]SYDN WEST'!$L$9:$L$20</definedName>
    <definedName name="_28__123Graph_ACHART_9" hidden="1">[1]SYDNEY!$K$19:$K$49</definedName>
    <definedName name="_28__123Graph_CCHART_5" hidden="1">'[1]SYDN WEST'!$L$9:$L$20</definedName>
    <definedName name="_284__123Graph_XCHART_1" hidden="1">[1]SYDNEY!$B$19:$B$48</definedName>
    <definedName name="_29___123Graph_CCHART_6" hidden="1">[1]GOULBURN!$L$14:$L$25</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_123Graph_ACHART_25" hidden="1">'[2]GAS RECEIPTS DATA'!$C$5:$C$39</definedName>
    <definedName name="_3__123Graph_ACHART_1" hidden="1">[1]SYDNEY!$G$19:$G$48</definedName>
    <definedName name="_3__123Graph_ACHART_25" hidden="1">'[2]GAS RECEIPTS DATA'!$C$5:$C$39</definedName>
    <definedName name="_30___123Graph_CCHART_7" hidden="1">[1]CANBERRA!$W$27:$W$38</definedName>
    <definedName name="_30__123Graph_CCHART_7" hidden="1">[1]CANBERRA!$W$27:$W$38</definedName>
    <definedName name="_31___123Graph_DCHART_25" hidden="1">'[2]GAS RECEIPTS DATA'!$D$5:$D$40</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_123Graph_DCHART_7" hidden="1">[1]CANBERRA!$X$27:$X$38</definedName>
    <definedName name="_32__123Graph_BCHART_13" hidden="1">[2]Instructions!$S$31:$AD$31</definedName>
    <definedName name="_32__123Graph_DCHART_7" hidden="1">[1]CANBERRA!$X$27:$X$38</definedName>
    <definedName name="_33___123Graph_ECHART_26" hidden="1">[2]CUSTDATA!$D$88:$D$91</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_123Graph_XCHART_1" hidden="1">[1]SYDNEY!$B$19:$B$48</definedName>
    <definedName name="_34__123Graph_ACHART_3" hidden="1">[1]CANBERRA!$G$19:$G$49</definedName>
    <definedName name="_34__123Graph_XCHART_1" hidden="1">[1]SYDNEY!$B$19:$B$48</definedName>
    <definedName name="_35___123Graph_XCHART_8" hidden="1">[1]CANBERRA!$B$19:$B$49</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_123Graph_ACHART_3" hidden="1">[1]CANBERRA!$G$19:$G$49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_123Graph_ACHART_4" hidden="1">[1]BATHURST!$K$12:$K$23</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_123Graph_ACHART_5" hidden="1">'[1]SYDN WEST'!$J$9:$J$20</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_123Graph_ACHART_6" hidden="1">[1]GOULBURN!$J$14:$J$25</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_123Graph_ACHART_7" hidden="1">[1]CANBERRA!$U$27:$U$38</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_123Graph_ACHART_8" hidden="1">[1]CANBERRA!$K$19:$K$49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AA_DOCTOPS">"AAA_SET"</definedName>
    <definedName name="AAA_duser">"OFF"</definedName>
    <definedName name="AAB_Addin5">"AAB_Description for addin 5,Description for addin 5,Description for addin 5,Description for addin 5,Description for addin 5,Description for addin 5"</definedName>
    <definedName name="ABN">Cover!$C$17</definedName>
    <definedName name="AGL_GAS_NETWORKS">"YTD-ACTUAL99"</definedName>
    <definedName name="anscount">1</definedName>
    <definedName name="AS2DocOpenMode" hidden="1">"AS2DocumentEdit"</definedName>
    <definedName name="BaseDeal">1000000</definedName>
    <definedName name="cBoard">1</definedName>
    <definedName name="cManual">0</definedName>
    <definedName name="DME_BeforeCloseCompleted" hidden="1">"True"</definedName>
    <definedName name="DME_Dirty" hidden="1">"False"</definedName>
    <definedName name="DME_LocalFile" hidden="1">"True"</definedName>
    <definedName name="EssAliasTable">"Default"</definedName>
    <definedName name="EssLatest">"P01"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41724.4410069444</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limcount">1</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No.">TRUE</definedName>
    <definedName name="NvsASD">"V2003-06-30"</definedName>
    <definedName name="NvsAutoDrillOk">"VN"</definedName>
    <definedName name="NvsElapsedTime">0.000465162032924127</definedName>
    <definedName name="NvsEndTime">37824.3469520833</definedName>
    <definedName name="NvsInstSpec">"%,FBUSINESS_UNIT,TLEGAL_ENTITIES,NAEG"</definedName>
    <definedName name="NvsLayoutType">"M3"</definedName>
    <definedName name="NvsNplSpec">"%,X,RZF..,CZF.."</definedName>
    <definedName name="NvsPanelEffdt">"V2001-07-01"</definedName>
    <definedName name="NvsPanelSetid">"VSHARE"</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'1. Pipeline information'!$B$1:$D$36</definedName>
    <definedName name="_xlnm.Print_Area" localSheetId="3">'1.1 Financial summary'!$B$5:$AD$35</definedName>
    <definedName name="_xlnm.Print_Area" localSheetId="4">'2. Revenues and expenses'!$B$1:$I$43</definedName>
    <definedName name="_xlnm.Print_Area" localSheetId="5">'2.1 Revenue by service'!$B$1:$I$21</definedName>
    <definedName name="_xlnm.Print_Area" localSheetId="6">'2.2 Revenue contributions '!$B$1:$E$27</definedName>
    <definedName name="_xlnm.Print_Area" localSheetId="7">'2.3 Indirect revenue'!$B$1:$H$36</definedName>
    <definedName name="_xlnm.Print_Area" localSheetId="8">'2.4 Shared costs'!$B$1:$I$36</definedName>
    <definedName name="_xlnm.Print_Area" localSheetId="9">'3. Statement of pipeline assets'!$B$1:$AD$93</definedName>
    <definedName name="_xlnm.Print_Area" localSheetId="10">'3.1 Asset useful life'!$B$1:$F$37</definedName>
    <definedName name="_xlnm.Print_Area" localSheetId="11">'3.2 Shared supporting assets'!$B$1:$G$41</definedName>
    <definedName name="_xlnm.Print_Area" localSheetId="13">'4. Recovered capital'!$B$1:$BI$38</definedName>
    <definedName name="_xlnm.Print_Area" localSheetId="14">'4.1 Pipelines capex'!$B$1:$E$34</definedName>
    <definedName name="_xlnm.Print_Area" localSheetId="16">'5. Weighted average price'!$B$1:$BI$20</definedName>
    <definedName name="_xlnm.Print_Area" localSheetId="17">'5.1 Exempt WAP services'!$B$1:$E$13</definedName>
    <definedName name="_xlnm.Print_Area" localSheetId="18">'5.2 Actual Pricing'!$B$1:$E$5</definedName>
    <definedName name="_xlnm.Print_Area" localSheetId="22">'6. Notes'!$B$1:$D$4</definedName>
    <definedName name="_xlnm.Print_Area" localSheetId="20">'Amendment record'!$A$2:$G$90</definedName>
    <definedName name="_xlnm.Print_Area" localSheetId="1">Contents!$A$1:$J$41</definedName>
    <definedName name="_xlnm.Print_Area" localSheetId="0">Cover!$A$1:$I$47</definedName>
    <definedName name="_xlnm.Print_Area" localSheetId="23">Sheet1!$A$1:$N$32</definedName>
    <definedName name="_xlnm.Print_Titles">#N/A</definedName>
    <definedName name="PrintAll">#N/A</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RMCOptions">"*000000000000000"</definedName>
    <definedName name="RowColumnAligned">TRUE</definedName>
    <definedName name="RowColumnInsInfo">TRUE</definedName>
    <definedName name="rpipelines" comment="classes of pipeline assets ">Sheet1!$B$3:$B$12</definedName>
    <definedName name="rsharedassets" comment="classets of shared assets">Sheet1!$B$15:$B$17</definedName>
    <definedName name="rYesNo">Sheet1!$B$19:$B$20</definedName>
    <definedName name="SAPBEXhrIndnt" hidden="1">"Wide"</definedName>
    <definedName name="SAPsysID" hidden="1">"708C5W7SBKP804JT78WJ0JNKI"</definedName>
    <definedName name="SAPwbID" hidden="1">"ARS"</definedName>
    <definedName name="sencount">1</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Tradingname">Cover!$C$15</definedName>
    <definedName name="vCube" hidden="1">#REF!</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iterateCount="5" iterateDelta="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54" l="1"/>
  <c r="AD56" i="6" l="1"/>
  <c r="AC20" i="6"/>
  <c r="AD38" i="6"/>
  <c r="AC27" i="70" l="1"/>
  <c r="AC13" i="6" l="1"/>
  <c r="AC11" i="70" l="1"/>
  <c r="B88" i="67" l="1"/>
  <c r="B89" i="67"/>
  <c r="B90" i="67" s="1"/>
  <c r="AC9" i="70" l="1"/>
  <c r="AC90" i="6"/>
  <c r="AD90" i="6"/>
  <c r="AC88" i="6"/>
  <c r="AD88" i="6"/>
  <c r="AC82" i="6"/>
  <c r="AC76" i="6"/>
  <c r="AC68" i="6"/>
  <c r="AC62" i="6"/>
  <c r="AC56" i="6"/>
  <c r="AC50" i="6"/>
  <c r="AC44" i="6"/>
  <c r="AC38" i="6"/>
  <c r="AC32" i="6"/>
  <c r="AC26" i="6"/>
  <c r="AC9" i="6"/>
  <c r="AC29" i="70" l="1"/>
  <c r="AC7" i="70"/>
  <c r="AD7" i="70"/>
  <c r="C3" i="44"/>
  <c r="AC31" i="70" l="1"/>
  <c r="AC32" i="70"/>
  <c r="AC33" i="70"/>
  <c r="E14" i="70" l="1"/>
  <c r="F14" i="70"/>
  <c r="G14" i="70"/>
  <c r="H14" i="70"/>
  <c r="I14" i="70"/>
  <c r="J14" i="70"/>
  <c r="K14" i="70"/>
  <c r="L14" i="70"/>
  <c r="M14" i="70"/>
  <c r="N14" i="70"/>
  <c r="O14" i="70"/>
  <c r="P14" i="70"/>
  <c r="Q14" i="70"/>
  <c r="R14" i="70"/>
  <c r="S14" i="70"/>
  <c r="T14" i="70"/>
  <c r="U14" i="70"/>
  <c r="V14" i="70"/>
  <c r="W14" i="70"/>
  <c r="X14" i="70"/>
  <c r="Y14" i="70"/>
  <c r="Z14" i="70"/>
  <c r="AA14" i="70"/>
  <c r="AB14" i="70"/>
  <c r="D14" i="70"/>
  <c r="H21" i="70" l="1"/>
  <c r="I21" i="70"/>
  <c r="J21" i="70"/>
  <c r="K21" i="70"/>
  <c r="L21" i="70"/>
  <c r="M21" i="70"/>
  <c r="N21" i="70"/>
  <c r="O21" i="70"/>
  <c r="P21" i="70"/>
  <c r="Q21" i="70"/>
  <c r="R21" i="70"/>
  <c r="S21" i="70"/>
  <c r="T21" i="70"/>
  <c r="U21" i="70"/>
  <c r="V21" i="70"/>
  <c r="W21" i="70"/>
  <c r="X21" i="70"/>
  <c r="Y21" i="70"/>
  <c r="Z21" i="70"/>
  <c r="AA21" i="70"/>
  <c r="AB21" i="70"/>
  <c r="F27" i="70"/>
  <c r="G27" i="70"/>
  <c r="H27" i="70"/>
  <c r="I27" i="70"/>
  <c r="J27" i="70"/>
  <c r="K27" i="70"/>
  <c r="L27" i="70"/>
  <c r="M27" i="70"/>
  <c r="N27" i="70"/>
  <c r="O27" i="70"/>
  <c r="P27" i="70"/>
  <c r="Q27" i="70"/>
  <c r="R27" i="70"/>
  <c r="S27" i="70"/>
  <c r="T27" i="70"/>
  <c r="U27" i="70"/>
  <c r="V27" i="70"/>
  <c r="W27" i="70"/>
  <c r="X27" i="70"/>
  <c r="Y27" i="70"/>
  <c r="Z27" i="70"/>
  <c r="AA27" i="70"/>
  <c r="AB27" i="70"/>
  <c r="E27" i="70"/>
  <c r="F12" i="70" l="1"/>
  <c r="G12" i="70"/>
  <c r="H12" i="70"/>
  <c r="I12" i="70"/>
  <c r="J12" i="70"/>
  <c r="K12" i="70"/>
  <c r="L12" i="70"/>
  <c r="M12" i="70"/>
  <c r="N12" i="70"/>
  <c r="O12" i="70"/>
  <c r="P12" i="70"/>
  <c r="Q12" i="70"/>
  <c r="R12" i="70"/>
  <c r="S12" i="70"/>
  <c r="T12" i="70"/>
  <c r="U12" i="70"/>
  <c r="V12" i="70"/>
  <c r="W12" i="70"/>
  <c r="X12" i="70"/>
  <c r="Y12" i="70"/>
  <c r="Z12" i="70"/>
  <c r="AA12" i="70"/>
  <c r="AB12" i="70"/>
  <c r="H9" i="70"/>
  <c r="I9" i="70"/>
  <c r="J9" i="70"/>
  <c r="K9" i="70"/>
  <c r="L9" i="70"/>
  <c r="M9" i="70"/>
  <c r="N9" i="70"/>
  <c r="O9" i="70"/>
  <c r="P9" i="70"/>
  <c r="Q9" i="70"/>
  <c r="R9" i="70"/>
  <c r="S9" i="70"/>
  <c r="T9" i="70"/>
  <c r="U9" i="70"/>
  <c r="V9" i="70"/>
  <c r="W9" i="70"/>
  <c r="X9" i="70"/>
  <c r="Y9" i="70"/>
  <c r="Z9" i="70"/>
  <c r="AA9" i="70"/>
  <c r="AB9" i="70"/>
  <c r="AB9" i="6"/>
  <c r="AA9" i="6"/>
  <c r="Z9" i="6"/>
  <c r="Y9" i="6"/>
  <c r="X9" i="6"/>
  <c r="W9" i="6"/>
  <c r="V9" i="6"/>
  <c r="U9" i="6"/>
  <c r="T9" i="6"/>
  <c r="S9" i="6"/>
  <c r="R9" i="6"/>
  <c r="Q9" i="6"/>
  <c r="O9" i="6"/>
  <c r="P9" i="6"/>
  <c r="N9" i="6"/>
  <c r="M9" i="6"/>
  <c r="L9" i="6"/>
  <c r="K9" i="6"/>
  <c r="J9" i="6"/>
  <c r="I9" i="6"/>
  <c r="H9" i="6"/>
  <c r="AB7" i="70"/>
  <c r="AA7" i="70"/>
  <c r="Z7" i="70"/>
  <c r="Y7" i="70"/>
  <c r="X7" i="70"/>
  <c r="W7" i="70"/>
  <c r="V7" i="70"/>
  <c r="U7" i="70"/>
  <c r="T7" i="70"/>
  <c r="S7" i="70"/>
  <c r="R7" i="70"/>
  <c r="Q7" i="70"/>
  <c r="P7" i="70"/>
  <c r="O7" i="70"/>
  <c r="N7" i="70"/>
  <c r="M7" i="70"/>
  <c r="L7" i="70"/>
  <c r="K7" i="70"/>
  <c r="J7" i="70"/>
  <c r="I7" i="70"/>
  <c r="H7" i="70"/>
  <c r="C32" i="55"/>
  <c r="B34" i="67"/>
  <c r="B35" i="67" s="1"/>
  <c r="B36" i="67" s="1"/>
  <c r="B37" i="67" s="1"/>
  <c r="B38" i="67" s="1"/>
  <c r="B39" i="67" s="1"/>
  <c r="B40" i="67" s="1"/>
  <c r="B41" i="67" s="1"/>
  <c r="B42" i="67" s="1"/>
  <c r="B43" i="67" s="1"/>
  <c r="B44" i="67" s="1"/>
  <c r="B45" i="67" s="1"/>
  <c r="B46" i="67" s="1"/>
  <c r="B47" i="67" s="1"/>
  <c r="B48" i="67" s="1"/>
  <c r="B49" i="67" s="1"/>
  <c r="B50" i="67" s="1"/>
  <c r="B51" i="67" s="1"/>
  <c r="B52" i="67" s="1"/>
  <c r="B53" i="67" s="1"/>
  <c r="B54" i="67" s="1"/>
  <c r="B55" i="67" s="1"/>
  <c r="B56" i="67" s="1"/>
  <c r="B57" i="67" s="1"/>
  <c r="B58" i="67" s="1"/>
  <c r="B59" i="67" s="1"/>
  <c r="B60" i="67" s="1"/>
  <c r="B61" i="67" s="1"/>
  <c r="B62" i="67" s="1"/>
  <c r="B63" i="67" s="1"/>
  <c r="B64" i="67" s="1"/>
  <c r="B65" i="67" s="1"/>
  <c r="B66" i="67" s="1"/>
  <c r="B67" i="67" s="1"/>
  <c r="B68" i="67" s="1"/>
  <c r="B69" i="67" s="1"/>
  <c r="B70" i="67" s="1"/>
  <c r="B71" i="67" s="1"/>
  <c r="B72" i="67" s="1"/>
  <c r="B73" i="67" s="1"/>
  <c r="B74" i="67" s="1"/>
  <c r="B75" i="67" s="1"/>
  <c r="B76" i="67" s="1"/>
  <c r="B77" i="67" s="1"/>
  <c r="B78" i="67" s="1"/>
  <c r="B79" i="67" s="1"/>
  <c r="B80" i="67" s="1"/>
  <c r="B81" i="67" s="1"/>
  <c r="B82" i="67" s="1"/>
  <c r="B83" i="67" s="1"/>
  <c r="B84" i="67" s="1"/>
  <c r="B85" i="67" s="1"/>
  <c r="B86" i="67" s="1"/>
  <c r="B87" i="67" s="1"/>
  <c r="E12" i="70" l="1"/>
  <c r="G7" i="70"/>
  <c r="F7" i="70"/>
  <c r="E7" i="70"/>
  <c r="D7" i="70"/>
  <c r="D9" i="70"/>
  <c r="E9" i="70"/>
  <c r="F9" i="70"/>
  <c r="G9" i="70"/>
  <c r="D11" i="70"/>
  <c r="D20" i="70" s="1"/>
  <c r="E29" i="70"/>
  <c r="AD29" i="70"/>
  <c r="G29" i="70"/>
  <c r="F29" i="70"/>
  <c r="D29" i="70"/>
  <c r="G33" i="70" l="1"/>
  <c r="G32" i="70"/>
  <c r="G31" i="70"/>
  <c r="H29" i="70"/>
  <c r="E31" i="70"/>
  <c r="E32" i="70"/>
  <c r="E33" i="70"/>
  <c r="F32" i="70"/>
  <c r="F31" i="70"/>
  <c r="F33" i="70"/>
  <c r="H41" i="5"/>
  <c r="G41" i="5"/>
  <c r="F31" i="47"/>
  <c r="H33" i="70" l="1"/>
  <c r="H32" i="70"/>
  <c r="H31" i="70"/>
  <c r="I29" i="70"/>
  <c r="W31" i="47"/>
  <c r="X31" i="47"/>
  <c r="Y31" i="47"/>
  <c r="D23" i="70"/>
  <c r="D22" i="70"/>
  <c r="G21" i="70"/>
  <c r="F21" i="70"/>
  <c r="E21" i="70"/>
  <c r="D21" i="70"/>
  <c r="D12" i="70"/>
  <c r="C3" i="70"/>
  <c r="B2" i="70"/>
  <c r="J29" i="70" l="1"/>
  <c r="I33" i="70"/>
  <c r="I32" i="70"/>
  <c r="I31" i="70"/>
  <c r="D24" i="70"/>
  <c r="D27" i="57"/>
  <c r="D13" i="5"/>
  <c r="C3" i="54"/>
  <c r="E9" i="57"/>
  <c r="E15" i="57" s="1"/>
  <c r="AD13" i="70" s="1"/>
  <c r="D90" i="6"/>
  <c r="E88" i="6" s="1"/>
  <c r="E90" i="6" s="1"/>
  <c r="F88" i="6" s="1"/>
  <c r="F90" i="6" s="1"/>
  <c r="G88" i="6" s="1"/>
  <c r="D48" i="6"/>
  <c r="E44" i="6" s="1"/>
  <c r="E48" i="6" s="1"/>
  <c r="F44" i="6" s="1"/>
  <c r="F48" i="6" s="1"/>
  <c r="G44" i="6" s="1"/>
  <c r="G48" i="6" s="1"/>
  <c r="H44" i="6" s="1"/>
  <c r="H48" i="6" s="1"/>
  <c r="I44" i="6" s="1"/>
  <c r="I48" i="6" s="1"/>
  <c r="J44" i="6" s="1"/>
  <c r="J48" i="6" s="1"/>
  <c r="K44" i="6" s="1"/>
  <c r="K48" i="6" s="1"/>
  <c r="L44" i="6" s="1"/>
  <c r="L48" i="6" s="1"/>
  <c r="M44" i="6" s="1"/>
  <c r="M48" i="6" s="1"/>
  <c r="N44" i="6" s="1"/>
  <c r="N48" i="6" s="1"/>
  <c r="O44" i="6" s="1"/>
  <c r="O48" i="6" s="1"/>
  <c r="P44" i="6" s="1"/>
  <c r="P48" i="6" s="1"/>
  <c r="Q44" i="6" s="1"/>
  <c r="Q48" i="6" s="1"/>
  <c r="R44" i="6" s="1"/>
  <c r="R48" i="6" s="1"/>
  <c r="S44" i="6" s="1"/>
  <c r="S48" i="6" s="1"/>
  <c r="T44" i="6" s="1"/>
  <c r="T48" i="6" s="1"/>
  <c r="U44" i="6" s="1"/>
  <c r="U48" i="6" s="1"/>
  <c r="V44" i="6" s="1"/>
  <c r="V48" i="6" s="1"/>
  <c r="W44" i="6" s="1"/>
  <c r="W48" i="6" s="1"/>
  <c r="X44" i="6" s="1"/>
  <c r="X48" i="6" s="1"/>
  <c r="Y44" i="6" s="1"/>
  <c r="Y48" i="6" s="1"/>
  <c r="Z44" i="6" s="1"/>
  <c r="Z48" i="6" s="1"/>
  <c r="AA44" i="6" s="1"/>
  <c r="AA48" i="6" s="1"/>
  <c r="AB44" i="6" s="1"/>
  <c r="AB48" i="6" s="1"/>
  <c r="D24" i="6"/>
  <c r="D15" i="6"/>
  <c r="D18" i="6" s="1"/>
  <c r="F18" i="5"/>
  <c r="F19" i="5"/>
  <c r="D19" i="5"/>
  <c r="B2" i="54"/>
  <c r="B2" i="66"/>
  <c r="L12" i="54"/>
  <c r="O12" i="54"/>
  <c r="R12" i="54"/>
  <c r="L13" i="54"/>
  <c r="O13" i="54"/>
  <c r="R13" i="54"/>
  <c r="L14" i="54"/>
  <c r="O14" i="54"/>
  <c r="R14" i="54"/>
  <c r="D16" i="54"/>
  <c r="H16" i="54"/>
  <c r="K16" i="54"/>
  <c r="D18" i="54"/>
  <c r="H18" i="54"/>
  <c r="K18" i="54"/>
  <c r="D20" i="54"/>
  <c r="F20" i="54"/>
  <c r="G20" i="54"/>
  <c r="I20" i="54"/>
  <c r="J20" i="54"/>
  <c r="L20" i="54"/>
  <c r="M20" i="54"/>
  <c r="N20" i="54"/>
  <c r="P20" i="54"/>
  <c r="Q20" i="54"/>
  <c r="I31" i="47"/>
  <c r="G34" i="70" s="1"/>
  <c r="G31" i="47"/>
  <c r="F8" i="47"/>
  <c r="E11" i="47"/>
  <c r="C38" i="47" s="1"/>
  <c r="I17" i="56"/>
  <c r="F17" i="56"/>
  <c r="E33" i="5"/>
  <c r="E34" i="5"/>
  <c r="E38" i="5"/>
  <c r="E39" i="5"/>
  <c r="E32" i="5"/>
  <c r="D33" i="5"/>
  <c r="D34" i="5"/>
  <c r="D38" i="5"/>
  <c r="D39" i="5"/>
  <c r="D32" i="5"/>
  <c r="E12" i="5"/>
  <c r="I14" i="5"/>
  <c r="F14" i="5"/>
  <c r="I13" i="5"/>
  <c r="I12" i="5"/>
  <c r="C3" i="69"/>
  <c r="B2" i="69"/>
  <c r="D66" i="6"/>
  <c r="E62" i="6" s="1"/>
  <c r="E66" i="6" s="1"/>
  <c r="F62" i="6" s="1"/>
  <c r="F66" i="6" s="1"/>
  <c r="G62" i="6" s="1"/>
  <c r="G66" i="6" s="1"/>
  <c r="H62" i="6" s="1"/>
  <c r="H66" i="6" s="1"/>
  <c r="I62" i="6" s="1"/>
  <c r="I66" i="6" s="1"/>
  <c r="J62" i="6" s="1"/>
  <c r="J66" i="6" s="1"/>
  <c r="K62" i="6" s="1"/>
  <c r="K66" i="6" s="1"/>
  <c r="L62" i="6" s="1"/>
  <c r="L66" i="6" s="1"/>
  <c r="M62" i="6" s="1"/>
  <c r="M66" i="6" s="1"/>
  <c r="N62" i="6" s="1"/>
  <c r="N66" i="6" s="1"/>
  <c r="O62" i="6" s="1"/>
  <c r="O66" i="6" s="1"/>
  <c r="P62" i="6" s="1"/>
  <c r="P66" i="6" s="1"/>
  <c r="Q62" i="6" s="1"/>
  <c r="Q66" i="6" s="1"/>
  <c r="R62" i="6" s="1"/>
  <c r="R66" i="6" s="1"/>
  <c r="S62" i="6" s="1"/>
  <c r="S66" i="6" s="1"/>
  <c r="T62" i="6" s="1"/>
  <c r="T66" i="6" s="1"/>
  <c r="U62" i="6" s="1"/>
  <c r="U66" i="6" s="1"/>
  <c r="V62" i="6" s="1"/>
  <c r="V66" i="6" s="1"/>
  <c r="W62" i="6" s="1"/>
  <c r="W66" i="6" s="1"/>
  <c r="X62" i="6" s="1"/>
  <c r="X66" i="6" s="1"/>
  <c r="Y62" i="6" s="1"/>
  <c r="Y66" i="6" s="1"/>
  <c r="Z62" i="6" s="1"/>
  <c r="Z66" i="6" s="1"/>
  <c r="AA62" i="6" s="1"/>
  <c r="AA66" i="6" s="1"/>
  <c r="AB62" i="6" s="1"/>
  <c r="AB66" i="6" s="1"/>
  <c r="E22" i="47"/>
  <c r="E20" i="47"/>
  <c r="E19" i="47"/>
  <c r="E18" i="47"/>
  <c r="C26" i="55"/>
  <c r="C21" i="55"/>
  <c r="E14" i="57"/>
  <c r="E13" i="57"/>
  <c r="E12" i="57"/>
  <c r="E11" i="57"/>
  <c r="E10" i="57"/>
  <c r="E21" i="47"/>
  <c r="E14" i="47"/>
  <c r="G35" i="59"/>
  <c r="G34" i="59"/>
  <c r="G33" i="59"/>
  <c r="G32" i="59"/>
  <c r="G31" i="59"/>
  <c r="G30" i="59"/>
  <c r="B4" i="67"/>
  <c r="B5" i="67" s="1"/>
  <c r="B6" i="67" s="1"/>
  <c r="B7" i="67" s="1"/>
  <c r="B8" i="67" s="1"/>
  <c r="B9" i="67" s="1"/>
  <c r="B10" i="67" s="1"/>
  <c r="B11" i="67" s="1"/>
  <c r="B12" i="67" s="1"/>
  <c r="B13" i="67" s="1"/>
  <c r="B14" i="67" s="1"/>
  <c r="B15" i="67" s="1"/>
  <c r="B16" i="67" s="1"/>
  <c r="B17" i="67" s="1"/>
  <c r="B18" i="67" s="1"/>
  <c r="B19" i="67" s="1"/>
  <c r="B20" i="67" s="1"/>
  <c r="B21" i="67" s="1"/>
  <c r="B22" i="67" s="1"/>
  <c r="B23" i="67" s="1"/>
  <c r="B24" i="67" s="1"/>
  <c r="B25" i="67" s="1"/>
  <c r="B26" i="67" s="1"/>
  <c r="B27" i="67" s="1"/>
  <c r="B28" i="67" s="1"/>
  <c r="B29" i="67" s="1"/>
  <c r="B30" i="67" s="1"/>
  <c r="B31" i="67" s="1"/>
  <c r="B32" i="67" s="1"/>
  <c r="B33" i="67" s="1"/>
  <c r="D9" i="6"/>
  <c r="E9" i="6"/>
  <c r="F9" i="6"/>
  <c r="G9" i="6"/>
  <c r="AD9" i="6"/>
  <c r="D86" i="6"/>
  <c r="E82" i="6" s="1"/>
  <c r="E86" i="6" s="1"/>
  <c r="F82" i="6" s="1"/>
  <c r="F86" i="6" s="1"/>
  <c r="G82" i="6" s="1"/>
  <c r="G86" i="6" s="1"/>
  <c r="H82" i="6" s="1"/>
  <c r="H86" i="6" s="1"/>
  <c r="I82" i="6" s="1"/>
  <c r="I86" i="6" s="1"/>
  <c r="J82" i="6" s="1"/>
  <c r="J86" i="6" s="1"/>
  <c r="K82" i="6" s="1"/>
  <c r="K86" i="6" s="1"/>
  <c r="L82" i="6" s="1"/>
  <c r="L86" i="6" s="1"/>
  <c r="M82" i="6" s="1"/>
  <c r="M86" i="6" s="1"/>
  <c r="N82" i="6" s="1"/>
  <c r="N86" i="6" s="1"/>
  <c r="O82" i="6" s="1"/>
  <c r="O86" i="6" s="1"/>
  <c r="P82" i="6" s="1"/>
  <c r="P86" i="6" s="1"/>
  <c r="Q82" i="6" s="1"/>
  <c r="Q86" i="6" s="1"/>
  <c r="R82" i="6" s="1"/>
  <c r="R86" i="6" s="1"/>
  <c r="S82" i="6" s="1"/>
  <c r="S86" i="6" s="1"/>
  <c r="T82" i="6" s="1"/>
  <c r="T86" i="6" s="1"/>
  <c r="U82" i="6" s="1"/>
  <c r="U86" i="6" s="1"/>
  <c r="V82" i="6" s="1"/>
  <c r="V86" i="6" s="1"/>
  <c r="W82" i="6" s="1"/>
  <c r="W86" i="6" s="1"/>
  <c r="X82" i="6" s="1"/>
  <c r="X86" i="6" s="1"/>
  <c r="Y82" i="6" s="1"/>
  <c r="Y86" i="6" s="1"/>
  <c r="Z82" i="6" s="1"/>
  <c r="Z86" i="6" s="1"/>
  <c r="AA82" i="6" s="1"/>
  <c r="AA86" i="6" s="1"/>
  <c r="AB82" i="6" s="1"/>
  <c r="AB86" i="6" s="1"/>
  <c r="D72" i="6"/>
  <c r="E68" i="6"/>
  <c r="E72" i="6" s="1"/>
  <c r="F68" i="6" s="1"/>
  <c r="F72" i="6" s="1"/>
  <c r="G68" i="6" s="1"/>
  <c r="G72" i="6" s="1"/>
  <c r="H68" i="6" s="1"/>
  <c r="H72" i="6" s="1"/>
  <c r="I68" i="6" s="1"/>
  <c r="I72" i="6" s="1"/>
  <c r="J68" i="6" s="1"/>
  <c r="J72" i="6" s="1"/>
  <c r="K68" i="6" s="1"/>
  <c r="K72" i="6" s="1"/>
  <c r="L68" i="6" s="1"/>
  <c r="L72" i="6" s="1"/>
  <c r="M68" i="6" s="1"/>
  <c r="M72" i="6" s="1"/>
  <c r="N68" i="6" s="1"/>
  <c r="N72" i="6" s="1"/>
  <c r="O68" i="6" s="1"/>
  <c r="O72" i="6" s="1"/>
  <c r="P68" i="6" s="1"/>
  <c r="P72" i="6" s="1"/>
  <c r="Q68" i="6" s="1"/>
  <c r="Q72" i="6" s="1"/>
  <c r="R68" i="6" s="1"/>
  <c r="R72" i="6" s="1"/>
  <c r="S68" i="6" s="1"/>
  <c r="S72" i="6" s="1"/>
  <c r="T68" i="6" s="1"/>
  <c r="T72" i="6" s="1"/>
  <c r="U68" i="6" s="1"/>
  <c r="U72" i="6" s="1"/>
  <c r="V68" i="6" s="1"/>
  <c r="V72" i="6" s="1"/>
  <c r="W68" i="6" s="1"/>
  <c r="W72" i="6" s="1"/>
  <c r="X68" i="6" s="1"/>
  <c r="X72" i="6" s="1"/>
  <c r="Y68" i="6" s="1"/>
  <c r="Y72" i="6" s="1"/>
  <c r="Z68" i="6" s="1"/>
  <c r="Z72" i="6" s="1"/>
  <c r="AA68" i="6" s="1"/>
  <c r="AA72" i="6" s="1"/>
  <c r="AB68" i="6" s="1"/>
  <c r="AB72" i="6" s="1"/>
  <c r="D80" i="6"/>
  <c r="D91" i="6" s="1"/>
  <c r="B2" i="64"/>
  <c r="C3" i="64"/>
  <c r="B2" i="60"/>
  <c r="C3" i="60"/>
  <c r="S12" i="54"/>
  <c r="D12" i="54"/>
  <c r="V12" i="54"/>
  <c r="Y12" i="54"/>
  <c r="AB12" i="54"/>
  <c r="AE12" i="54"/>
  <c r="AH12" i="54"/>
  <c r="AK12" i="54"/>
  <c r="AL12" i="54"/>
  <c r="AO12" i="54"/>
  <c r="AR12" i="54"/>
  <c r="AU12" i="54"/>
  <c r="AX12" i="54"/>
  <c r="BA12" i="54"/>
  <c r="BD12" i="54"/>
  <c r="BG12" i="54"/>
  <c r="BJ12" i="54"/>
  <c r="S13" i="54"/>
  <c r="D13" i="54"/>
  <c r="V13" i="54"/>
  <c r="Y13" i="54"/>
  <c r="AB13" i="54"/>
  <c r="AE13" i="54"/>
  <c r="AH13" i="54"/>
  <c r="AK13" i="54"/>
  <c r="AL13" i="54"/>
  <c r="AL20" i="54"/>
  <c r="AO13" i="54"/>
  <c r="AR13" i="54"/>
  <c r="AU13" i="54"/>
  <c r="AX13" i="54"/>
  <c r="BA13" i="54"/>
  <c r="BD13" i="54"/>
  <c r="BG13" i="54"/>
  <c r="BJ13" i="54"/>
  <c r="S14" i="54"/>
  <c r="D14" i="54"/>
  <c r="V14" i="54"/>
  <c r="Y14" i="54"/>
  <c r="AB14" i="54"/>
  <c r="AE14" i="54"/>
  <c r="AH14" i="54"/>
  <c r="AK14" i="54"/>
  <c r="AL14" i="54"/>
  <c r="AO14" i="54"/>
  <c r="AR14" i="54"/>
  <c r="AU14" i="54"/>
  <c r="AX14" i="54"/>
  <c r="BA14" i="54"/>
  <c r="BD14" i="54"/>
  <c r="BG14" i="54"/>
  <c r="BJ14" i="54"/>
  <c r="T20" i="54"/>
  <c r="U20" i="54"/>
  <c r="W20" i="54"/>
  <c r="X20" i="54"/>
  <c r="Z20" i="54"/>
  <c r="AA20" i="54"/>
  <c r="AC20" i="54"/>
  <c r="AD20" i="54"/>
  <c r="AF20" i="54"/>
  <c r="AG20" i="54"/>
  <c r="AI20" i="54"/>
  <c r="AJ20" i="54"/>
  <c r="AM20" i="54"/>
  <c r="AN20" i="54"/>
  <c r="AP20" i="54"/>
  <c r="AQ20" i="54"/>
  <c r="AS20" i="54"/>
  <c r="AT20" i="54"/>
  <c r="AV20" i="54"/>
  <c r="AW20" i="54"/>
  <c r="AY20" i="54"/>
  <c r="AZ20" i="54"/>
  <c r="BB20" i="54"/>
  <c r="BC20" i="54"/>
  <c r="BE20" i="54"/>
  <c r="BF20" i="54"/>
  <c r="BH20" i="54"/>
  <c r="BI20" i="54"/>
  <c r="C3" i="66"/>
  <c r="B2" i="47"/>
  <c r="C3" i="47"/>
  <c r="E10" i="47"/>
  <c r="E12" i="47"/>
  <c r="E13" i="47"/>
  <c r="E15" i="47"/>
  <c r="F16" i="47"/>
  <c r="G16" i="47"/>
  <c r="H16" i="47"/>
  <c r="I16" i="47"/>
  <c r="J16" i="47"/>
  <c r="K16" i="47"/>
  <c r="L16" i="47"/>
  <c r="M16" i="47"/>
  <c r="N16" i="47"/>
  <c r="O16" i="47"/>
  <c r="P16" i="47"/>
  <c r="Q16" i="47"/>
  <c r="R16" i="47"/>
  <c r="S16" i="47"/>
  <c r="T16" i="47"/>
  <c r="U16" i="47"/>
  <c r="V16" i="47"/>
  <c r="W16" i="47"/>
  <c r="X16" i="47"/>
  <c r="Y16" i="47"/>
  <c r="Z16" i="47"/>
  <c r="AA16" i="47"/>
  <c r="AB16" i="47"/>
  <c r="AC16" i="47"/>
  <c r="AD16" i="47"/>
  <c r="AE16" i="47"/>
  <c r="AF16" i="47"/>
  <c r="AG16" i="47"/>
  <c r="AH16" i="47"/>
  <c r="AI16" i="47"/>
  <c r="AJ16" i="47"/>
  <c r="AK16" i="47"/>
  <c r="AL16" i="47"/>
  <c r="AM16" i="47"/>
  <c r="AN16" i="47"/>
  <c r="AN24" i="47" s="1"/>
  <c r="AO16" i="47"/>
  <c r="AP16" i="47"/>
  <c r="AQ16" i="47"/>
  <c r="AQ24" i="47" s="1"/>
  <c r="AR16" i="47"/>
  <c r="AS16" i="47"/>
  <c r="AS24" i="47" s="1"/>
  <c r="AT16" i="47"/>
  <c r="AU16" i="47"/>
  <c r="AV16" i="47"/>
  <c r="AW16" i="47"/>
  <c r="AX16" i="47"/>
  <c r="AY16" i="47"/>
  <c r="AY32" i="47" s="1"/>
  <c r="AZ16" i="47"/>
  <c r="BA16" i="47"/>
  <c r="BB16" i="47"/>
  <c r="BC16" i="47"/>
  <c r="BD16" i="47"/>
  <c r="BE16" i="47"/>
  <c r="BF16" i="47"/>
  <c r="BG16" i="47"/>
  <c r="BH16" i="47"/>
  <c r="F23" i="47"/>
  <c r="G23" i="47"/>
  <c r="H23" i="47"/>
  <c r="I23" i="47"/>
  <c r="J23" i="47"/>
  <c r="K23" i="47"/>
  <c r="L23" i="47"/>
  <c r="M23" i="47"/>
  <c r="N23" i="47"/>
  <c r="O23" i="47"/>
  <c r="P23" i="47"/>
  <c r="Q23" i="47"/>
  <c r="R23" i="47"/>
  <c r="S23" i="47"/>
  <c r="T23" i="47"/>
  <c r="U23" i="47"/>
  <c r="V23" i="47"/>
  <c r="W23" i="47"/>
  <c r="X23" i="47"/>
  <c r="Y23" i="47"/>
  <c r="Z23" i="47"/>
  <c r="AA23" i="47"/>
  <c r="AB23" i="47"/>
  <c r="AC23" i="47"/>
  <c r="AD23" i="47"/>
  <c r="AE23" i="47"/>
  <c r="AF23" i="47"/>
  <c r="AG23" i="47"/>
  <c r="AH23" i="47"/>
  <c r="AI23" i="47"/>
  <c r="AJ23" i="47"/>
  <c r="AK23" i="47"/>
  <c r="AL23" i="47"/>
  <c r="AL32" i="47" s="1"/>
  <c r="AM23" i="47"/>
  <c r="AN23" i="47"/>
  <c r="AO23" i="47"/>
  <c r="AP23" i="47"/>
  <c r="AQ23" i="47"/>
  <c r="AR23" i="47"/>
  <c r="AS23" i="47"/>
  <c r="AT23" i="47"/>
  <c r="AU23" i="47"/>
  <c r="AV23" i="47"/>
  <c r="AV32" i="47" s="1"/>
  <c r="AW23" i="47"/>
  <c r="AX23" i="47"/>
  <c r="AY23" i="47"/>
  <c r="AZ23" i="47"/>
  <c r="BA23" i="47"/>
  <c r="BB23" i="47"/>
  <c r="BC23" i="47"/>
  <c r="BD23" i="47"/>
  <c r="BE23" i="47"/>
  <c r="BF23" i="47"/>
  <c r="BF24" i="47" s="1"/>
  <c r="BG23" i="47"/>
  <c r="BH23" i="47"/>
  <c r="AH24" i="47"/>
  <c r="H31" i="47"/>
  <c r="J31" i="47"/>
  <c r="H34" i="70" s="1"/>
  <c r="K31" i="47"/>
  <c r="I34" i="70" s="1"/>
  <c r="L31" i="47"/>
  <c r="J34" i="70" s="1"/>
  <c r="M31" i="47"/>
  <c r="N31" i="47"/>
  <c r="O31" i="47"/>
  <c r="P31" i="47"/>
  <c r="Q31" i="47"/>
  <c r="R31" i="47"/>
  <c r="S31" i="47"/>
  <c r="T31" i="47"/>
  <c r="U31" i="47"/>
  <c r="V31" i="47"/>
  <c r="Z31" i="47"/>
  <c r="AA31" i="47"/>
  <c r="AB31" i="47"/>
  <c r="AC31" i="47"/>
  <c r="AD31" i="47"/>
  <c r="AG31" i="47"/>
  <c r="AH31" i="47"/>
  <c r="AH32" i="47"/>
  <c r="AI31" i="47"/>
  <c r="AJ31" i="47"/>
  <c r="AK31" i="47"/>
  <c r="AL31" i="47"/>
  <c r="AM31" i="47"/>
  <c r="AN31" i="47"/>
  <c r="AN32" i="47" s="1"/>
  <c r="AO31" i="47"/>
  <c r="AP31" i="47"/>
  <c r="AQ31" i="47"/>
  <c r="AR31" i="47"/>
  <c r="AR32" i="47" s="1"/>
  <c r="AS31" i="47"/>
  <c r="AT31" i="47"/>
  <c r="AU31" i="47"/>
  <c r="AV31" i="47"/>
  <c r="AW31" i="47"/>
  <c r="AX31" i="47"/>
  <c r="AY31" i="47"/>
  <c r="AZ31" i="47"/>
  <c r="BA31" i="47"/>
  <c r="BB31" i="47"/>
  <c r="BC31" i="47"/>
  <c r="BD31" i="47"/>
  <c r="BE31" i="47"/>
  <c r="BF31" i="47"/>
  <c r="BG31" i="47"/>
  <c r="BH31" i="47"/>
  <c r="B2" i="59"/>
  <c r="C3" i="59"/>
  <c r="G11" i="59"/>
  <c r="G12" i="59"/>
  <c r="G13" i="59"/>
  <c r="G14" i="59"/>
  <c r="G15" i="59"/>
  <c r="G16" i="59"/>
  <c r="G17" i="59"/>
  <c r="G18" i="59"/>
  <c r="G19" i="59"/>
  <c r="G20" i="59"/>
  <c r="G21" i="59"/>
  <c r="G22" i="59"/>
  <c r="G23" i="59"/>
  <c r="G24" i="59"/>
  <c r="G25" i="59"/>
  <c r="G26" i="59"/>
  <c r="G27" i="59"/>
  <c r="G28" i="59"/>
  <c r="G29" i="59"/>
  <c r="G36" i="59"/>
  <c r="G37" i="59"/>
  <c r="G38" i="59"/>
  <c r="G39" i="59"/>
  <c r="G40" i="59"/>
  <c r="B2" i="55"/>
  <c r="C3" i="55"/>
  <c r="C9" i="55"/>
  <c r="C10" i="55"/>
  <c r="C11" i="55"/>
  <c r="C12" i="55"/>
  <c r="C13" i="55"/>
  <c r="C14" i="55"/>
  <c r="C15" i="55"/>
  <c r="C16" i="55"/>
  <c r="C2" i="6"/>
  <c r="D3" i="6"/>
  <c r="D4" i="6"/>
  <c r="E20" i="6"/>
  <c r="E24" i="6"/>
  <c r="D30" i="6"/>
  <c r="E26" i="6" s="1"/>
  <c r="E30" i="6" s="1"/>
  <c r="F26" i="6" s="1"/>
  <c r="F30" i="6" s="1"/>
  <c r="G26" i="6" s="1"/>
  <c r="G30" i="6" s="1"/>
  <c r="H26" i="6" s="1"/>
  <c r="H30" i="6" s="1"/>
  <c r="I26" i="6" s="1"/>
  <c r="I30" i="6" s="1"/>
  <c r="J26" i="6" s="1"/>
  <c r="J30" i="6" s="1"/>
  <c r="K26" i="6" s="1"/>
  <c r="K30" i="6" s="1"/>
  <c r="L26" i="6" s="1"/>
  <c r="L30" i="6" s="1"/>
  <c r="M26" i="6" s="1"/>
  <c r="M30" i="6" s="1"/>
  <c r="N26" i="6" s="1"/>
  <c r="N30" i="6" s="1"/>
  <c r="O26" i="6" s="1"/>
  <c r="O30" i="6" s="1"/>
  <c r="P26" i="6" s="1"/>
  <c r="P30" i="6" s="1"/>
  <c r="Q26" i="6" s="1"/>
  <c r="Q30" i="6" s="1"/>
  <c r="R26" i="6" s="1"/>
  <c r="R30" i="6" s="1"/>
  <c r="S26" i="6" s="1"/>
  <c r="S30" i="6" s="1"/>
  <c r="T26" i="6" s="1"/>
  <c r="T30" i="6" s="1"/>
  <c r="U26" i="6" s="1"/>
  <c r="U30" i="6" s="1"/>
  <c r="V26" i="6" s="1"/>
  <c r="V30" i="6" s="1"/>
  <c r="W26" i="6" s="1"/>
  <c r="W30" i="6" s="1"/>
  <c r="X26" i="6" s="1"/>
  <c r="X30" i="6" s="1"/>
  <c r="Y26" i="6" s="1"/>
  <c r="Y30" i="6" s="1"/>
  <c r="Z26" i="6" s="1"/>
  <c r="Z30" i="6" s="1"/>
  <c r="AA26" i="6" s="1"/>
  <c r="AA30" i="6" s="1"/>
  <c r="AB26" i="6" s="1"/>
  <c r="AB30" i="6" s="1"/>
  <c r="D36" i="6"/>
  <c r="E32" i="6" s="1"/>
  <c r="E36" i="6" s="1"/>
  <c r="F32" i="6" s="1"/>
  <c r="F36" i="6" s="1"/>
  <c r="G32" i="6" s="1"/>
  <c r="G36" i="6" s="1"/>
  <c r="H32" i="6" s="1"/>
  <c r="H36" i="6" s="1"/>
  <c r="I32" i="6" s="1"/>
  <c r="I36" i="6" s="1"/>
  <c r="J32" i="6" s="1"/>
  <c r="J36" i="6" s="1"/>
  <c r="K32" i="6" s="1"/>
  <c r="K36" i="6" s="1"/>
  <c r="L32" i="6" s="1"/>
  <c r="L36" i="6" s="1"/>
  <c r="M32" i="6" s="1"/>
  <c r="M36" i="6" s="1"/>
  <c r="N32" i="6" s="1"/>
  <c r="N36" i="6" s="1"/>
  <c r="O32" i="6" s="1"/>
  <c r="O36" i="6" s="1"/>
  <c r="P32" i="6" s="1"/>
  <c r="P36" i="6" s="1"/>
  <c r="Q32" i="6" s="1"/>
  <c r="Q36" i="6" s="1"/>
  <c r="R32" i="6" s="1"/>
  <c r="R36" i="6" s="1"/>
  <c r="S32" i="6" s="1"/>
  <c r="S36" i="6" s="1"/>
  <c r="T32" i="6" s="1"/>
  <c r="T36" i="6" s="1"/>
  <c r="U32" i="6" s="1"/>
  <c r="U36" i="6" s="1"/>
  <c r="V32" i="6" s="1"/>
  <c r="V36" i="6" s="1"/>
  <c r="W32" i="6" s="1"/>
  <c r="W36" i="6" s="1"/>
  <c r="X32" i="6" s="1"/>
  <c r="X36" i="6" s="1"/>
  <c r="Y32" i="6" s="1"/>
  <c r="Y36" i="6" s="1"/>
  <c r="Z32" i="6" s="1"/>
  <c r="Z36" i="6" s="1"/>
  <c r="AA32" i="6" s="1"/>
  <c r="AA36" i="6" s="1"/>
  <c r="AB32" i="6" s="1"/>
  <c r="AB36" i="6" s="1"/>
  <c r="D42" i="6"/>
  <c r="E38" i="6"/>
  <c r="E42" i="6" s="1"/>
  <c r="F38" i="6" s="1"/>
  <c r="F42" i="6" s="1"/>
  <c r="G38" i="6" s="1"/>
  <c r="G42" i="6" s="1"/>
  <c r="H38" i="6" s="1"/>
  <c r="H42" i="6" s="1"/>
  <c r="I38" i="6" s="1"/>
  <c r="I42" i="6" s="1"/>
  <c r="J38" i="6" s="1"/>
  <c r="J42" i="6" s="1"/>
  <c r="K38" i="6" s="1"/>
  <c r="K42" i="6" s="1"/>
  <c r="L38" i="6" s="1"/>
  <c r="L42" i="6" s="1"/>
  <c r="M38" i="6" s="1"/>
  <c r="M42" i="6" s="1"/>
  <c r="N38" i="6" s="1"/>
  <c r="N42" i="6" s="1"/>
  <c r="O38" i="6" s="1"/>
  <c r="O42" i="6" s="1"/>
  <c r="P38" i="6" s="1"/>
  <c r="P42" i="6" s="1"/>
  <c r="Q38" i="6" s="1"/>
  <c r="Q42" i="6" s="1"/>
  <c r="R38" i="6" s="1"/>
  <c r="R42" i="6" s="1"/>
  <c r="S38" i="6" s="1"/>
  <c r="S42" i="6" s="1"/>
  <c r="T38" i="6" s="1"/>
  <c r="T42" i="6" s="1"/>
  <c r="U38" i="6" s="1"/>
  <c r="U42" i="6" s="1"/>
  <c r="V38" i="6" s="1"/>
  <c r="V42" i="6" s="1"/>
  <c r="W38" i="6" s="1"/>
  <c r="W42" i="6" s="1"/>
  <c r="X38" i="6" s="1"/>
  <c r="X42" i="6" s="1"/>
  <c r="Y38" i="6" s="1"/>
  <c r="Y42" i="6" s="1"/>
  <c r="Z38" i="6" s="1"/>
  <c r="Z42" i="6" s="1"/>
  <c r="AA38" i="6" s="1"/>
  <c r="AA42" i="6" s="1"/>
  <c r="AB38" i="6" s="1"/>
  <c r="AB42" i="6" s="1"/>
  <c r="D54" i="6"/>
  <c r="E50" i="6" s="1"/>
  <c r="E54" i="6" s="1"/>
  <c r="F50" i="6" s="1"/>
  <c r="F54" i="6" s="1"/>
  <c r="G50" i="6" s="1"/>
  <c r="G54" i="6" s="1"/>
  <c r="H50" i="6" s="1"/>
  <c r="H54" i="6" s="1"/>
  <c r="I50" i="6" s="1"/>
  <c r="I54" i="6" s="1"/>
  <c r="J50" i="6" s="1"/>
  <c r="J54" i="6" s="1"/>
  <c r="K50" i="6" s="1"/>
  <c r="K54" i="6" s="1"/>
  <c r="L50" i="6" s="1"/>
  <c r="L54" i="6" s="1"/>
  <c r="M50" i="6" s="1"/>
  <c r="M54" i="6" s="1"/>
  <c r="N50" i="6" s="1"/>
  <c r="N54" i="6" s="1"/>
  <c r="O50" i="6" s="1"/>
  <c r="O54" i="6" s="1"/>
  <c r="P50" i="6" s="1"/>
  <c r="P54" i="6" s="1"/>
  <c r="Q50" i="6" s="1"/>
  <c r="Q54" i="6" s="1"/>
  <c r="R50" i="6" s="1"/>
  <c r="R54" i="6" s="1"/>
  <c r="S50" i="6" s="1"/>
  <c r="S54" i="6" s="1"/>
  <c r="T50" i="6" s="1"/>
  <c r="T54" i="6" s="1"/>
  <c r="U50" i="6" s="1"/>
  <c r="U54" i="6" s="1"/>
  <c r="V50" i="6" s="1"/>
  <c r="V54" i="6" s="1"/>
  <c r="W50" i="6" s="1"/>
  <c r="W54" i="6" s="1"/>
  <c r="X50" i="6" s="1"/>
  <c r="X54" i="6" s="1"/>
  <c r="Y50" i="6" s="1"/>
  <c r="Y54" i="6" s="1"/>
  <c r="Z50" i="6" s="1"/>
  <c r="Z54" i="6" s="1"/>
  <c r="AA50" i="6" s="1"/>
  <c r="AA54" i="6" s="1"/>
  <c r="AB50" i="6" s="1"/>
  <c r="AB54" i="6" s="1"/>
  <c r="D60" i="6"/>
  <c r="E56" i="6" s="1"/>
  <c r="E60" i="6" s="1"/>
  <c r="F56" i="6" s="1"/>
  <c r="F60" i="6" s="1"/>
  <c r="G56" i="6" s="1"/>
  <c r="G60" i="6" s="1"/>
  <c r="H56" i="6" s="1"/>
  <c r="H60" i="6" s="1"/>
  <c r="I56" i="6" s="1"/>
  <c r="I60" i="6" s="1"/>
  <c r="J56" i="6" s="1"/>
  <c r="J60" i="6" s="1"/>
  <c r="K56" i="6" s="1"/>
  <c r="K60" i="6" s="1"/>
  <c r="L56" i="6" s="1"/>
  <c r="L60" i="6" s="1"/>
  <c r="M56" i="6" s="1"/>
  <c r="M60" i="6" s="1"/>
  <c r="N56" i="6" s="1"/>
  <c r="N60" i="6" s="1"/>
  <c r="O56" i="6" s="1"/>
  <c r="O60" i="6" s="1"/>
  <c r="P56" i="6" s="1"/>
  <c r="P60" i="6" s="1"/>
  <c r="Q56" i="6" s="1"/>
  <c r="Q60" i="6" s="1"/>
  <c r="R56" i="6" s="1"/>
  <c r="R60" i="6" s="1"/>
  <c r="S56" i="6" s="1"/>
  <c r="S60" i="6" s="1"/>
  <c r="T56" i="6" s="1"/>
  <c r="T60" i="6" s="1"/>
  <c r="U56" i="6" s="1"/>
  <c r="U60" i="6" s="1"/>
  <c r="V56" i="6" s="1"/>
  <c r="V60" i="6" s="1"/>
  <c r="W56" i="6" s="1"/>
  <c r="W60" i="6" s="1"/>
  <c r="X56" i="6" s="1"/>
  <c r="X60" i="6" s="1"/>
  <c r="Y56" i="6" s="1"/>
  <c r="Y60" i="6" s="1"/>
  <c r="Z56" i="6" s="1"/>
  <c r="Z60" i="6" s="1"/>
  <c r="AA56" i="6" s="1"/>
  <c r="AA60" i="6" s="1"/>
  <c r="AB56" i="6" s="1"/>
  <c r="AB60" i="6" s="1"/>
  <c r="B2" i="16"/>
  <c r="C3" i="16"/>
  <c r="H9" i="16"/>
  <c r="I9" i="16"/>
  <c r="H10" i="16"/>
  <c r="I10" i="16"/>
  <c r="H11" i="16"/>
  <c r="I11" i="16"/>
  <c r="H13" i="16"/>
  <c r="D36" i="5"/>
  <c r="I13" i="16"/>
  <c r="E36" i="5"/>
  <c r="I14" i="16"/>
  <c r="E37" i="5" s="1"/>
  <c r="H15" i="16"/>
  <c r="I15" i="16"/>
  <c r="H16" i="16"/>
  <c r="I16" i="16"/>
  <c r="F17" i="16"/>
  <c r="F36" i="16"/>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B2" i="45"/>
  <c r="C3" i="45"/>
  <c r="G9" i="45"/>
  <c r="H9" i="45"/>
  <c r="G10" i="45"/>
  <c r="H10" i="45"/>
  <c r="G11" i="45"/>
  <c r="H11" i="45"/>
  <c r="G12" i="45"/>
  <c r="H12" i="45"/>
  <c r="G13" i="45"/>
  <c r="H13" i="45"/>
  <c r="G14" i="45"/>
  <c r="H14" i="45"/>
  <c r="G15" i="45"/>
  <c r="H15" i="45"/>
  <c r="G16" i="45"/>
  <c r="H16" i="45"/>
  <c r="G17" i="45"/>
  <c r="H17" i="45"/>
  <c r="G18" i="45"/>
  <c r="H18" i="45"/>
  <c r="G19" i="45"/>
  <c r="H19" i="45"/>
  <c r="G20" i="45"/>
  <c r="H20" i="45"/>
  <c r="G21" i="45"/>
  <c r="H21" i="45"/>
  <c r="G22" i="45"/>
  <c r="H22" i="45"/>
  <c r="G23" i="45"/>
  <c r="H23" i="45"/>
  <c r="G24" i="45"/>
  <c r="H24" i="45"/>
  <c r="G25" i="45"/>
  <c r="H25" i="45"/>
  <c r="G26" i="45"/>
  <c r="H26" i="45"/>
  <c r="G27" i="45"/>
  <c r="H27" i="45"/>
  <c r="G28" i="45"/>
  <c r="H28" i="45"/>
  <c r="G29" i="45"/>
  <c r="H29" i="45"/>
  <c r="G30" i="45"/>
  <c r="H30" i="45"/>
  <c r="G31" i="45"/>
  <c r="H31" i="45"/>
  <c r="G32" i="45"/>
  <c r="H32" i="45"/>
  <c r="G33" i="45"/>
  <c r="H33" i="45"/>
  <c r="G34" i="45"/>
  <c r="H34" i="45"/>
  <c r="G35" i="45"/>
  <c r="H35" i="45"/>
  <c r="D36" i="45"/>
  <c r="E36" i="45"/>
  <c r="G36" i="45"/>
  <c r="D18" i="5"/>
  <c r="B2" i="57"/>
  <c r="C3" i="57"/>
  <c r="C15" i="57"/>
  <c r="D15" i="57"/>
  <c r="E21" i="56"/>
  <c r="E11" i="5" s="1"/>
  <c r="B2" i="56"/>
  <c r="C3" i="56"/>
  <c r="I11" i="56"/>
  <c r="F12" i="56"/>
  <c r="I12" i="56"/>
  <c r="F13" i="56"/>
  <c r="I13" i="56"/>
  <c r="F14" i="56"/>
  <c r="I14" i="56"/>
  <c r="F15" i="56"/>
  <c r="I15" i="56"/>
  <c r="F16" i="56"/>
  <c r="I16" i="56"/>
  <c r="F18" i="56"/>
  <c r="I18" i="56"/>
  <c r="F19" i="56"/>
  <c r="I19" i="56"/>
  <c r="F20" i="56"/>
  <c r="I20" i="56"/>
  <c r="G21" i="56"/>
  <c r="G11" i="5" s="1"/>
  <c r="H21" i="56"/>
  <c r="H11" i="5" s="1"/>
  <c r="H16" i="5" s="1"/>
  <c r="H20" i="5" s="1"/>
  <c r="B2" i="5"/>
  <c r="C3" i="5"/>
  <c r="F15" i="5"/>
  <c r="I15" i="5"/>
  <c r="I18" i="5"/>
  <c r="I19" i="5"/>
  <c r="G19" i="5"/>
  <c r="H19" i="5"/>
  <c r="F22" i="5"/>
  <c r="I22" i="5"/>
  <c r="F23" i="5"/>
  <c r="I23" i="5"/>
  <c r="I24" i="5"/>
  <c r="F25" i="5"/>
  <c r="I25" i="5"/>
  <c r="F26" i="5"/>
  <c r="I26" i="5"/>
  <c r="F27" i="5"/>
  <c r="I27" i="5"/>
  <c r="F28" i="5"/>
  <c r="I28" i="5"/>
  <c r="F29" i="5"/>
  <c r="I29" i="5"/>
  <c r="E30" i="5"/>
  <c r="G30" i="5"/>
  <c r="G42" i="5" s="1"/>
  <c r="H30" i="5"/>
  <c r="H42" i="5" s="1"/>
  <c r="I32" i="5"/>
  <c r="I33" i="5"/>
  <c r="I34" i="5"/>
  <c r="I35" i="5"/>
  <c r="I36" i="5"/>
  <c r="I37" i="5"/>
  <c r="I38" i="5"/>
  <c r="I39" i="5"/>
  <c r="I40" i="5"/>
  <c r="B2" i="44"/>
  <c r="H36" i="45"/>
  <c r="E18" i="5"/>
  <c r="E19" i="5"/>
  <c r="BA24" i="47"/>
  <c r="AP24" i="47"/>
  <c r="AM24" i="47"/>
  <c r="S20" i="54"/>
  <c r="E76" i="6"/>
  <c r="E80" i="6"/>
  <c r="F76" i="6" s="1"/>
  <c r="F80" i="6" s="1"/>
  <c r="G76" i="6" s="1"/>
  <c r="G80" i="6" s="1"/>
  <c r="H76" i="6" s="1"/>
  <c r="H80" i="6" s="1"/>
  <c r="I76" i="6" s="1"/>
  <c r="I80" i="6" s="1"/>
  <c r="J76" i="6" s="1"/>
  <c r="J80" i="6" s="1"/>
  <c r="K76" i="6" s="1"/>
  <c r="K80" i="6" s="1"/>
  <c r="L76" i="6" s="1"/>
  <c r="L80" i="6" s="1"/>
  <c r="M76" i="6" s="1"/>
  <c r="M80" i="6" s="1"/>
  <c r="N76" i="6" s="1"/>
  <c r="N80" i="6" s="1"/>
  <c r="O76" i="6" s="1"/>
  <c r="O80" i="6" s="1"/>
  <c r="P76" i="6" s="1"/>
  <c r="P80" i="6" s="1"/>
  <c r="Q76" i="6" s="1"/>
  <c r="Q80" i="6" s="1"/>
  <c r="R76" i="6" s="1"/>
  <c r="R80" i="6" s="1"/>
  <c r="S76" i="6" s="1"/>
  <c r="S80" i="6" s="1"/>
  <c r="T76" i="6" s="1"/>
  <c r="T80" i="6" s="1"/>
  <c r="U76" i="6" s="1"/>
  <c r="U80" i="6" s="1"/>
  <c r="V76" i="6" s="1"/>
  <c r="V80" i="6" s="1"/>
  <c r="W76" i="6" s="1"/>
  <c r="W80" i="6" s="1"/>
  <c r="X76" i="6" s="1"/>
  <c r="X80" i="6" s="1"/>
  <c r="Y76" i="6" s="1"/>
  <c r="Y80" i="6" s="1"/>
  <c r="Z76" i="6" s="1"/>
  <c r="Z80" i="6" s="1"/>
  <c r="AA76" i="6" s="1"/>
  <c r="AA80" i="6" s="1"/>
  <c r="AB76" i="6" s="1"/>
  <c r="AB80" i="6" s="1"/>
  <c r="F13" i="5"/>
  <c r="D12" i="5" l="1"/>
  <c r="F12" i="5" s="1"/>
  <c r="L24" i="47"/>
  <c r="G90" i="6"/>
  <c r="G91" i="6" s="1"/>
  <c r="F20" i="6"/>
  <c r="F24" i="6" s="1"/>
  <c r="G20" i="6" s="1"/>
  <c r="G24" i="6" s="1"/>
  <c r="H20" i="6" s="1"/>
  <c r="H24" i="6" s="1"/>
  <c r="I20" i="6" s="1"/>
  <c r="I24" i="6" s="1"/>
  <c r="J20" i="6" s="1"/>
  <c r="J24" i="6" s="1"/>
  <c r="K20" i="6" s="1"/>
  <c r="K24" i="6" s="1"/>
  <c r="L20" i="6" s="1"/>
  <c r="L24" i="6" s="1"/>
  <c r="M20" i="6" s="1"/>
  <c r="M24" i="6" s="1"/>
  <c r="N20" i="6" s="1"/>
  <c r="N24" i="6" s="1"/>
  <c r="O20" i="6" s="1"/>
  <c r="O24" i="6" s="1"/>
  <c r="P20" i="6" s="1"/>
  <c r="P24" i="6" s="1"/>
  <c r="Q20" i="6" s="1"/>
  <c r="Q24" i="6" s="1"/>
  <c r="R20" i="6" s="1"/>
  <c r="R24" i="6" s="1"/>
  <c r="S20" i="6" s="1"/>
  <c r="S24" i="6" s="1"/>
  <c r="T20" i="6" s="1"/>
  <c r="T24" i="6" s="1"/>
  <c r="U20" i="6" s="1"/>
  <c r="U24" i="6" s="1"/>
  <c r="V20" i="6" s="1"/>
  <c r="V24" i="6" s="1"/>
  <c r="W20" i="6" s="1"/>
  <c r="W24" i="6" s="1"/>
  <c r="X20" i="6" s="1"/>
  <c r="X24" i="6" s="1"/>
  <c r="Y20" i="6" s="1"/>
  <c r="Y24" i="6" s="1"/>
  <c r="Z20" i="6" s="1"/>
  <c r="Z24" i="6" s="1"/>
  <c r="AA20" i="6" s="1"/>
  <c r="AA24" i="6" s="1"/>
  <c r="AB20" i="6" s="1"/>
  <c r="AB24" i="6" s="1"/>
  <c r="N24" i="47"/>
  <c r="K29" i="70"/>
  <c r="J33" i="70"/>
  <c r="J32" i="70"/>
  <c r="J31" i="70"/>
  <c r="AB24" i="47"/>
  <c r="X24" i="47"/>
  <c r="AD32" i="47"/>
  <c r="R32" i="47"/>
  <c r="N32" i="47"/>
  <c r="H32" i="47"/>
  <c r="F34" i="70"/>
  <c r="P32" i="47"/>
  <c r="AE24" i="47"/>
  <c r="F38" i="5"/>
  <c r="I41" i="5"/>
  <c r="H43" i="5"/>
  <c r="I30" i="5"/>
  <c r="E16" i="5"/>
  <c r="E20" i="5" s="1"/>
  <c r="I21" i="56"/>
  <c r="I11" i="5"/>
  <c r="I16" i="5" s="1"/>
  <c r="I20" i="5" s="1"/>
  <c r="G16" i="5"/>
  <c r="G20" i="5" s="1"/>
  <c r="G43" i="5" s="1"/>
  <c r="F32" i="5"/>
  <c r="F39" i="5"/>
  <c r="F34" i="5"/>
  <c r="F36" i="5"/>
  <c r="F33" i="5"/>
  <c r="E91" i="6"/>
  <c r="F24" i="47"/>
  <c r="G33" i="47" s="1"/>
  <c r="F32" i="47"/>
  <c r="U32" i="47"/>
  <c r="W32" i="47"/>
  <c r="S32" i="47"/>
  <c r="G32" i="47"/>
  <c r="U24" i="47"/>
  <c r="I32" i="47"/>
  <c r="D73" i="6"/>
  <c r="D92" i="6" s="1"/>
  <c r="E13" i="6"/>
  <c r="Z32" i="47"/>
  <c r="Z24" i="47"/>
  <c r="L32" i="47"/>
  <c r="AY24" i="47"/>
  <c r="T32" i="47"/>
  <c r="BC24" i="47"/>
  <c r="R24" i="47"/>
  <c r="J24" i="47"/>
  <c r="Q32" i="47"/>
  <c r="AW32" i="47"/>
  <c r="AO24" i="47"/>
  <c r="Y24" i="47"/>
  <c r="AI24" i="47"/>
  <c r="AK32" i="47"/>
  <c r="P24" i="47"/>
  <c r="H24" i="47"/>
  <c r="AZ24" i="47"/>
  <c r="AC24" i="47"/>
  <c r="V32" i="47"/>
  <c r="BB32" i="47"/>
  <c r="AU24" i="47"/>
  <c r="W24" i="47"/>
  <c r="AQ32" i="47"/>
  <c r="AI32" i="47"/>
  <c r="AT24" i="47"/>
  <c r="AL24" i="47"/>
  <c r="AD24" i="47"/>
  <c r="BH32" i="47"/>
  <c r="M32" i="47"/>
  <c r="BG32" i="47"/>
  <c r="BG24" i="47"/>
  <c r="AR24" i="47"/>
  <c r="AK24" i="47"/>
  <c r="BC32" i="47"/>
  <c r="AV24" i="47"/>
  <c r="S24" i="47"/>
  <c r="AW24" i="47"/>
  <c r="AP32" i="47"/>
  <c r="AB32" i="47"/>
  <c r="AM32" i="47"/>
  <c r="T24" i="47"/>
  <c r="BD32" i="47"/>
  <c r="AA24" i="47"/>
  <c r="M24" i="47"/>
  <c r="AZ32" i="47"/>
  <c r="AS32" i="47"/>
  <c r="X32" i="47"/>
  <c r="Q24" i="47"/>
  <c r="AX32" i="47"/>
  <c r="K32" i="47"/>
  <c r="K24" i="47"/>
  <c r="AG24" i="47"/>
  <c r="AG32" i="47"/>
  <c r="BH24" i="47"/>
  <c r="I24" i="47"/>
  <c r="BB24" i="47"/>
  <c r="AJ32" i="47"/>
  <c r="AC32" i="47"/>
  <c r="O24" i="47"/>
  <c r="BF32" i="47"/>
  <c r="BA32" i="47"/>
  <c r="AF24" i="47"/>
  <c r="E23" i="47"/>
  <c r="BE32" i="47"/>
  <c r="AX24" i="47"/>
  <c r="BD24" i="47"/>
  <c r="E16" i="47"/>
  <c r="AO32" i="47"/>
  <c r="AA32" i="47"/>
  <c r="AU32" i="47"/>
  <c r="J32" i="47"/>
  <c r="BE24" i="47"/>
  <c r="V24" i="47"/>
  <c r="G24" i="47"/>
  <c r="H33" i="47" s="1"/>
  <c r="O32" i="47"/>
  <c r="AJ24" i="47"/>
  <c r="G8" i="47"/>
  <c r="AT32" i="47"/>
  <c r="Y32" i="47"/>
  <c r="H88" i="6" l="1"/>
  <c r="H90" i="6" s="1"/>
  <c r="L29" i="70"/>
  <c r="K33" i="70"/>
  <c r="K32" i="70"/>
  <c r="K31" i="70"/>
  <c r="K34" i="70"/>
  <c r="I42" i="5"/>
  <c r="I43" i="5" s="1"/>
  <c r="F91" i="6"/>
  <c r="E34" i="70"/>
  <c r="E11" i="70"/>
  <c r="E15" i="6"/>
  <c r="E18" i="6" s="1"/>
  <c r="I33" i="47"/>
  <c r="J33" i="47" s="1"/>
  <c r="E24" i="47"/>
  <c r="H8" i="47"/>
  <c r="D21" i="56" l="1"/>
  <c r="I88" i="6"/>
  <c r="I90" i="6" s="1"/>
  <c r="H91" i="6"/>
  <c r="M29" i="70"/>
  <c r="L33" i="70"/>
  <c r="L31" i="70"/>
  <c r="L32" i="70"/>
  <c r="L34" i="70"/>
  <c r="K33" i="47"/>
  <c r="H35" i="70"/>
  <c r="F11" i="56"/>
  <c r="F21" i="56" s="1"/>
  <c r="E20" i="70"/>
  <c r="F13" i="6"/>
  <c r="E73" i="6"/>
  <c r="E92" i="6" s="1"/>
  <c r="I8" i="47"/>
  <c r="D11" i="5" l="1"/>
  <c r="D16" i="5" s="1"/>
  <c r="D20" i="5" s="1"/>
  <c r="I91" i="6"/>
  <c r="J88" i="6"/>
  <c r="J90" i="6" s="1"/>
  <c r="N29" i="70"/>
  <c r="M31" i="70"/>
  <c r="M32" i="70"/>
  <c r="M33" i="70"/>
  <c r="M34" i="70"/>
  <c r="L33" i="47"/>
  <c r="I35" i="70"/>
  <c r="F11" i="70"/>
  <c r="F20" i="70" s="1"/>
  <c r="F15" i="6"/>
  <c r="F18" i="6" s="1"/>
  <c r="F73" i="6" s="1"/>
  <c r="E35" i="70"/>
  <c r="J8" i="47"/>
  <c r="F11" i="5" l="1"/>
  <c r="F16" i="5" s="1"/>
  <c r="F20" i="5" s="1"/>
  <c r="AD31" i="70"/>
  <c r="E27" i="47"/>
  <c r="J91" i="6"/>
  <c r="K88" i="6"/>
  <c r="K90" i="6" s="1"/>
  <c r="O29" i="70"/>
  <c r="N32" i="70"/>
  <c r="N31" i="70"/>
  <c r="N33" i="70"/>
  <c r="N34" i="70"/>
  <c r="M33" i="47"/>
  <c r="J35" i="70"/>
  <c r="F92" i="6"/>
  <c r="G13" i="6"/>
  <c r="K8" i="47"/>
  <c r="AD27" i="70" l="1"/>
  <c r="K91" i="6"/>
  <c r="L88" i="6"/>
  <c r="L90" i="6" s="1"/>
  <c r="P29" i="70"/>
  <c r="O33" i="70"/>
  <c r="O32" i="70"/>
  <c r="O31" i="70"/>
  <c r="O34" i="70"/>
  <c r="N33" i="47"/>
  <c r="K35" i="70"/>
  <c r="G11" i="70"/>
  <c r="G20" i="70" s="1"/>
  <c r="G15" i="6"/>
  <c r="G18" i="6" s="1"/>
  <c r="L8" i="47"/>
  <c r="E26" i="47" l="1"/>
  <c r="G73" i="6"/>
  <c r="G92" i="6" s="1"/>
  <c r="H13" i="6"/>
  <c r="L91" i="6"/>
  <c r="M88" i="6"/>
  <c r="M90" i="6" s="1"/>
  <c r="Q29" i="70"/>
  <c r="P33" i="70"/>
  <c r="P32" i="70"/>
  <c r="P31" i="70"/>
  <c r="P34" i="70"/>
  <c r="O33" i="47"/>
  <c r="L35" i="70"/>
  <c r="M8" i="47"/>
  <c r="N88" i="6" l="1"/>
  <c r="N90" i="6" s="1"/>
  <c r="M91" i="6"/>
  <c r="H11" i="70"/>
  <c r="H20" i="70" s="1"/>
  <c r="H15" i="6"/>
  <c r="H18" i="6" s="1"/>
  <c r="R29" i="70"/>
  <c r="Q33" i="70"/>
  <c r="Q32" i="70"/>
  <c r="Q31" i="70"/>
  <c r="Q34" i="70"/>
  <c r="P33" i="47"/>
  <c r="M35" i="70"/>
  <c r="N8" i="47"/>
  <c r="AD32" i="70" l="1"/>
  <c r="H73" i="6"/>
  <c r="H92" i="6" s="1"/>
  <c r="I13" i="6"/>
  <c r="O88" i="6"/>
  <c r="O90" i="6" s="1"/>
  <c r="N91" i="6"/>
  <c r="S29" i="70"/>
  <c r="R33" i="70"/>
  <c r="R32" i="70"/>
  <c r="R31" i="70"/>
  <c r="R34" i="70"/>
  <c r="Q33" i="47"/>
  <c r="N35" i="70"/>
  <c r="O8" i="47"/>
  <c r="I15" i="6" l="1"/>
  <c r="I18" i="6" s="1"/>
  <c r="I11" i="70"/>
  <c r="I20" i="70" s="1"/>
  <c r="O91" i="6"/>
  <c r="P88" i="6"/>
  <c r="P90" i="6" s="1"/>
  <c r="T29" i="70"/>
  <c r="S33" i="70"/>
  <c r="S32" i="70"/>
  <c r="S31" i="70"/>
  <c r="S34" i="70"/>
  <c r="R33" i="47"/>
  <c r="O35" i="70"/>
  <c r="P8" i="47"/>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J13" i="6" l="1"/>
  <c r="I73" i="6"/>
  <c r="I92" i="6" s="1"/>
  <c r="Q88" i="6"/>
  <c r="Q90" i="6" s="1"/>
  <c r="P91" i="6"/>
  <c r="U29" i="70"/>
  <c r="T33" i="70"/>
  <c r="T32" i="70"/>
  <c r="T31" i="70"/>
  <c r="T34" i="70"/>
  <c r="S33" i="47"/>
  <c r="P35" i="70"/>
  <c r="Q91" i="6" l="1"/>
  <c r="R88" i="6"/>
  <c r="R90" i="6" s="1"/>
  <c r="J15" i="6"/>
  <c r="J18" i="6" s="1"/>
  <c r="J11" i="70"/>
  <c r="J20" i="70" s="1"/>
  <c r="V29" i="70"/>
  <c r="U31" i="70"/>
  <c r="U32" i="70"/>
  <c r="U33" i="70"/>
  <c r="U34" i="70"/>
  <c r="T33" i="47"/>
  <c r="Q35" i="70"/>
  <c r="E22" i="70"/>
  <c r="F22" i="70"/>
  <c r="K13" i="6" l="1"/>
  <c r="J73" i="6"/>
  <c r="J92" i="6" s="1"/>
  <c r="S88" i="6"/>
  <c r="S90" i="6" s="1"/>
  <c r="R91" i="6"/>
  <c r="W29" i="70"/>
  <c r="V32" i="70"/>
  <c r="V33" i="70"/>
  <c r="V31" i="70"/>
  <c r="V34" i="70"/>
  <c r="G22" i="70"/>
  <c r="U33" i="47"/>
  <c r="R35" i="70"/>
  <c r="S91" i="6" l="1"/>
  <c r="T88" i="6"/>
  <c r="T90" i="6" s="1"/>
  <c r="K15" i="6"/>
  <c r="K18" i="6" s="1"/>
  <c r="K11" i="70"/>
  <c r="K20" i="70" s="1"/>
  <c r="X29" i="70"/>
  <c r="W33" i="70"/>
  <c r="W32" i="70"/>
  <c r="W31" i="70"/>
  <c r="W34" i="70"/>
  <c r="V33" i="47"/>
  <c r="S35" i="70"/>
  <c r="F23" i="70"/>
  <c r="F24" i="70" s="1"/>
  <c r="E23" i="70"/>
  <c r="E24" i="70" s="1"/>
  <c r="L13" i="6" l="1"/>
  <c r="K73" i="6"/>
  <c r="K92" i="6" s="1"/>
  <c r="T91" i="6"/>
  <c r="U88" i="6"/>
  <c r="U90" i="6" s="1"/>
  <c r="G23" i="70"/>
  <c r="G24" i="70" s="1"/>
  <c r="Y29" i="70"/>
  <c r="X33" i="70"/>
  <c r="X32" i="70"/>
  <c r="X31" i="70"/>
  <c r="X34" i="70"/>
  <c r="T35" i="70"/>
  <c r="W33" i="47"/>
  <c r="H22" i="70"/>
  <c r="V88" i="6" l="1"/>
  <c r="V90" i="6" s="1"/>
  <c r="U91" i="6"/>
  <c r="L15" i="6"/>
  <c r="L18" i="6" s="1"/>
  <c r="L11" i="70"/>
  <c r="L20" i="70" s="1"/>
  <c r="Z29" i="70"/>
  <c r="Y33" i="70"/>
  <c r="Y32" i="70"/>
  <c r="Y31" i="70"/>
  <c r="Y34" i="70"/>
  <c r="U35" i="70"/>
  <c r="X33" i="47"/>
  <c r="H23" i="70"/>
  <c r="H24" i="70" s="1"/>
  <c r="M13" i="6" l="1"/>
  <c r="L73" i="6"/>
  <c r="L92" i="6" s="1"/>
  <c r="V91" i="6"/>
  <c r="W88" i="6"/>
  <c r="W90" i="6" s="1"/>
  <c r="AA29" i="70"/>
  <c r="Z33" i="70"/>
  <c r="Z32" i="70"/>
  <c r="Z31" i="70"/>
  <c r="Z34" i="70"/>
  <c r="F35" i="70"/>
  <c r="V35" i="70"/>
  <c r="Y33" i="47"/>
  <c r="I22" i="70"/>
  <c r="X88" i="6" l="1"/>
  <c r="X90" i="6" s="1"/>
  <c r="W91" i="6"/>
  <c r="M15" i="6"/>
  <c r="M18" i="6" s="1"/>
  <c r="M11" i="70"/>
  <c r="M20" i="70" s="1"/>
  <c r="AB29" i="70"/>
  <c r="AA33" i="70"/>
  <c r="AA32" i="70"/>
  <c r="AA31" i="70"/>
  <c r="AA34" i="70"/>
  <c r="G35" i="70"/>
  <c r="W35" i="70"/>
  <c r="Z33" i="47"/>
  <c r="I23" i="70"/>
  <c r="I24" i="70" s="1"/>
  <c r="N13" i="6" l="1"/>
  <c r="M73" i="6"/>
  <c r="M92" i="6" s="1"/>
  <c r="X91" i="6"/>
  <c r="Y88" i="6"/>
  <c r="Y90" i="6" s="1"/>
  <c r="AB31" i="70"/>
  <c r="AB33" i="70"/>
  <c r="AB32" i="70"/>
  <c r="AB34" i="70"/>
  <c r="AA33" i="47"/>
  <c r="X35" i="70"/>
  <c r="J22" i="70"/>
  <c r="Z88" i="6" l="1"/>
  <c r="Z90" i="6" s="1"/>
  <c r="Y91" i="6"/>
  <c r="N15" i="6"/>
  <c r="N18" i="6" s="1"/>
  <c r="N11" i="70"/>
  <c r="N20" i="70" s="1"/>
  <c r="Y35" i="70"/>
  <c r="AB33" i="47"/>
  <c r="J23" i="70"/>
  <c r="J24" i="70" s="1"/>
  <c r="O13" i="6" l="1"/>
  <c r="N73" i="6"/>
  <c r="N92" i="6" s="1"/>
  <c r="AA88" i="6"/>
  <c r="AA90" i="6" s="1"/>
  <c r="Z91" i="6"/>
  <c r="AC33" i="47"/>
  <c r="Z35" i="70"/>
  <c r="K22" i="70"/>
  <c r="AA91" i="6" l="1"/>
  <c r="AB88" i="6"/>
  <c r="AB90" i="6" s="1"/>
  <c r="O15" i="6"/>
  <c r="O18" i="6" s="1"/>
  <c r="O11" i="70"/>
  <c r="O20" i="70" s="1"/>
  <c r="AD33" i="47"/>
  <c r="AA35" i="70"/>
  <c r="P13" i="6" l="1"/>
  <c r="O73" i="6"/>
  <c r="O92" i="6" s="1"/>
  <c r="AB91" i="6"/>
  <c r="AE33" i="47"/>
  <c r="AC35" i="70" s="1"/>
  <c r="AB35" i="70"/>
  <c r="K23" i="70"/>
  <c r="K24" i="70" s="1"/>
  <c r="L22" i="70"/>
  <c r="P15" i="6" l="1"/>
  <c r="P18" i="6" s="1"/>
  <c r="P11" i="70"/>
  <c r="P20" i="70" s="1"/>
  <c r="L23" i="70"/>
  <c r="L24" i="70" s="1"/>
  <c r="Q13" i="6" l="1"/>
  <c r="P73" i="6"/>
  <c r="P92" i="6" s="1"/>
  <c r="M22" i="70"/>
  <c r="Q15" i="6" l="1"/>
  <c r="Q18" i="6" s="1"/>
  <c r="Q11" i="70"/>
  <c r="Q20" i="70" s="1"/>
  <c r="M23" i="70"/>
  <c r="M24" i="70" s="1"/>
  <c r="R13" i="6" l="1"/>
  <c r="Q73" i="6"/>
  <c r="Q92" i="6" s="1"/>
  <c r="N22" i="70"/>
  <c r="R15" i="6" l="1"/>
  <c r="R18" i="6" s="1"/>
  <c r="R11" i="70"/>
  <c r="R20" i="70" s="1"/>
  <c r="N23" i="70"/>
  <c r="N24" i="70" s="1"/>
  <c r="S13" i="6" l="1"/>
  <c r="R73" i="6"/>
  <c r="R92" i="6" s="1"/>
  <c r="O22" i="70"/>
  <c r="S15" i="6" l="1"/>
  <c r="S18" i="6" s="1"/>
  <c r="S11" i="70"/>
  <c r="S20" i="70" s="1"/>
  <c r="O23" i="70"/>
  <c r="O24" i="70" s="1"/>
  <c r="T13" i="6" l="1"/>
  <c r="S73" i="6"/>
  <c r="S92" i="6" s="1"/>
  <c r="P22" i="70"/>
  <c r="T15" i="6" l="1"/>
  <c r="T18" i="6" s="1"/>
  <c r="T11" i="70"/>
  <c r="T20" i="70" s="1"/>
  <c r="P23" i="70"/>
  <c r="P24" i="70" s="1"/>
  <c r="U13" i="6" l="1"/>
  <c r="T73" i="6"/>
  <c r="T92" i="6" s="1"/>
  <c r="Q22" i="70"/>
  <c r="U15" i="6" l="1"/>
  <c r="U18" i="6" s="1"/>
  <c r="U11" i="70"/>
  <c r="U20" i="70" s="1"/>
  <c r="Q23" i="70"/>
  <c r="Q24" i="70" s="1"/>
  <c r="V13" i="6" l="1"/>
  <c r="U73" i="6"/>
  <c r="U92" i="6" s="1"/>
  <c r="R22" i="70"/>
  <c r="V15" i="6" l="1"/>
  <c r="V18" i="6" s="1"/>
  <c r="V11" i="70"/>
  <c r="V20" i="70" s="1"/>
  <c r="R23" i="70"/>
  <c r="R24" i="70" s="1"/>
  <c r="W13" i="6" l="1"/>
  <c r="V73" i="6"/>
  <c r="V92" i="6" s="1"/>
  <c r="S22" i="70"/>
  <c r="W15" i="6" l="1"/>
  <c r="W18" i="6" s="1"/>
  <c r="W11" i="70"/>
  <c r="W20" i="70" s="1"/>
  <c r="S23" i="70"/>
  <c r="S24" i="70" s="1"/>
  <c r="X13" i="6" l="1"/>
  <c r="W73" i="6"/>
  <c r="W92" i="6" s="1"/>
  <c r="T22" i="70"/>
  <c r="X15" i="6" l="1"/>
  <c r="X18" i="6" s="1"/>
  <c r="X11" i="70"/>
  <c r="X20" i="70" s="1"/>
  <c r="T23" i="70"/>
  <c r="T24" i="70" s="1"/>
  <c r="Y13" i="6" l="1"/>
  <c r="X73" i="6"/>
  <c r="X92" i="6" s="1"/>
  <c r="U22" i="70"/>
  <c r="Y15" i="6" l="1"/>
  <c r="Y18" i="6" s="1"/>
  <c r="Y11" i="70"/>
  <c r="Y20" i="70" s="1"/>
  <c r="U23" i="70"/>
  <c r="U24" i="70" s="1"/>
  <c r="Z13" i="6" l="1"/>
  <c r="Y73" i="6"/>
  <c r="Y92" i="6" s="1"/>
  <c r="V22" i="70"/>
  <c r="Z15" i="6" l="1"/>
  <c r="Z18" i="6" s="1"/>
  <c r="Z11" i="70"/>
  <c r="Z20" i="70" s="1"/>
  <c r="V23" i="70"/>
  <c r="V24" i="70" s="1"/>
  <c r="AA13" i="6" l="1"/>
  <c r="Z73" i="6"/>
  <c r="Z92" i="6" s="1"/>
  <c r="W22" i="70"/>
  <c r="AA15" i="6" l="1"/>
  <c r="AA18" i="6" s="1"/>
  <c r="AA11" i="70"/>
  <c r="AA20" i="70" s="1"/>
  <c r="W23" i="70"/>
  <c r="W24" i="70" s="1"/>
  <c r="AB23" i="70"/>
  <c r="AB22" i="70"/>
  <c r="AB13" i="6" l="1"/>
  <c r="AA73" i="6"/>
  <c r="AA92" i="6" s="1"/>
  <c r="X22" i="70"/>
  <c r="AB15" i="6" l="1"/>
  <c r="AB18" i="6" s="1"/>
  <c r="AB11" i="70"/>
  <c r="AB20" i="70" s="1"/>
  <c r="AB24" i="70" s="1"/>
  <c r="X23" i="70"/>
  <c r="X24" i="70" s="1"/>
  <c r="AB73" i="6" l="1"/>
  <c r="AB92" i="6" s="1"/>
  <c r="Y22" i="70"/>
  <c r="Y23" i="70" l="1"/>
  <c r="Y24" i="70" s="1"/>
  <c r="AA22" i="70"/>
  <c r="Z22" i="70" l="1"/>
  <c r="Z23" i="70" l="1"/>
  <c r="Z24" i="70" s="1"/>
  <c r="AA23" i="70" l="1"/>
  <c r="AA24" i="70" s="1"/>
  <c r="E41" i="59" l="1"/>
  <c r="E29" i="47" l="1"/>
  <c r="AE31" i="47"/>
  <c r="AC34" i="70" s="1"/>
  <c r="AF33" i="47" l="1"/>
  <c r="AE32" i="47"/>
  <c r="AD35" i="70" l="1"/>
  <c r="AC23" i="70" l="1"/>
  <c r="AC21" i="70" l="1"/>
  <c r="AC54" i="6" l="1"/>
  <c r="AD50" i="6" s="1"/>
  <c r="AC48" i="6"/>
  <c r="AD44" i="6" s="1"/>
  <c r="AC36" i="6"/>
  <c r="AD32" i="6" s="1"/>
  <c r="AC30" i="6"/>
  <c r="AD26" i="6" s="1"/>
  <c r="AC66" i="6"/>
  <c r="AD62" i="6" s="1"/>
  <c r="AC24" i="6"/>
  <c r="AD20" i="6" s="1"/>
  <c r="AC72" i="6" l="1"/>
  <c r="AD68" i="6" s="1"/>
  <c r="AC86" i="6" l="1"/>
  <c r="AD82" i="6" s="1"/>
  <c r="AC15" i="6" l="1"/>
  <c r="AC18" i="6" s="1"/>
  <c r="AD13" i="6" l="1"/>
  <c r="AD15" i="6" s="1"/>
  <c r="AC73" i="6"/>
  <c r="AC14" i="70" l="1"/>
  <c r="AC20" i="70" l="1"/>
  <c r="AC80" i="6" l="1"/>
  <c r="AC12" i="70"/>
  <c r="AC91" i="6" l="1"/>
  <c r="AC92" i="6" s="1"/>
  <c r="AD76" i="6"/>
  <c r="AD11" i="70" l="1"/>
  <c r="AC22" i="70" l="1"/>
  <c r="AC24" i="70"/>
  <c r="I19" i="16" l="1"/>
  <c r="H19" i="16"/>
  <c r="AD9" i="70" l="1"/>
  <c r="AF31" i="47" l="1"/>
  <c r="E28" i="47"/>
  <c r="AD34" i="70" l="1"/>
  <c r="AF32" i="47"/>
  <c r="E32" i="47" s="1"/>
  <c r="E31" i="47"/>
  <c r="AG33" i="47"/>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AD33" i="70"/>
  <c r="E30" i="47"/>
  <c r="AD14" i="70" l="1"/>
  <c r="AD20" i="70" s="1"/>
  <c r="AD18" i="6" l="1"/>
  <c r="AD21" i="70" l="1"/>
  <c r="G12" i="16" l="1"/>
  <c r="D30" i="5"/>
  <c r="F24" i="5"/>
  <c r="F30" i="5" s="1"/>
  <c r="I12" i="16" l="1"/>
  <c r="H12" i="16"/>
  <c r="D35" i="5" l="1"/>
  <c r="E35" i="5"/>
  <c r="AD23" i="70"/>
  <c r="AD48" i="6" l="1"/>
  <c r="AD60" i="6"/>
  <c r="AD54" i="6"/>
  <c r="AD66" i="6"/>
  <c r="AD36" i="6"/>
  <c r="AD72" i="6"/>
  <c r="AD42" i="6"/>
  <c r="AD30" i="6"/>
  <c r="F35" i="5"/>
  <c r="F10" i="59" l="1"/>
  <c r="G10" i="59" s="1"/>
  <c r="AD86" i="6"/>
  <c r="AD24" i="6"/>
  <c r="AD73" i="6" s="1"/>
  <c r="F9" i="59" l="1"/>
  <c r="G9" i="59" s="1"/>
  <c r="G41" i="59" s="1"/>
  <c r="AD80" i="6"/>
  <c r="AD91" i="6" s="1"/>
  <c r="AD92" i="6" s="1"/>
  <c r="AD12" i="70"/>
  <c r="AD22" i="70" l="1"/>
  <c r="AD24" i="70" s="1"/>
  <c r="H14" i="16"/>
  <c r="D37" i="5" l="1"/>
  <c r="F37" i="5" l="1"/>
  <c r="E17" i="16" l="1"/>
  <c r="E36" i="16" s="1"/>
  <c r="I18" i="16" l="1"/>
  <c r="I17" i="16" s="1"/>
  <c r="H18" i="16"/>
  <c r="H17" i="16" l="1"/>
  <c r="D40" i="5"/>
  <c r="H36" i="16"/>
  <c r="E40" i="5"/>
  <c r="E41" i="5" s="1"/>
  <c r="E42" i="5" s="1"/>
  <c r="E43" i="5" s="1"/>
  <c r="I36" i="16"/>
  <c r="F40" i="5" l="1"/>
  <c r="D41" i="5"/>
  <c r="D42" i="5" s="1"/>
  <c r="D43" i="5" l="1"/>
  <c r="F41" i="5"/>
  <c r="F42" i="5" s="1"/>
  <c r="F4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Tong, Albert</author>
  </authors>
  <commentList>
    <comment ref="D7" authorId="0" shapeId="0" xr:uid="{EAD50C57-37F8-4AEF-96EA-E2078568B17B}">
      <text>
        <r>
          <rPr>
            <b/>
            <sz val="9"/>
            <color indexed="81"/>
            <rFont val="Tahoma"/>
            <family val="2"/>
          </rPr>
          <t>ERA:</t>
        </r>
        <r>
          <rPr>
            <sz val="9"/>
            <color indexed="81"/>
            <rFont val="Tahoma"/>
            <family val="2"/>
          </rPr>
          <t xml:space="preserve">
RAB at end of first year end since RAB established</t>
        </r>
      </text>
    </comment>
    <comment ref="E7" authorId="0" shapeId="0" xr:uid="{82B7E735-4F5B-4441-9EF5-B6FA2663E472}">
      <text>
        <r>
          <rPr>
            <b/>
            <sz val="9"/>
            <color indexed="81"/>
            <rFont val="Tahoma"/>
            <family val="2"/>
          </rPr>
          <t>ERA:</t>
        </r>
        <r>
          <rPr>
            <sz val="9"/>
            <color indexed="81"/>
            <rFont val="Tahoma"/>
            <family val="2"/>
          </rPr>
          <t xml:space="preserve">
RAB values at reference date plus 1 year</t>
        </r>
      </text>
    </comment>
    <comment ref="F7" authorId="0" shapeId="0" xr:uid="{CB45379E-A688-40C6-ACA7-DF037F0F7D90}">
      <text>
        <r>
          <rPr>
            <b/>
            <sz val="9"/>
            <color indexed="81"/>
            <rFont val="Tahoma"/>
            <family val="2"/>
          </rPr>
          <t>ERA:</t>
        </r>
        <r>
          <rPr>
            <sz val="9"/>
            <color indexed="81"/>
            <rFont val="Tahoma"/>
            <family val="2"/>
          </rPr>
          <t xml:space="preserve">
RAB year 2</t>
        </r>
      </text>
    </comment>
    <comment ref="G7" authorId="0" shapeId="0" xr:uid="{4FF2B137-BCD3-43CA-B335-25BB12A72BB8}">
      <text>
        <r>
          <rPr>
            <b/>
            <sz val="9"/>
            <color indexed="81"/>
            <rFont val="Tahoma"/>
            <family val="2"/>
          </rPr>
          <t>ERA:</t>
        </r>
        <r>
          <rPr>
            <sz val="9"/>
            <color indexed="81"/>
            <rFont val="Tahoma"/>
            <family val="2"/>
          </rPr>
          <t xml:space="preserve">
RAB year 3</t>
        </r>
      </text>
    </comment>
    <comment ref="AD7" authorId="0" shapeId="0" xr:uid="{62CAC2AB-524D-4A49-AD49-49FB871F94C4}">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19" authorId="0" shapeId="0" xr:uid="{CD791E22-277F-42E6-BDC8-30C100AC4F2B}">
      <text>
        <r>
          <rPr>
            <b/>
            <sz val="9"/>
            <color indexed="81"/>
            <rFont val="Tahoma"/>
            <family val="2"/>
          </rPr>
          <t xml:space="preserve">ERA:
</t>
        </r>
        <r>
          <rPr>
            <sz val="9"/>
            <color indexed="81"/>
            <rFont val="Tahoma"/>
            <family val="2"/>
          </rPr>
          <t xml:space="preserve">This is an estimated indicative Building Block Revenue if this pipeline has been under full regulation with a previously established asset base and that the ERA has validated all inputs as accurate and conforming.
</t>
        </r>
      </text>
    </comment>
    <comment ref="B20" authorId="0" shapeId="0" xr:uid="{B2B61A6E-AF5C-4A3E-BC3C-8D159E709AAA}">
      <text>
        <r>
          <rPr>
            <b/>
            <sz val="9"/>
            <color indexed="81"/>
            <rFont val="Tahoma"/>
            <family val="2"/>
          </rPr>
          <t>ERA:</t>
        </r>
        <r>
          <rPr>
            <sz val="9"/>
            <color indexed="81"/>
            <rFont val="Tahoma"/>
            <family val="2"/>
          </rPr>
          <t xml:space="preserve">
This is an estimated indicative Return on Capital if this pipeline has been under full regulation with a previously established asset base and that the ERA has validated all inputs as accurate and conforming.</t>
        </r>
      </text>
    </comment>
    <comment ref="B24" authorId="0" shapeId="0" xr:uid="{8B8B0160-64BC-4F66-814B-0975AFE4CA6B}">
      <text>
        <r>
          <rPr>
            <b/>
            <sz val="9"/>
            <color indexed="81"/>
            <rFont val="Tahoma"/>
            <family val="2"/>
          </rPr>
          <t xml:space="preserve">ERA:
</t>
        </r>
        <r>
          <rPr>
            <sz val="9"/>
            <color indexed="81"/>
            <rFont val="Tahoma"/>
            <family val="2"/>
          </rPr>
          <t>This is an estimated indicative revenue if this pipeline has been under full regulation with a previously established asset base and that the ERA has  validated all inputs as accurate and conforming</t>
        </r>
        <r>
          <rPr>
            <b/>
            <sz val="9"/>
            <color indexed="81"/>
            <rFont val="Tahoma"/>
            <family val="2"/>
          </rPr>
          <t>.</t>
        </r>
        <r>
          <rPr>
            <sz val="9"/>
            <color indexed="81"/>
            <rFont val="Tahoma"/>
            <family val="2"/>
          </rPr>
          <t xml:space="preserve">
</t>
        </r>
      </text>
    </comment>
    <comment ref="D29" authorId="0" shapeId="0" xr:uid="{412AE5CD-2A79-47DC-BA8C-16A0DC0ECD3A}">
      <text>
        <r>
          <rPr>
            <b/>
            <sz val="9"/>
            <color indexed="81"/>
            <rFont val="Tahoma"/>
            <family val="2"/>
          </rPr>
          <t>ERA:</t>
        </r>
        <r>
          <rPr>
            <sz val="9"/>
            <color indexed="81"/>
            <rFont val="Tahoma"/>
            <family val="2"/>
          </rPr>
          <t xml:space="preserve">
RAB at end of first year end since RAB established</t>
        </r>
      </text>
    </comment>
    <comment ref="E29" authorId="0" shapeId="0" xr:uid="{0AF5FD1F-B326-4C9E-82E2-DC627668F8C1}">
      <text>
        <r>
          <rPr>
            <b/>
            <sz val="9"/>
            <color indexed="81"/>
            <rFont val="Tahoma"/>
            <family val="2"/>
          </rPr>
          <t>ERA:</t>
        </r>
        <r>
          <rPr>
            <sz val="9"/>
            <color indexed="81"/>
            <rFont val="Tahoma"/>
            <family val="2"/>
          </rPr>
          <t xml:space="preserve">
RAB values at reference date plus 1 year</t>
        </r>
      </text>
    </comment>
    <comment ref="F29" authorId="0" shapeId="0" xr:uid="{392B4017-0D0D-420F-AD1E-FE935BD4DC42}">
      <text>
        <r>
          <rPr>
            <b/>
            <sz val="9"/>
            <color indexed="81"/>
            <rFont val="Tahoma"/>
            <family val="2"/>
          </rPr>
          <t>ERA:</t>
        </r>
        <r>
          <rPr>
            <sz val="9"/>
            <color indexed="81"/>
            <rFont val="Tahoma"/>
            <family val="2"/>
          </rPr>
          <t xml:space="preserve">
RAB year 2</t>
        </r>
      </text>
    </comment>
    <comment ref="G29" authorId="0" shapeId="0" xr:uid="{CB06905E-6A40-44CF-AAF0-C623AE4D7DF2}">
      <text>
        <r>
          <rPr>
            <b/>
            <sz val="9"/>
            <color indexed="81"/>
            <rFont val="Tahoma"/>
            <family val="2"/>
          </rPr>
          <t>ERA:</t>
        </r>
        <r>
          <rPr>
            <sz val="9"/>
            <color indexed="81"/>
            <rFont val="Tahoma"/>
            <family val="2"/>
          </rPr>
          <t xml:space="preserve">
RAB year 3</t>
        </r>
      </text>
    </comment>
    <comment ref="AD29" authorId="0" shapeId="0" xr:uid="{D57FE6FF-AEF2-4A39-A032-FC37C72507ED}">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B30" authorId="0" shapeId="0" xr:uid="{6B9B228A-58A0-4440-870A-4FB9FEB72597}">
      <text>
        <r>
          <rPr>
            <b/>
            <sz val="9"/>
            <color indexed="81"/>
            <rFont val="Tahoma"/>
            <family val="2"/>
          </rPr>
          <t xml:space="preserve">ERA:
</t>
        </r>
        <r>
          <rPr>
            <sz val="9"/>
            <color indexed="81"/>
            <rFont val="Tahoma"/>
            <family val="2"/>
          </rPr>
          <t xml:space="preserve">As stated in section 5 of the reporting guideline, the reporting of RCM value is only applicable on pipelines without a previous established asset base from a regulator.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Tong, Albert</author>
    <author>Michael Dunnett</author>
  </authors>
  <commentList>
    <comment ref="D9" authorId="0" shapeId="0" xr:uid="{00000000-0006-0000-0900-000001000000}">
      <text>
        <r>
          <rPr>
            <b/>
            <sz val="9"/>
            <color indexed="81"/>
            <rFont val="Tahoma"/>
            <family val="2"/>
          </rPr>
          <t>ERA:</t>
        </r>
        <r>
          <rPr>
            <sz val="9"/>
            <color indexed="81"/>
            <rFont val="Tahoma"/>
            <family val="2"/>
          </rPr>
          <t xml:space="preserve">
RAB at end of first year end since RAB established</t>
        </r>
      </text>
    </comment>
    <comment ref="E9" authorId="0" shapeId="0" xr:uid="{00000000-0006-0000-0900-000002000000}">
      <text>
        <r>
          <rPr>
            <b/>
            <sz val="9"/>
            <color indexed="81"/>
            <rFont val="Tahoma"/>
            <family val="2"/>
          </rPr>
          <t>ERA:</t>
        </r>
        <r>
          <rPr>
            <sz val="9"/>
            <color indexed="81"/>
            <rFont val="Tahoma"/>
            <family val="2"/>
          </rPr>
          <t xml:space="preserve">
RAB values at reference date plus 1 year</t>
        </r>
      </text>
    </comment>
    <comment ref="F9" authorId="0" shapeId="0" xr:uid="{00000000-0006-0000-0900-000003000000}">
      <text>
        <r>
          <rPr>
            <b/>
            <sz val="9"/>
            <color indexed="81"/>
            <rFont val="Tahoma"/>
            <family val="2"/>
          </rPr>
          <t>ERA:</t>
        </r>
        <r>
          <rPr>
            <sz val="9"/>
            <color indexed="81"/>
            <rFont val="Tahoma"/>
            <family val="2"/>
          </rPr>
          <t xml:space="preserve">
RAB year 2</t>
        </r>
      </text>
    </comment>
    <comment ref="G9" authorId="0" shapeId="0" xr:uid="{00000000-0006-0000-0900-000004000000}">
      <text>
        <r>
          <rPr>
            <b/>
            <sz val="9"/>
            <color indexed="81"/>
            <rFont val="Tahoma"/>
            <family val="2"/>
          </rPr>
          <t>ERA:</t>
        </r>
        <r>
          <rPr>
            <sz val="9"/>
            <color indexed="81"/>
            <rFont val="Tahoma"/>
            <family val="2"/>
          </rPr>
          <t xml:space="preserve">
RAB year 3</t>
        </r>
      </text>
    </comment>
    <comment ref="AD9" authorId="0" shapeId="0" xr:uid="{00000000-0006-0000-0900-000005000000}">
      <text>
        <r>
          <rPr>
            <b/>
            <sz val="9"/>
            <color indexed="81"/>
            <rFont val="Tahoma"/>
            <family val="2"/>
          </rPr>
          <t>ERA:</t>
        </r>
        <r>
          <rPr>
            <sz val="9"/>
            <color indexed="81"/>
            <rFont val="Tahoma"/>
            <family val="2"/>
          </rPr>
          <t xml:space="preserve">
Service providers are to insert columns between columns G and H as required so that every year between the dates the RAB was established and the reporting period is reported.
</t>
        </r>
      </text>
    </comment>
    <comment ref="C89" authorId="1" shapeId="0" xr:uid="{00000000-0006-0000-0900-000006000000}">
      <text>
        <r>
          <rPr>
            <sz val="9"/>
            <color indexed="81"/>
            <rFont val="Tahoma"/>
            <family val="2"/>
          </rPr>
          <t>Include only if allowed in the RFM Guideline</t>
        </r>
      </text>
    </comment>
    <comment ref="C93" authorId="0" shapeId="0" xr:uid="{00000000-0006-0000-0900-000007000000}">
      <text>
        <r>
          <rPr>
            <sz val="9"/>
            <color indexed="81"/>
            <rFont val="Tahoma"/>
            <family val="2"/>
          </rPr>
          <t>Enter the CPI % that is used to index the RAB as determined in accordance with the RFM Guideline</t>
        </r>
      </text>
    </comment>
  </commentList>
</comments>
</file>

<file path=xl/sharedStrings.xml><?xml version="1.0" encoding="utf-8"?>
<sst xmlns="http://schemas.openxmlformats.org/spreadsheetml/2006/main" count="1163" uniqueCount="594">
  <si>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</si>
  <si>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</si>
  <si>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</si>
  <si>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</si>
  <si>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</si>
  <si>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</si>
  <si>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</si>
  <si>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</si>
  <si>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</si>
  <si>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</si>
  <si>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</si>
  <si>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</si>
  <si>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</si>
  <si>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</si>
  <si>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</si>
  <si>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</si>
  <si>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</si>
  <si>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</si>
  <si>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</si>
  <si>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</si>
  <si>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</si>
  <si>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</si>
  <si>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</si>
  <si>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</si>
  <si>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</si>
  <si>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</si>
  <si>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</si>
  <si>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</si>
  <si>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</si>
  <si>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</si>
  <si>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</si>
  <si>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</si>
  <si>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</si>
  <si>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</si>
  <si>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</si>
  <si>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</si>
  <si>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</si>
  <si>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</si>
  <si>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</si>
  <si>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</si>
  <si>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</si>
  <si>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</si>
  <si>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</si>
  <si>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</si>
  <si>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</si>
  <si>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</si>
  <si>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</si>
  <si>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</si>
  <si>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</si>
  <si>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</si>
  <si>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</si>
  <si>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</si>
  <si>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</si>
  <si>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</si>
  <si>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</si>
  <si>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</si>
  <si>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</si>
  <si>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</si>
  <si>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</si>
  <si>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</si>
  <si>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</si>
  <si>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</si>
  <si>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</si>
  <si>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</si>
  <si>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</si>
  <si>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</si>
  <si>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</si>
  <si>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</si>
  <si>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</si>
  <si>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</si>
  <si>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</si>
  <si>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</si>
  <si>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</si>
  <si>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</si>
  <si>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</si>
  <si>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</si>
  <si>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</si>
  <si>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</si>
  <si>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</si>
  <si>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</si>
  <si>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</si>
  <si>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</si>
  <si>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</si>
  <si>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</si>
  <si>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</si>
  <si>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</si>
  <si>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</si>
  <si>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</si>
  <si>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</si>
  <si>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</si>
  <si>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</si>
  <si>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</si>
  <si>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</si>
  <si>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</si>
  <si>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</si>
  <si>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</si>
  <si>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</si>
  <si>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</si>
  <si>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</si>
  <si>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</si>
  <si>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</si>
  <si>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</si>
  <si>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</si>
  <si>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</si>
  <si>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</si>
  <si>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</si>
  <si>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</si>
  <si>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</si>
  <si>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</si>
  <si>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</si>
  <si>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</si>
  <si>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</si>
  <si>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</si>
  <si>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</si>
  <si>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</si>
  <si>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</si>
  <si>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</si>
  <si>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</si>
  <si>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</si>
  <si>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</si>
  <si>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</si>
  <si>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</si>
  <si>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</si>
  <si>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</si>
  <si>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</si>
  <si>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</si>
  <si>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</si>
  <si>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</si>
  <si>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</si>
  <si>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</si>
  <si>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</si>
  <si>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</si>
  <si>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</si>
  <si>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</si>
  <si>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</si>
  <si>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</si>
  <si>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</si>
  <si>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Data validation lists</t>
  </si>
  <si>
    <t xml:space="preserve"> Firm forward haul transportation services</t>
  </si>
  <si>
    <t>Interruptible or as available transportation services</t>
  </si>
  <si>
    <t>Shared costs</t>
  </si>
  <si>
    <t>Reporting template</t>
  </si>
  <si>
    <t>Reporting period start date:</t>
  </si>
  <si>
    <t>Reporting period end date:</t>
  </si>
  <si>
    <t>Return on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</si>
  <si>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</si>
  <si>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</si>
  <si>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</si>
  <si>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</si>
  <si>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</si>
  <si>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</si>
  <si>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</si>
  <si>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</si>
  <si>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</si>
  <si>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</si>
  <si>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</si>
  <si>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</si>
  <si>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</si>
  <si>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</si>
  <si>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</si>
  <si>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</si>
  <si>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</si>
  <si>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</si>
  <si>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</si>
  <si>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</si>
  <si>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</si>
  <si>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</si>
  <si>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</si>
  <si>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</si>
  <si>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</si>
  <si>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</si>
  <si>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</si>
  <si>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</si>
  <si>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</si>
  <si>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</si>
  <si>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</si>
  <si>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</si>
  <si>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</si>
  <si>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</si>
  <si>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</si>
  <si>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t>
  </si>
  <si>
    <t>Return of capital</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</si>
  <si>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</si>
  <si>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</si>
  <si>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</si>
  <si>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</si>
  <si>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</si>
  <si>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</si>
  <si>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</si>
  <si>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</si>
  <si>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</si>
  <si>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</si>
  <si>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</si>
  <si>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</si>
  <si>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</si>
  <si>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</si>
  <si>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</si>
  <si>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</si>
  <si>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</si>
  <si>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</si>
  <si>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</si>
  <si>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</si>
  <si>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</si>
  <si>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</si>
  <si>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</si>
  <si>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</si>
  <si>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</si>
  <si>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</si>
  <si>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</si>
  <si>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</si>
  <si>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</si>
  <si>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</si>
  <si>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</si>
  <si>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</si>
  <si>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</si>
  <si>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</si>
  <si>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</si>
  <si>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</si>
  <si>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</si>
  <si>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</si>
  <si>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</si>
  <si>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</si>
  <si>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</si>
  <si>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</si>
  <si>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</si>
  <si>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</si>
  <si>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</si>
  <si>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</si>
  <si>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</si>
  <si>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</si>
  <si>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</si>
  <si>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CPI</t>
  </si>
  <si>
    <t>Government contribution revenue</t>
  </si>
  <si>
    <t>Table 1.1.1 Financial Summary</t>
  </si>
  <si>
    <t>Table 3.2.1: Shared supporting asset allocation</t>
  </si>
  <si>
    <t>Less Asset disposal (at cost)</t>
  </si>
  <si>
    <t>Less Disposal (at cost)</t>
  </si>
  <si>
    <t>Less Depreciation/amortisation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</si>
  <si>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</si>
  <si>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</si>
  <si>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</si>
  <si>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</si>
  <si>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</si>
  <si>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</si>
  <si>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</si>
  <si>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</si>
  <si>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</si>
  <si>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</si>
  <si>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Opening Asset Base ($m, Nominal) - RAB value</t>
  </si>
  <si>
    <t>Return of Capital</t>
  </si>
  <si>
    <t>Estimated Revenue (Based on RAB value)</t>
  </si>
  <si>
    <t>Building Block Revenue ($m, Nominal) - RAB value</t>
  </si>
  <si>
    <t>Recovered Capital ($m, Nominal) - if applicable</t>
  </si>
  <si>
    <t>4. Recovered Capital</t>
  </si>
  <si>
    <t>Output of roll forward per rule 77(2)</t>
  </si>
  <si>
    <t>Services exemption granted from ERA for Weighted Average Price disclosure</t>
  </si>
  <si>
    <t>Table 5.1.1: ERA exemptions</t>
  </si>
  <si>
    <t>ERA amendment#</t>
  </si>
  <si>
    <t>3.1 Pipeline asset useful life</t>
  </si>
  <si>
    <t>Table to capture details of lease asset lives (AASB16)</t>
  </si>
  <si>
    <t>B21:F37</t>
  </si>
  <si>
    <t>Inserted rows</t>
  </si>
  <si>
    <t>Leased pipeline assets</t>
  </si>
  <si>
    <t>Closing leased pipeline assets carrying value</t>
  </si>
  <si>
    <t>Shared leased assets</t>
  </si>
  <si>
    <t>Closing shared leased assets carrying value</t>
  </si>
  <si>
    <t>3. Statement of pipeline assets</t>
  </si>
  <si>
    <t>Formula updated</t>
  </si>
  <si>
    <t>B66:H71</t>
  </si>
  <si>
    <t>New section for Leased pipeline assets (per AASB16)</t>
  </si>
  <si>
    <t>New section for Shared leased assets  (per AASB16)</t>
  </si>
  <si>
    <t>1.1 Financial summary</t>
  </si>
  <si>
    <t>1.1.1 Financial summary</t>
  </si>
  <si>
    <t>D20:H20</t>
  </si>
  <si>
    <t>Address polarity issue coming from the source data by adding a negative sign to the formula and update to include additional depreciation items from amendment #1 and AASB-16</t>
  </si>
  <si>
    <t>3.2 Shared supporting assets</t>
  </si>
  <si>
    <t>B30:G34</t>
  </si>
  <si>
    <t>Row inserted</t>
  </si>
  <si>
    <t>5 rows inserted to allow for additional assets per AASB16</t>
  </si>
  <si>
    <t>4.1 Pipelines capex</t>
  </si>
  <si>
    <t>Leased Assets</t>
  </si>
  <si>
    <t>Leased Asset Interest/Financing Charge</t>
  </si>
  <si>
    <t>4 Recovered capital</t>
  </si>
  <si>
    <t>New formulae</t>
  </si>
  <si>
    <t>Insert missing formulae totalling the Shared Supporting Asset items across periods</t>
  </si>
  <si>
    <t>Format</t>
  </si>
  <si>
    <t>Use of actual year instead of "RAB year 1", "RAB year 2", "RAB year 3", etc.</t>
  </si>
  <si>
    <t xml:space="preserve">2.2 Revenue contributions </t>
  </si>
  <si>
    <t>E9:E14, E21:E26</t>
  </si>
  <si>
    <t>Formulae added to columns C and D</t>
  </si>
  <si>
    <t>C9:E15 and C21:E27</t>
  </si>
  <si>
    <t>D12:H89</t>
  </si>
  <si>
    <t>D90:H90</t>
  </si>
  <si>
    <t>Rows 14, 21 and 28</t>
  </si>
  <si>
    <t>Rows inserted to separately capture the impacts of changes to accounting for leases.</t>
  </si>
  <si>
    <t>E14</t>
  </si>
  <si>
    <t>Correct error in formula, as adding incorrect years.  Formula now consistent with columns D, F, G and H</t>
  </si>
  <si>
    <t>E12:H12, E19:H19, E25:H25, E31:H31, E37:H37, E43:H43, E49:H49, E55:H55, E61:H61, E67:H67, E74:H74, E80:H80, E85:H85</t>
  </si>
  <si>
    <t>Formulae added to bring last period closing balance to opening balance</t>
  </si>
  <si>
    <t>5.2 Actual Pricing</t>
  </si>
  <si>
    <t>NA</t>
  </si>
  <si>
    <t>Worksheet added</t>
  </si>
  <si>
    <t>Rows inserted to separately capture the impacts of lives of lease assets.</t>
  </si>
  <si>
    <t>Rows 57 and 62</t>
  </si>
  <si>
    <t>To enable reporting of all aspects of Land and Easements, and Other Depreciable Pipeline Assets.</t>
  </si>
  <si>
    <t>D65:H65</t>
  </si>
  <si>
    <t>Rows 79 to 84</t>
  </si>
  <si>
    <t>D72:H72</t>
  </si>
  <si>
    <t>Updated to include Leased Pipeline Assets in Total Pipeline Assets</t>
  </si>
  <si>
    <t>D78:H78</t>
  </si>
  <si>
    <t>D88:H88</t>
  </si>
  <si>
    <t>Updated to include Shared Leased Assets in Total shared supporting assets allocated</t>
  </si>
  <si>
    <t>Actual Pricing per section 7.3 of Guideline</t>
  </si>
  <si>
    <t>D9:D37</t>
  </si>
  <si>
    <t>Cells set to date format dd/mm/yyyy</t>
  </si>
  <si>
    <t>D8:D34</t>
  </si>
  <si>
    <t>Cover</t>
  </si>
  <si>
    <t>Dark cyan = ERA instructions/headings</t>
  </si>
  <si>
    <t>A7</t>
  </si>
  <si>
    <t>Corrected the spelling from 'insructions' to 'instructions'.</t>
  </si>
  <si>
    <t>D7</t>
  </si>
  <si>
    <t>Corrected the spelling from 'acqusition' to 'acquisition'.</t>
  </si>
  <si>
    <t>D18</t>
  </si>
  <si>
    <t>Note in C86</t>
  </si>
  <si>
    <t>3.1  Pipeline assets</t>
  </si>
  <si>
    <t>Corrected the spelling from 'Guidleline' to 'Guideline'.</t>
  </si>
  <si>
    <t>C36, C39 and C41</t>
  </si>
  <si>
    <t>Corrected the spelling from 'odourant' to 'odorant'.</t>
  </si>
  <si>
    <t>Closing odorant plants carrying value</t>
  </si>
  <si>
    <t>Odorant plants</t>
  </si>
  <si>
    <t>Note in B19</t>
  </si>
  <si>
    <t>Corrected the spelling from 'ith' to 'with'.</t>
  </si>
  <si>
    <t>3.1.1 Asset useful life</t>
  </si>
  <si>
    <t>Acquisition date</t>
  </si>
  <si>
    <t>4.1  Recovered capital method - pipeline assets</t>
  </si>
  <si>
    <t>Construction cost or acquisition cost (where allowed) apportioned</t>
  </si>
  <si>
    <t>Inadvertently excluded from original template, refer Guideline section 7.3</t>
  </si>
  <si>
    <t xml:space="preserve">Number format changed to Comma. </t>
  </si>
  <si>
    <t>Added rows 61 to 64 and updated the formulae to sum up the values in these rows.</t>
  </si>
  <si>
    <t>Added rows 74 to 77 and updated the formulae to sum up the values in these rows.</t>
  </si>
  <si>
    <t>E18:E22</t>
  </si>
  <si>
    <t>D6:H6</t>
  </si>
  <si>
    <t>D8 to H9</t>
  </si>
  <si>
    <t>CPI number format changed to percentage, two decimal places.</t>
  </si>
  <si>
    <t>B32:F37</t>
  </si>
  <si>
    <t>A typographical error fixed.</t>
  </si>
  <si>
    <t>Publication date of this report:</t>
  </si>
  <si>
    <t>Reported information is current at:</t>
  </si>
  <si>
    <t>Has any information in this template been amended since last published within this current reporting period?</t>
  </si>
  <si>
    <t xml:space="preserve"> Firm forward haul transportation service</t>
  </si>
  <si>
    <t xml:space="preserve"> Firm stand-alone compression service</t>
  </si>
  <si>
    <t xml:space="preserve"> Interruptible or as available stand-alone compression service</t>
  </si>
  <si>
    <t>Financial Summary</t>
  </si>
  <si>
    <t>Indirect operating expenses</t>
  </si>
  <si>
    <t>Impairment losses (nature of the impairment loss)</t>
  </si>
  <si>
    <t>Park services</t>
  </si>
  <si>
    <t>Park and loan services</t>
  </si>
  <si>
    <t>Other pipeline revenue (if relevant)</t>
  </si>
  <si>
    <t>Basis of preparation reference</t>
  </si>
  <si>
    <t>Has there been any use of estimates to allocate revenue to each transportation service?</t>
  </si>
  <si>
    <t>Revenue $'000</t>
  </si>
  <si>
    <t>MDQ
Total TJ*</t>
  </si>
  <si>
    <t>WAP 
$/GJ</t>
  </si>
  <si>
    <t>Total 
TJ</t>
  </si>
  <si>
    <t>$ '000</t>
  </si>
  <si>
    <t>Revenue 
$'000</t>
  </si>
  <si>
    <t>* MDQ (Total TJ) = sum of MDQ’s over the reporting period in TJs</t>
  </si>
  <si>
    <t>Please ensure allocation methodologies are explained in sufficient detail in the Basis of Preparation as required under section 3.2.7 of the Guideline</t>
  </si>
  <si>
    <t>Question added</t>
  </si>
  <si>
    <t>To record publication date of the report</t>
  </si>
  <si>
    <t>A27:E27</t>
  </si>
  <si>
    <t>To record the date to which the reported information is current</t>
  </si>
  <si>
    <t>Contents</t>
  </si>
  <si>
    <t>Contents updated</t>
  </si>
  <si>
    <t>1. Pipeline information</t>
  </si>
  <si>
    <t>B16, B20, B21</t>
  </si>
  <si>
    <t>Heading renamed</t>
  </si>
  <si>
    <t>To be consistent with the pipeline service categories in Table 2.1.1.</t>
  </si>
  <si>
    <t>C29:D36</t>
  </si>
  <si>
    <t>List added</t>
  </si>
  <si>
    <t>To add a yes/no dropdown list, consistent with other rows.</t>
  </si>
  <si>
    <t>2. Revenue and expenses</t>
  </si>
  <si>
    <t>Row 12:14 / C12:C14</t>
  </si>
  <si>
    <t xml:space="preserve">Rows added
</t>
  </si>
  <si>
    <t>Formula corrected</t>
  </si>
  <si>
    <t>To correctly populate data from Table 2.4.1</t>
  </si>
  <si>
    <t>I16</t>
  </si>
  <si>
    <t>2.1 Revenue by service</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</si>
  <si>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</si>
  <si>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</si>
  <si>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</si>
  <si>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</si>
  <si>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Row 16</t>
  </si>
  <si>
    <t xml:space="preserve"> “Park and park and loan services” is split into two rows: “Park services” (row 16) and “Park and loan services (row 17) to be consistent with service categories in Table 1.2.</t>
  </si>
  <si>
    <t>Row 20</t>
  </si>
  <si>
    <t>Description renamed</t>
  </si>
  <si>
    <t>Replaced "Distribution/transmission revenue" (originally C19) with "Other pipeline services (if relevant)" (now C20) to be consistent with Table 2.1.</t>
  </si>
  <si>
    <t>I21</t>
  </si>
  <si>
    <t>2.2 Revenue contributions</t>
  </si>
  <si>
    <t>2.3 Indirect revenue</t>
  </si>
  <si>
    <t>E2:G4</t>
  </si>
  <si>
    <t>Guidance note added</t>
  </si>
  <si>
    <t>To prompt operators to include sufficient information on their basis of preparation, explaining allocation methodologies and basis of allocators.</t>
  </si>
  <si>
    <t>2.4 Shared costs</t>
  </si>
  <si>
    <t>Formatting changed</t>
  </si>
  <si>
    <t>To remove uppercase in some words.</t>
  </si>
  <si>
    <t>Headings added</t>
  </si>
  <si>
    <t>3.1 Asset useful life</t>
  </si>
  <si>
    <t>Tab renamed</t>
  </si>
  <si>
    <t>D9:D40</t>
  </si>
  <si>
    <t>List created</t>
  </si>
  <si>
    <t>Minor punctuation amendment</t>
  </si>
  <si>
    <t>E11</t>
  </si>
  <si>
    <t>Revised formula to sum F11:BH11, consistent with the treatment of other cost components that make up the ‘cost base’</t>
  </si>
  <si>
    <t>F31:BH31</t>
  </si>
  <si>
    <t>To exclude row 25 which is not an input cell</t>
  </si>
  <si>
    <t>5. Weighted average price</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</si>
  <si>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</si>
  <si>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</si>
  <si>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</si>
  <si>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</si>
  <si>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</si>
  <si>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F10:BJ10</t>
  </si>
  <si>
    <t>Headings amended
Formatting changed</t>
  </si>
  <si>
    <t>C19:20</t>
  </si>
  <si>
    <t>To be consistent with other tables</t>
  </si>
  <si>
    <t>Row 22</t>
  </si>
  <si>
    <t>Explanatory note added</t>
  </si>
  <si>
    <t>All worksheets</t>
  </si>
  <si>
    <t>Numerical cells</t>
  </si>
  <si>
    <t>Amend relevant numerical cells to ensure format is in comma style, negative values in brackets and rounded off to nearest whole number</t>
  </si>
  <si>
    <t>Less Depreciation</t>
  </si>
  <si>
    <t>Shared property, plant and equipment</t>
  </si>
  <si>
    <t>Closing shared property, plant and equipment carrying value</t>
  </si>
  <si>
    <t>Other assets</t>
  </si>
  <si>
    <t>Leased assets</t>
  </si>
  <si>
    <t>rsharedassets</t>
  </si>
  <si>
    <t xml:space="preserve">Yes </t>
  </si>
  <si>
    <t>No</t>
  </si>
  <si>
    <t>rYesNo</t>
  </si>
  <si>
    <t>To fix hyperlinks, reflect change in tab name (3.1), and change formatting</t>
  </si>
  <si>
    <t>D32:E40</t>
  </si>
  <si>
    <t>C27</t>
  </si>
  <si>
    <t>Formatting changed
Formula added</t>
  </si>
  <si>
    <t>To add a sum formula</t>
  </si>
  <si>
    <t>Add headings ‘Pipeline assets’ and ‘Shared supporting assets’ to for clarity. Consistent with asset categories in the Guideline.</t>
  </si>
  <si>
    <t>C75</t>
  </si>
  <si>
    <t>Rename asset class from 'shared supporting assets' to 'shared property, plant and equipment' for clarity and consistency</t>
  </si>
  <si>
    <t>Column C
(C22, 28, 34, 40, 46, 52, 58, 78, 80)</t>
  </si>
  <si>
    <t>Description amended</t>
  </si>
  <si>
    <t>To be consistent with the naming of asset classes</t>
  </si>
  <si>
    <t>Row 87/ C87</t>
  </si>
  <si>
    <t>Row added</t>
  </si>
  <si>
    <t>C73 and C91</t>
  </si>
  <si>
    <t>To be consistent with the formatting of other asset classes</t>
  </si>
  <si>
    <t>To add dropdown list consistent with asset classes in Table 3.1</t>
  </si>
  <si>
    <t>Headings/units amended, and format changed for clarity and consistency with formula, as follows:
- revenues in $'000
- MDQ in Total TJ*
- WAP in $/GJ</t>
  </si>
  <si>
    <r>
      <t xml:space="preserve">To clarify the MDQ unit as:
</t>
    </r>
    <r>
      <rPr>
        <i/>
        <sz val="11"/>
        <rFont val="Arial"/>
        <family val="2"/>
      </rPr>
      <t xml:space="preserve">Total TJ = sum of MDQ’s over the reporting period in TJs </t>
    </r>
  </si>
  <si>
    <t>A1</t>
  </si>
  <si>
    <t>To make hyperlink to Content tab more visible and accessible</t>
  </si>
  <si>
    <t>1.2 Pipeline services provided</t>
  </si>
  <si>
    <t>2.1 Statement of pipeline revenues and expenses</t>
  </si>
  <si>
    <t>2.1.1 Revenue by service</t>
  </si>
  <si>
    <t>3.1 Pipeline assets</t>
  </si>
  <si>
    <t>3.2.1 Shared supporting asset allocation</t>
  </si>
  <si>
    <t>4.1 Recovered capital method - pipeline assets</t>
  </si>
  <si>
    <t>2.2.1 Customer contributions received</t>
  </si>
  <si>
    <t>4.1.1 Capital expenditure greater than 5% of construction cost</t>
  </si>
  <si>
    <t>2.2.2 Government contributions received</t>
  </si>
  <si>
    <t>2.3.1 Indirect revenue allocation</t>
  </si>
  <si>
    <t>2.4.1 Shared cost allocation</t>
  </si>
  <si>
    <t>5.1 Weighted average prices</t>
  </si>
  <si>
    <t>B2:C3</t>
  </si>
  <si>
    <t>To add service provider name and reporting period, consistent with other worksheets</t>
  </si>
  <si>
    <t>C34 and C39</t>
  </si>
  <si>
    <t>F11 and I11</t>
  </si>
  <si>
    <t>To amend formula to sum up D11:E11 and G11:H11, respectively</t>
  </si>
  <si>
    <t xml:space="preserve">H36 and I36 </t>
  </si>
  <si>
    <t>C11 and C16</t>
  </si>
  <si>
    <t>C11 and C74</t>
  </si>
  <si>
    <t>C10 and C21</t>
  </si>
  <si>
    <t>Year ending</t>
  </si>
  <si>
    <t>Labelling amended</t>
  </si>
  <si>
    <t>Formula added</t>
  </si>
  <si>
    <t>E9</t>
  </si>
  <si>
    <t>To add service provider name and year ending information, consistent with other worksheets</t>
  </si>
  <si>
    <t>Column E</t>
  </si>
  <si>
    <t>B19:D27</t>
  </si>
  <si>
    <t>Table updated</t>
  </si>
  <si>
    <t>D13 and E13</t>
  </si>
  <si>
    <t>Formula updated
Formatting changed</t>
  </si>
  <si>
    <t>B14 and B27</t>
  </si>
  <si>
    <t>Actual Revenue ($m, Nominal)</t>
  </si>
  <si>
    <t>G41:H43</t>
  </si>
  <si>
    <t>Formula added
Formatting changed</t>
  </si>
  <si>
    <t>For information</t>
  </si>
  <si>
    <t>Opening Asset Base - RCM value</t>
  </si>
  <si>
    <t>C8</t>
  </si>
  <si>
    <t>Row 33</t>
  </si>
  <si>
    <t>To add information on Opening Asset Base - RCM value</t>
  </si>
  <si>
    <t>Questions added</t>
  </si>
  <si>
    <t>Row 29</t>
  </si>
  <si>
    <t>Rows 11, 12, 14, 21</t>
  </si>
  <si>
    <t>Formula corrected
Formatting changed</t>
  </si>
  <si>
    <t>Row 13 (H13)</t>
  </si>
  <si>
    <t>D11:H36</t>
  </si>
  <si>
    <t>To specify unit ($m, Nominal) for Disposal (at cost) and Actual Revenue</t>
  </si>
  <si>
    <t>Row 27 (H27)</t>
  </si>
  <si>
    <t>Recovered capital method total asset value</t>
  </si>
  <si>
    <t>Rows 31:32 (B31:H32)</t>
  </si>
  <si>
    <t>Rows 33:35 (B33:H35)</t>
  </si>
  <si>
    <t>A29:E29</t>
  </si>
  <si>
    <t>A31:K31</t>
  </si>
  <si>
    <t>To be consistent with other headings in the table</t>
  </si>
  <si>
    <t>Added years in the same format as in Table 4.1 'Recovered Capital Method', where succeeding financial values are sourced.</t>
  </si>
  <si>
    <t>Changed source to specify that values come from Tab '4.Recovered Capital'.
Amended formula to automatically populate corresponding values from Table 4.1, and report in $m as in amendment #39.</t>
  </si>
  <si>
    <t xml:space="preserve">To include new revenue categories and correctly calculate ‘total direct revenue’ </t>
  </si>
  <si>
    <t>Added formula and changed format from  yellow (input cells) to grey (total cells)</t>
  </si>
  <si>
    <t xml:space="preserve">New categories are added to improve the clarity and consistency of revenue streams.
- Customer contribution revenue (removed from Table 2.1.1)
- Government contribution revenue (removed from Table 2.1.1)
- Profit from sale of fixed assets </t>
  </si>
  <si>
    <t>Updated formula in D13 and removed formula in E13 to be consistent with amendments in Table 2.2.2 'Government contributions received'. See amendment #60.</t>
  </si>
  <si>
    <t>To delete categories that do not fall under 'service revenue':
-	'Customer contribution revenue'
-	'Profit from sale of fixed assets'
-	‘Other direct revenue’
These categories are in Table 2.1. See also amendment # 47.</t>
  </si>
  <si>
    <t>To be consistent with amendments in Table 2.2.2 'Government contributions received' (see amendment #59). Values are reported in $m as in Amendment 39.</t>
  </si>
  <si>
    <t>To remove uppercase in some words. Corresponding cells in October 2020 template are C31 and C36.</t>
  </si>
  <si>
    <t>To add asset class heading "Other assets' for clarity and consistency</t>
  </si>
  <si>
    <t>Row split</t>
  </si>
  <si>
    <t>Table amended to:
- remove categories/columns on 'related party transactions' (originally columns C and D, replaced by a column on 'source' of government contributions received (currently column B)
- remove sum formula and replace total cells with input cells (currently D21:26).</t>
  </si>
  <si>
    <t>Changed cell formatting from yellow (input cells) to grey (no inputs required). Added formula to automatically populate values reported in Table 4.1, and report in $m as in amendment #39.</t>
  </si>
  <si>
    <t>To record if there has been any change to the reported information within the current reporting period since publication date, and identify which part of the ‘basis of preparation’ document captures or explains the change in the published information.</t>
  </si>
  <si>
    <t>If applicable, to report dollar values in $million, in 2 decimal places, and negative values in brackets.</t>
  </si>
  <si>
    <t>To correctly reflect all asset categories from Table 3.1, as some asset categories (leased pipeline and shared leased assets) were previously omitted. Values are reported in $m as in amendment #39.</t>
  </si>
  <si>
    <t>To be consistent with amendments in Table '2.1 Statement of pipeline revenues and expenses' (see amendment 47).
Values are reported in $m as in amendment #39.</t>
  </si>
  <si>
    <t>To correctly calculate the ‘total service revenue’</t>
  </si>
  <si>
    <t>To correct double counting of other shared costs</t>
  </si>
  <si>
    <t>Renamed from 3.1 "Pipeline asset useful life" to "Asset useful life' to be consistent with the heading of the worksheet. Worksheet contains shared assets other than pipeline assets.</t>
  </si>
  <si>
    <t>Western Australia</t>
  </si>
  <si>
    <t>Transmission</t>
  </si>
  <si>
    <t>Southern Cross Pipelines Australia Pty Limited</t>
  </si>
  <si>
    <t>64 084 521 997</t>
  </si>
  <si>
    <t>Corporate operating expenditure</t>
  </si>
  <si>
    <t>14/9/1996 to 30/6/2017</t>
  </si>
  <si>
    <t>1/7/2001 to 30/6/2003</t>
  </si>
  <si>
    <t>1/7/1997 to 30/6/2018</t>
  </si>
  <si>
    <t>1/7/2001 to 30/6/2016</t>
  </si>
  <si>
    <t>1/7/1998 to 30/6/2008</t>
  </si>
  <si>
    <t>N/a</t>
  </si>
  <si>
    <t>5-80</t>
  </si>
  <si>
    <t xml:space="preserve">Kalgoorlie Kambalda Pipeline </t>
  </si>
  <si>
    <t>Level 25, 580 George Street</t>
  </si>
  <si>
    <t>Sydney</t>
  </si>
  <si>
    <t>NSW</t>
  </si>
  <si>
    <t>PO Box R41</t>
  </si>
  <si>
    <t>Yes</t>
  </si>
  <si>
    <t>3.4.5</t>
  </si>
  <si>
    <t>Information Technology</t>
  </si>
  <si>
    <t>3.4.6</t>
  </si>
  <si>
    <t>3.4.2</t>
  </si>
  <si>
    <t>Per Appendix A</t>
  </si>
  <si>
    <t xml:space="preserve">Indefinite </t>
  </si>
  <si>
    <t>Per Leased assets average life</t>
  </si>
  <si>
    <t>Shared leased asset interest</t>
  </si>
  <si>
    <t>3.3.2.2</t>
  </si>
  <si>
    <t>3.3.2.1</t>
  </si>
  <si>
    <t>3.3.2.3</t>
  </si>
  <si>
    <t>CUSTOMER CONTRIBUTIONS</t>
  </si>
  <si>
    <t>3.3.1</t>
  </si>
  <si>
    <t>3.3.2</t>
  </si>
  <si>
    <t>APARegReporting@apa.com.au</t>
  </si>
  <si>
    <t>APA amendment#</t>
  </si>
  <si>
    <t>Line 14</t>
  </si>
  <si>
    <t xml:space="preserve">Change to formula to reflect disposals as a positive number. </t>
  </si>
  <si>
    <t>To correctly state the return on capital reported in line 20, if formula was left as it was, Return on capital would have been over stated.</t>
  </si>
  <si>
    <t>B14</t>
  </si>
  <si>
    <t>Description changed to "Disposal (at proceeds)"</t>
  </si>
  <si>
    <t>Disposal (at proceeds)($m, Nominal)</t>
  </si>
  <si>
    <t>To reflect that disposals are recorded at proceeds.</t>
  </si>
  <si>
    <t>4.3.3</t>
  </si>
  <si>
    <t>4.3.2</t>
  </si>
  <si>
    <t>4.3.5</t>
  </si>
  <si>
    <t>4.3.4</t>
  </si>
  <si>
    <t xml:space="preserve">Table reference </t>
  </si>
  <si>
    <t>1.1.1</t>
  </si>
  <si>
    <t>Interest charge on the Right of Use asset are for reporting purposes in the financial summary included as part of operating expenditure and not separated out in the model.</t>
  </si>
  <si>
    <t>The debt raising cost included in the table 1.1.1 is calculated by applying the debt raising cost rate to the average Regulated Asset Base to the permitted proportion of 60% for debt funding.</t>
  </si>
  <si>
    <t>Firm forward haul transportation service</t>
  </si>
  <si>
    <t>Interruptible or as available transportation service</t>
  </si>
  <si>
    <t>To correctly state the return on capital reported in line 19, if formula was left as it was, Return on capital would have been over stated.</t>
  </si>
  <si>
    <t>1/7/2015 to 30/6/2022</t>
  </si>
  <si>
    <t>1/7/2019 to 30/6/2022</t>
  </si>
  <si>
    <t>Andrew Gibson (General Manager Investor Relations)</t>
  </si>
  <si>
    <t xml:space="preserve">Change in accounting policy – Software-as-a-Service arrangements
During FY21,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related to accounting for Software-as-a-Service ("SaaS") arrangements. For Group Statutory Financial Accounting purposes, APA Group has implemented the IFRIC Agenda Decision retrospectively. As the regulatory framework under Part 7 does not account for retained earnings, the configuration and customisation costs incurred in the implementation of SaaS arrangements for all prior periods (FY2018-FY2020) were expensed in FY21’s profit or loss in the ‘Statement of Pipeline Revenue and Expenses’ and the ‘Recovered Capital Method’.
For Part 7 reporting, capitalised implementation cost relating to SaaS arrangements were de-recognised in FY 21 through a decrease in the FY21 allocation of shared support assets. 
Included in the total corporate expenditure of $185,206 recorded in the FY21’s profit or loss in the ‘Statement of Pipeline Revenue and Expenses’ is $26,760 of implementation costs relating to prior periods that were capitalised and recognised in property, plant and equipment on a cumulative basis through to 30 June 2020. APA has assessed that the amounts charged to the profit or loss in FY21 relating to prior periods, have no material impact on APA's FY21 or prior period's Part 7 Financial Reporting. On that basis, APA has not restated the prior period comparative amounts in the ‘Statement of Pipeline Revenue and Expenses’ nor the ‘Recovered Capital Method’. </t>
  </si>
  <si>
    <t>Payroll review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7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wages of $58,260, recorded in the FY22’s profit or loss in the ‘Statement of Pipeline Revenue and Expenses’, is $9,900 of payroll costs relating to prior periods.  APA also concluded that the amounts charged to the profit or loss in FY22 relating to prior periods had no material impact for Part 7 reporting purposes.</t>
  </si>
  <si>
    <t>APA has counted each contracting entity as a separate customer to determine customer numbers for each pipeline.</t>
  </si>
  <si>
    <t>+61 (3) 8416 2466</t>
  </si>
  <si>
    <t>The financial reporting under light regulation is an annual reporting requirement for APA's light regulation pipelines, requiring annual publishing by 31 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</si>
</sst>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
    <numFmt numFmtId="170" formatCode="_-[$$-C09]* #,##0.00_-;\-[$$-C09]* #,##0.00_-;_-[$$-C09]* &quot;-&quot;??_-;_-@_-"/>
    <numFmt numFmtId="171" formatCode="_-[$$-C09]* #,##0_-;\-[$$-C09]* #,##0_-;_-[$$-C09]* &quot;-&quot;_-;_-@_-"/>
    <numFmt numFmtId="172" formatCode="d/mm/yyyy;@"/>
    <numFmt numFmtId="173" formatCode="_(* #,##0.00_);_(* \(#,##0.00\);_(* &quot;-&quot;_);_(@_)"/>
    <numFmt numFmtId="174" formatCode="_-* #,##0_-;\-* #,##0_-;_-* &quot;-&quot;??_-;_-@_-"/>
    <numFmt numFmtId="175" formatCode="_(* #,##0_);_(* \(#,##0\);_(* &quot;-&quot;??_);_(@_)"/>
    <numFmt numFmtId="176" formatCode="_(* #,##0.00%_);_(* \(#,##0.00%\);_(* &quot;-&quot;??_);_(@_)"/>
  </numFmts>
  <fonts count="93" x14ac:knownFonts="1">
    <font>
      <sz val="11"/>
      <color theme="1"/>
      <name val="Arial"/>
      <family val="2"/>
      <scheme val="minor"/>
    </font>
    <font>
      <sz val="10"/>
      <name val="Arial"/>
      <family val="2"/>
    </font>
    <font>
      <b/>
      <sz val="16"/>
      <name val="Arial"/>
      <family val="2"/>
    </font>
    <font>
      <b/>
      <sz val="10"/>
      <name val="Arial"/>
      <family val="2"/>
    </font>
    <font>
      <b/>
      <sz val="12"/>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sz val="9"/>
      <color indexed="81"/>
      <name val="Tahoma"/>
      <family val="2"/>
    </font>
    <font>
      <b/>
      <sz val="9"/>
      <name val="Arial"/>
      <family val="2"/>
    </font>
    <font>
      <b/>
      <sz val="9"/>
      <color indexed="81"/>
      <name val="Tahoma"/>
      <family val="2"/>
    </font>
    <font>
      <sz val="9"/>
      <name val="Arial"/>
      <family val="2"/>
    </font>
    <font>
      <b/>
      <i/>
      <sz val="10"/>
      <name val="Arial"/>
      <family val="2"/>
    </font>
    <font>
      <b/>
      <sz val="9"/>
      <color indexed="9"/>
      <name val="Arial"/>
      <family val="2"/>
    </font>
    <font>
      <i/>
      <sz val="10"/>
      <name val="Arial"/>
      <family val="2"/>
    </font>
    <font>
      <i/>
      <sz val="8"/>
      <name val="Malgun Gothic"/>
      <family val="2"/>
    </font>
    <font>
      <i/>
      <sz val="11"/>
      <name val="Arial"/>
      <family val="2"/>
    </font>
    <font>
      <sz val="8"/>
      <name val="Arial"/>
      <family val="2"/>
    </font>
    <font>
      <sz val="10"/>
      <color rgb="FF000000"/>
      <name val="Arial"/>
      <family val="2"/>
    </font>
    <font>
      <b/>
      <sz val="18"/>
      <color theme="4"/>
      <name val="Arial"/>
      <family val="2"/>
      <scheme val="minor"/>
    </font>
    <font>
      <b/>
      <sz val="16"/>
      <color theme="4"/>
      <name val="Arial"/>
      <family val="2"/>
      <scheme val="minor"/>
    </font>
    <font>
      <i/>
      <sz val="14"/>
      <color theme="4"/>
      <name val="Arial"/>
      <family val="2"/>
      <scheme val="minor"/>
    </font>
    <font>
      <i/>
      <sz val="13"/>
      <color theme="4"/>
      <name val="Arial"/>
      <family val="2"/>
      <scheme val="minor"/>
    </font>
    <font>
      <sz val="10"/>
      <name val="Arial"/>
      <family val="2"/>
      <scheme val="major"/>
    </font>
    <font>
      <sz val="14"/>
      <color theme="1"/>
      <name val="Arial"/>
      <family val="2"/>
      <scheme val="minor"/>
    </font>
    <font>
      <b/>
      <sz val="10"/>
      <color rgb="FFFFFFFF"/>
      <name val="Arial"/>
      <family val="2"/>
      <scheme val="minor"/>
    </font>
    <font>
      <sz val="10"/>
      <color theme="1"/>
      <name val="Arial"/>
      <family val="2"/>
      <scheme val="minor"/>
    </font>
    <font>
      <b/>
      <sz val="10"/>
      <color theme="1"/>
      <name val="Arial"/>
      <family val="2"/>
      <scheme val="minor"/>
    </font>
    <font>
      <b/>
      <sz val="22"/>
      <color theme="4"/>
      <name val="Arial"/>
      <family val="1"/>
      <scheme val="minor"/>
    </font>
    <font>
      <sz val="28"/>
      <color rgb="FFFF0000"/>
      <name val="Arial"/>
      <family val="2"/>
    </font>
    <font>
      <b/>
      <sz val="10"/>
      <color theme="0"/>
      <name val="Arial"/>
      <family val="2"/>
    </font>
    <font>
      <b/>
      <sz val="14"/>
      <color theme="0"/>
      <name val="Arial"/>
      <family val="2"/>
    </font>
    <font>
      <sz val="10"/>
      <color theme="0"/>
      <name val="Arial"/>
      <family val="2"/>
    </font>
    <font>
      <b/>
      <sz val="12"/>
      <color theme="0"/>
      <name val="Arial"/>
      <family val="2"/>
    </font>
    <font>
      <sz val="10"/>
      <color rgb="FF0000FF"/>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b/>
      <sz val="11"/>
      <color theme="1"/>
      <name val="Arial"/>
      <family val="2"/>
    </font>
    <font>
      <sz val="10"/>
      <color theme="1"/>
      <name val="Arial"/>
      <family val="2"/>
    </font>
    <font>
      <b/>
      <sz val="10"/>
      <color theme="1"/>
      <name val="Arial"/>
      <family val="2"/>
    </font>
    <font>
      <sz val="10"/>
      <color rgb="FF0070C0"/>
      <name val="Arial"/>
      <family val="2"/>
    </font>
    <font>
      <b/>
      <sz val="16"/>
      <color rgb="FF0000FF"/>
      <name val="Arial"/>
      <family val="2"/>
    </font>
    <font>
      <b/>
      <sz val="10"/>
      <color rgb="FFFF0000"/>
      <name val="Arial"/>
      <family val="2"/>
    </font>
    <font>
      <b/>
      <sz val="10"/>
      <color rgb="FF000000"/>
      <name val="Arial"/>
      <family val="2"/>
    </font>
    <font>
      <sz val="10"/>
      <color rgb="FFFF0000"/>
      <name val="Arial"/>
      <family val="2"/>
    </font>
    <font>
      <b/>
      <sz val="11"/>
      <color rgb="FFFFFFFF"/>
      <name val="Arial"/>
      <family val="2"/>
    </font>
    <font>
      <b/>
      <sz val="10"/>
      <color rgb="FFFFFFFF"/>
      <name val="Arial"/>
      <family val="2"/>
    </font>
    <font>
      <sz val="11"/>
      <name val="Arial"/>
      <family val="2"/>
      <scheme val="minor"/>
    </font>
    <font>
      <sz val="8"/>
      <color rgb="FF000000"/>
      <name val="Malgun Gothic"/>
      <family val="2"/>
    </font>
    <font>
      <sz val="14"/>
      <color theme="0"/>
      <name val="Arial"/>
      <family val="2"/>
    </font>
    <font>
      <sz val="11"/>
      <color theme="0"/>
      <name val="Arial"/>
      <family val="2"/>
      <scheme val="minor"/>
    </font>
    <font>
      <b/>
      <sz val="14"/>
      <color rgb="FF0000FF"/>
      <name val="Arial"/>
      <family val="2"/>
    </font>
    <font>
      <sz val="11"/>
      <color rgb="FF0000FF"/>
      <name val="Arial"/>
      <family val="2"/>
      <scheme val="minor"/>
    </font>
    <font>
      <sz val="11"/>
      <color rgb="FFFF0000"/>
      <name val="Arial"/>
      <family val="2"/>
      <scheme val="minor"/>
    </font>
    <font>
      <b/>
      <sz val="12"/>
      <color indexed="9"/>
      <name val="Arial"/>
      <family val="2"/>
    </font>
    <font>
      <sz val="11"/>
      <color theme="1"/>
      <name val="Arial"/>
      <family val="2"/>
      <scheme val="minor"/>
    </font>
    <font>
      <sz val="10"/>
      <name val="Arial"/>
      <family val="2"/>
    </font>
    <font>
      <sz val="11"/>
      <color theme="1"/>
      <name val="Calibri"/>
      <family val="2"/>
    </font>
    <font>
      <b/>
      <sz val="11"/>
      <color theme="0"/>
      <name val="Arial"/>
      <family val="2"/>
      <scheme val="minor"/>
    </font>
    <font>
      <sz val="8"/>
      <color rgb="FFFF0000"/>
      <name val="Arial"/>
      <family val="2"/>
    </font>
    <font>
      <u/>
      <sz val="11"/>
      <color theme="10"/>
      <name val="Arial"/>
      <family val="2"/>
      <scheme val="minor"/>
    </font>
  </fonts>
  <fills count="51">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9999"/>
        <bgColor indexed="64"/>
      </patternFill>
    </fill>
    <fill>
      <patternFill patternType="solid">
        <fgColor theme="4" tint="0.79998168889431442"/>
        <bgColor indexed="64"/>
      </patternFill>
    </fill>
    <fill>
      <patternFill patternType="solid">
        <fgColor rgb="FF33CCCC"/>
        <bgColor indexed="64"/>
      </patternFill>
    </fill>
    <fill>
      <patternFill patternType="solid">
        <fgColor theme="1"/>
        <bgColor indexed="64"/>
      </patternFill>
    </fill>
    <fill>
      <patternFill patternType="solid">
        <fgColor rgb="FFFFFFCC"/>
        <bgColor indexed="64"/>
      </patternFill>
    </fill>
    <fill>
      <patternFill patternType="solid">
        <fgColor rgb="FF3A8D87"/>
        <bgColor rgb="FF000000"/>
      </patternFill>
    </fill>
    <fill>
      <patternFill patternType="solid">
        <fgColor rgb="FF009999"/>
        <bgColor rgb="FF000000"/>
      </patternFill>
    </fill>
    <fill>
      <patternFill patternType="solid">
        <fgColor theme="4" tint="-0.249977111117893"/>
        <bgColor rgb="FF000000"/>
      </patternFill>
    </fill>
    <fill>
      <patternFill patternType="solid">
        <fgColor theme="3" tint="-0.249977111117893"/>
        <bgColor rgb="FF000000"/>
      </patternFill>
    </fill>
    <fill>
      <patternFill patternType="solid">
        <fgColor rgb="FF00A0B1"/>
        <bgColor rgb="FF000000"/>
      </patternFill>
    </fill>
    <fill>
      <patternFill patternType="solid">
        <fgColor rgb="FFBFBFBF"/>
        <bgColor rgb="FF000000"/>
      </patternFill>
    </fill>
    <fill>
      <patternFill patternType="solid">
        <fgColor rgb="FFC9C1B9"/>
        <bgColor rgb="FF000000"/>
      </patternFill>
    </fill>
    <fill>
      <patternFill patternType="solid">
        <fgColor rgb="FF007886"/>
        <bgColor rgb="FF000000"/>
      </patternFill>
    </fill>
    <fill>
      <patternFill patternType="solid">
        <fgColor rgb="FF00A0B3"/>
        <bgColor rgb="FF000000"/>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right/>
      <top style="thin">
        <color theme="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4"/>
      </right>
      <top style="thin">
        <color theme="4"/>
      </top>
      <bottom/>
      <diagonal/>
    </border>
    <border>
      <left style="medium">
        <color indexed="64"/>
      </left>
      <right style="medium">
        <color indexed="64"/>
      </right>
      <top style="medium">
        <color indexed="64"/>
      </top>
      <bottom style="medium">
        <color indexed="64"/>
      </bottom>
      <diagonal/>
    </border>
  </borders>
  <cellStyleXfs count="151">
    <xf numFmtId="1" fontId="0" fillId="0" borderId="0" applyNumberFormat="0" applyFill="0" applyBorder="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5" fillId="13" borderId="0" applyNumberFormat="0" applyFont="0" applyBorder="0" applyAlignment="0">
      <alignment horizontal="right"/>
    </xf>
    <xf numFmtId="41" fontId="5" fillId="13" borderId="0" applyNumberFormat="0" applyFont="0" applyBorder="0" applyAlignment="0">
      <alignment horizontal="right"/>
    </xf>
    <xf numFmtId="41" fontId="35" fillId="13" borderId="0" applyNumberFormat="0" applyFont="0" applyBorder="0" applyAlignment="0">
      <alignment horizontal="right"/>
    </xf>
    <xf numFmtId="41" fontId="35"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 fontId="1" fillId="0" borderId="0" applyFont="0" applyFill="0" applyBorder="0" applyAlignment="0" applyProtection="0"/>
    <xf numFmtId="3" fontId="1" fillId="0" borderId="0" applyFont="0" applyFill="0" applyBorder="0" applyAlignment="0" applyProtection="0"/>
    <xf numFmtId="43" fontId="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0" fontId="20" fillId="0" borderId="0" applyNumberFormat="0" applyFill="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Protection="0"/>
    <xf numFmtId="0" fontId="52" fillId="0" borderId="0" applyNumberFormat="0" applyFill="0" applyBorder="0" applyProtection="0"/>
    <xf numFmtId="0" fontId="12"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0" borderId="0" applyFont="0" applyBorder="0" applyAlignment="0">
      <alignment horizontal="right"/>
      <protection locked="0"/>
    </xf>
    <xf numFmtId="41" fontId="5" fillId="30" borderId="0" applyFont="0" applyBorder="0" applyAlignment="0">
      <alignment horizontal="right"/>
      <protection locked="0"/>
    </xf>
    <xf numFmtId="41" fontId="35" fillId="30" borderId="0" applyFont="0" applyBorder="0" applyAlignment="0">
      <alignment horizontal="right"/>
      <protection locked="0"/>
    </xf>
    <xf numFmtId="41" fontId="35" fillId="30" borderId="0" applyFont="0" applyBorder="0" applyAlignment="0">
      <alignment horizontal="right"/>
      <protection locked="0"/>
    </xf>
    <xf numFmtId="165" fontId="5" fillId="29" borderId="0" applyFont="0" applyBorder="0">
      <alignment horizontal="right"/>
      <protection locked="0"/>
    </xf>
    <xf numFmtId="165" fontId="35" fillId="29" borderId="0" applyFont="0" applyBorder="0">
      <alignment horizontal="right"/>
      <protection locked="0"/>
    </xf>
    <xf numFmtId="164" fontId="5" fillId="7" borderId="0" applyFont="0" applyBorder="0">
      <alignment horizontal="right"/>
      <protection locked="0"/>
    </xf>
    <xf numFmtId="41" fontId="5" fillId="7" borderId="0" applyFont="0" applyBorder="0">
      <alignment horizontal="right"/>
      <protection locked="0"/>
    </xf>
    <xf numFmtId="41" fontId="35" fillId="7" borderId="0" applyFont="0" applyBorder="0">
      <alignment horizontal="right"/>
      <protection locked="0"/>
    </xf>
    <xf numFmtId="41" fontId="35" fillId="7" borderId="0" applyFont="0" applyBorder="0">
      <alignment horizontal="right"/>
      <protection locked="0"/>
    </xf>
    <xf numFmtId="0" fontId="23" fillId="0" borderId="3"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53" fillId="0" borderId="0"/>
    <xf numFmtId="0" fontId="34" fillId="0" borderId="0"/>
    <xf numFmtId="0" fontId="5" fillId="0" borderId="0"/>
    <xf numFmtId="0" fontId="35" fillId="0" borderId="0"/>
    <xf numFmtId="1" fontId="48" fillId="0" borderId="0"/>
    <xf numFmtId="0" fontId="1" fillId="9" borderId="0"/>
    <xf numFmtId="0" fontId="1" fillId="9" borderId="0"/>
    <xf numFmtId="0" fontId="1" fillId="9" borderId="0"/>
    <xf numFmtId="0" fontId="1" fillId="0" borderId="0"/>
    <xf numFmtId="0" fontId="1" fillId="9" borderId="0"/>
    <xf numFmtId="0" fontId="5" fillId="9" borderId="0"/>
    <xf numFmtId="0" fontId="1" fillId="9" borderId="0"/>
    <xf numFmtId="0" fontId="1" fillId="9" borderId="0"/>
    <xf numFmtId="0" fontId="35" fillId="9" borderId="0"/>
    <xf numFmtId="0" fontId="1" fillId="9" borderId="0"/>
    <xf numFmtId="0" fontId="5" fillId="6" borderId="4" applyNumberFormat="0" applyFont="0" applyAlignment="0" applyProtection="0"/>
    <xf numFmtId="0" fontId="35" fillId="7" borderId="4" applyNumberFormat="0" applyFont="0" applyAlignment="0" applyProtection="0"/>
    <xf numFmtId="0" fontId="25" fillId="8" borderId="5" applyNumberFormat="0" applyAlignment="0" applyProtection="0"/>
    <xf numFmtId="0" fontId="25" fillId="9" borderId="5" applyNumberFormat="0" applyAlignment="0" applyProtection="0"/>
    <xf numFmtId="9" fontId="1"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35" fillId="0" borderId="0"/>
    <xf numFmtId="0" fontId="35" fillId="0" borderId="0"/>
    <xf numFmtId="0" fontId="54" fillId="0" borderId="0" applyNumberFormat="0" applyFill="0" applyAlignment="0" applyProtection="0"/>
    <xf numFmtId="0" fontId="55" fillId="32" borderId="34" applyNumberFormat="0" applyProtection="0"/>
    <xf numFmtId="0" fontId="56" fillId="0" borderId="0" applyNumberFormat="0" applyFill="0" applyBorder="0" applyProtection="0"/>
    <xf numFmtId="0" fontId="56" fillId="0" borderId="34" applyNumberFormat="0" applyFill="0" applyProtection="0"/>
    <xf numFmtId="0" fontId="57" fillId="0" borderId="34" applyNumberFormat="0" applyFill="0" applyProtection="0"/>
    <xf numFmtId="0" fontId="58" fillId="0" borderId="0" applyNumberFormat="0" applyFill="0" applyBorder="0" applyProtection="0"/>
    <xf numFmtId="0" fontId="57" fillId="0" borderId="0" applyNumberFormat="0" applyFill="0" applyBorder="0" applyProtection="0"/>
    <xf numFmtId="0" fontId="26" fillId="0" borderId="0" applyNumberFormat="0" applyFill="0" applyBorder="0" applyAlignment="0" applyProtection="0"/>
    <xf numFmtId="0" fontId="88"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 fontId="88" fillId="0" borderId="0" applyFont="0" applyFill="0" applyBorder="0" applyAlignment="0" applyProtection="0"/>
    <xf numFmtId="43" fontId="88" fillId="0" borderId="0" applyFont="0" applyFill="0" applyBorder="0" applyAlignment="0" applyProtection="0"/>
    <xf numFmtId="0" fontId="1" fillId="0" borderId="0"/>
    <xf numFmtId="9" fontId="88" fillId="0" borderId="0" applyFont="0" applyFill="0" applyBorder="0" applyAlignment="0" applyProtection="0"/>
    <xf numFmtId="0" fontId="8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7" fillId="0" borderId="0"/>
    <xf numFmtId="43" fontId="1" fillId="0" borderId="0" applyFont="0" applyFill="0" applyBorder="0" applyAlignment="0" applyProtection="0"/>
    <xf numFmtId="0" fontId="1" fillId="9" borderId="0"/>
    <xf numFmtId="0" fontId="70" fillId="0" borderId="0"/>
    <xf numFmtId="43" fontId="31" fillId="0" borderId="0" applyFont="0" applyFill="0" applyBorder="0" applyAlignment="0" applyProtection="0"/>
    <xf numFmtId="9" fontId="1" fillId="0" borderId="0" applyFont="0" applyFill="0" applyBorder="0" applyAlignment="0" applyProtection="0"/>
    <xf numFmtId="0" fontId="88" fillId="9" borderId="0"/>
    <xf numFmtId="0" fontId="87" fillId="0" borderId="0"/>
    <xf numFmtId="0" fontId="1" fillId="0" borderId="0"/>
    <xf numFmtId="43" fontId="87" fillId="0" borderId="0" applyFont="0" applyFill="0" applyBorder="0" applyAlignment="0" applyProtection="0"/>
    <xf numFmtId="9" fontId="87" fillId="0" borderId="0" applyFont="0" applyFill="0" applyBorder="0" applyAlignment="0" applyProtection="0"/>
    <xf numFmtId="0" fontId="92" fillId="0" borderId="0" applyNumberFormat="0" applyFill="0" applyBorder="0" applyAlignment="0" applyProtection="0"/>
  </cellStyleXfs>
  <cellXfs count="572">
    <xf numFmtId="1" fontId="0" fillId="0" borderId="0" xfId="0"/>
    <xf numFmtId="0" fontId="2" fillId="9" borderId="0" xfId="96" applyFont="1"/>
    <xf numFmtId="0" fontId="1" fillId="9" borderId="0" xfId="96"/>
    <xf numFmtId="0" fontId="3" fillId="9" borderId="0" xfId="96" applyFont="1"/>
    <xf numFmtId="2" fontId="6" fillId="9" borderId="0" xfId="96" applyNumberFormat="1" applyFont="1" applyBorder="1" applyAlignment="1" applyProtection="1">
      <alignment horizontal="left"/>
    </xf>
    <xf numFmtId="0" fontId="7" fillId="9" borderId="0" xfId="96" applyFont="1" applyAlignment="1" applyProtection="1">
      <protection locked="0"/>
    </xf>
    <xf numFmtId="0" fontId="7" fillId="9" borderId="0" xfId="96" applyFont="1" applyProtection="1">
      <protection locked="0"/>
    </xf>
    <xf numFmtId="0" fontId="6" fillId="9" borderId="0" xfId="96" applyFont="1"/>
    <xf numFmtId="0" fontId="1" fillId="9" borderId="0" xfId="96" applyAlignment="1"/>
    <xf numFmtId="0" fontId="10" fillId="9" borderId="0" xfId="94" applyFont="1"/>
    <xf numFmtId="0" fontId="10" fillId="9" borderId="0" xfId="94" applyFont="1" applyFill="1" applyBorder="1"/>
    <xf numFmtId="0" fontId="10" fillId="9" borderId="0" xfId="94" applyFont="1" applyFill="1"/>
    <xf numFmtId="0" fontId="11" fillId="9" borderId="0" xfId="94" applyFont="1" applyFill="1" applyBorder="1" applyAlignment="1">
      <alignment vertical="center"/>
    </xf>
    <xf numFmtId="0" fontId="11" fillId="9" borderId="0" xfId="94" applyFont="1" applyFill="1" applyBorder="1" applyAlignment="1"/>
    <xf numFmtId="0" fontId="10" fillId="9" borderId="0" xfId="94" applyFont="1" applyFill="1" applyBorder="1" applyAlignment="1">
      <alignment vertical="center"/>
    </xf>
    <xf numFmtId="0" fontId="10" fillId="9" borderId="0" xfId="94" applyFont="1" applyAlignment="1">
      <alignment vertical="center"/>
    </xf>
    <xf numFmtId="0" fontId="10" fillId="9" borderId="0" xfId="94" applyFont="1" applyFill="1" applyAlignment="1">
      <alignment vertical="center"/>
    </xf>
    <xf numFmtId="0" fontId="2" fillId="9" borderId="0" xfId="98" applyFont="1"/>
    <xf numFmtId="0" fontId="28" fillId="9" borderId="0" xfId="97" applyFont="1" applyFill="1" applyBorder="1" applyAlignment="1"/>
    <xf numFmtId="0" fontId="1" fillId="9" borderId="0" xfId="98"/>
    <xf numFmtId="0" fontId="2" fillId="0" borderId="0" xfId="98" applyFont="1" applyFill="1" applyAlignment="1"/>
    <xf numFmtId="166" fontId="3" fillId="9" borderId="0" xfId="98" applyNumberFormat="1" applyFont="1" applyBorder="1" applyAlignment="1">
      <alignment horizontal="left"/>
    </xf>
    <xf numFmtId="49" fontId="5" fillId="9" borderId="0" xfId="98" applyNumberFormat="1" applyFont="1"/>
    <xf numFmtId="2" fontId="5" fillId="9" borderId="0" xfId="98" applyNumberFormat="1" applyFont="1" applyBorder="1"/>
    <xf numFmtId="164" fontId="5" fillId="9" borderId="0" xfId="98" applyNumberFormat="1" applyFont="1" applyBorder="1" applyAlignment="1">
      <alignment horizontal="center"/>
    </xf>
    <xf numFmtId="164" fontId="5" fillId="9" borderId="0" xfId="98" applyNumberFormat="1" applyFont="1" applyBorder="1"/>
    <xf numFmtId="0" fontId="5" fillId="9" borderId="0" xfId="98" applyFont="1"/>
    <xf numFmtId="0" fontId="32" fillId="9" borderId="0" xfId="98" applyFont="1"/>
    <xf numFmtId="0" fontId="4" fillId="9" borderId="0" xfId="98" applyFont="1"/>
    <xf numFmtId="39" fontId="5" fillId="9" borderId="0" xfId="98" applyNumberFormat="1" applyFont="1"/>
    <xf numFmtId="0" fontId="1" fillId="9" borderId="0" xfId="101"/>
    <xf numFmtId="0" fontId="2" fillId="9" borderId="0" xfId="101" applyFont="1" applyAlignment="1"/>
    <xf numFmtId="49" fontId="5" fillId="9" borderId="0" xfId="101" applyNumberFormat="1" applyFont="1"/>
    <xf numFmtId="164" fontId="5" fillId="9" borderId="0" xfId="101" applyNumberFormat="1" applyFont="1" applyBorder="1"/>
    <xf numFmtId="166" fontId="4" fillId="9" borderId="0" xfId="101" applyNumberFormat="1" applyFont="1" applyBorder="1" applyAlignment="1">
      <alignment horizontal="left"/>
    </xf>
    <xf numFmtId="168" fontId="5" fillId="7" borderId="6" xfId="101" applyNumberFormat="1" applyFont="1" applyFill="1" applyBorder="1"/>
    <xf numFmtId="1" fontId="2" fillId="0" borderId="0" xfId="0" applyFont="1"/>
    <xf numFmtId="1" fontId="4" fillId="0" borderId="0" xfId="0" applyFont="1"/>
    <xf numFmtId="167" fontId="9" fillId="31" borderId="0" xfId="0" applyNumberFormat="1" applyFont="1" applyFill="1" applyBorder="1" applyAlignment="1">
      <alignment horizontal="left" vertical="center" wrapText="1"/>
    </xf>
    <xf numFmtId="0" fontId="29" fillId="13" borderId="7" xfId="101" applyFont="1" applyFill="1" applyBorder="1" applyAlignment="1">
      <alignment horizontal="right"/>
    </xf>
    <xf numFmtId="0" fontId="5" fillId="33" borderId="0" xfId="98" applyFont="1" applyFill="1"/>
    <xf numFmtId="1" fontId="5" fillId="33" borderId="0" xfId="0" applyFont="1" applyFill="1"/>
    <xf numFmtId="0" fontId="59" fillId="9" borderId="0" xfId="96" applyFont="1"/>
    <xf numFmtId="0" fontId="33" fillId="34" borderId="0" xfId="0" applyNumberFormat="1" applyFont="1" applyFill="1" applyAlignment="1"/>
    <xf numFmtId="0" fontId="10" fillId="9" borderId="0" xfId="94" applyFont="1" applyBorder="1" applyAlignment="1">
      <alignment vertical="center"/>
    </xf>
    <xf numFmtId="0" fontId="5" fillId="9" borderId="0" xfId="96" applyFont="1"/>
    <xf numFmtId="0" fontId="36" fillId="35" borderId="0" xfId="98" applyFont="1" applyFill="1"/>
    <xf numFmtId="0" fontId="37" fillId="35" borderId="0" xfId="98" applyFont="1" applyFill="1"/>
    <xf numFmtId="14" fontId="36" fillId="35" borderId="0" xfId="98" applyNumberFormat="1" applyFont="1" applyFill="1"/>
    <xf numFmtId="14" fontId="36" fillId="35" borderId="0" xfId="98" applyNumberFormat="1" applyFont="1" applyFill="1" applyAlignment="1">
      <alignment horizontal="left"/>
    </xf>
    <xf numFmtId="0" fontId="48" fillId="9" borderId="0" xfId="101" applyFont="1"/>
    <xf numFmtId="0" fontId="5" fillId="33" borderId="0" xfId="100" applyFont="1" applyFill="1" applyBorder="1" applyAlignment="1">
      <alignment vertical="center"/>
    </xf>
    <xf numFmtId="1" fontId="0" fillId="0" borderId="0" xfId="0" applyAlignment="1">
      <alignment horizontal="center"/>
    </xf>
    <xf numFmtId="0" fontId="48" fillId="9" borderId="0" xfId="98" applyFont="1"/>
    <xf numFmtId="1" fontId="0" fillId="9" borderId="0" xfId="0" applyFill="1" applyProtection="1">
      <protection locked="0"/>
    </xf>
    <xf numFmtId="1" fontId="0" fillId="9" borderId="0" xfId="0" applyFill="1" applyBorder="1" applyProtection="1">
      <protection locked="0"/>
    </xf>
    <xf numFmtId="1" fontId="4" fillId="9" borderId="0" xfId="0" applyFont="1" applyFill="1" applyBorder="1" applyAlignment="1" applyProtection="1">
      <alignment horizontal="left"/>
      <protection locked="0"/>
    </xf>
    <xf numFmtId="10" fontId="48" fillId="9" borderId="0" xfId="108" applyNumberFormat="1" applyFont="1" applyFill="1" applyProtection="1">
      <protection locked="0"/>
    </xf>
    <xf numFmtId="1" fontId="9" fillId="9" borderId="0" xfId="0" applyFont="1" applyFill="1" applyProtection="1">
      <protection locked="0"/>
    </xf>
    <xf numFmtId="1" fontId="9" fillId="9" borderId="0" xfId="0" applyFont="1" applyFill="1" applyBorder="1" applyProtection="1">
      <protection locked="0"/>
    </xf>
    <xf numFmtId="1" fontId="39" fillId="33" borderId="0" xfId="0" applyFont="1" applyFill="1" applyBorder="1" applyAlignment="1" applyProtection="1">
      <alignment horizontal="right"/>
      <protection locked="0"/>
    </xf>
    <xf numFmtId="1" fontId="3" fillId="9" borderId="0" xfId="0" applyFont="1" applyFill="1" applyBorder="1" applyAlignment="1" applyProtection="1">
      <alignment horizontal="center"/>
      <protection locked="0"/>
    </xf>
    <xf numFmtId="1" fontId="3" fillId="33" borderId="0" xfId="0" applyFont="1" applyFill="1" applyBorder="1" applyAlignment="1" applyProtection="1">
      <alignment horizontal="center"/>
      <protection locked="0"/>
    </xf>
    <xf numFmtId="1" fontId="39" fillId="33" borderId="0" xfId="0" applyFont="1" applyFill="1" applyBorder="1" applyAlignment="1" applyProtection="1">
      <alignment horizontal="center"/>
      <protection locked="0"/>
    </xf>
    <xf numFmtId="1" fontId="3" fillId="5" borderId="8" xfId="0" applyFont="1" applyFill="1" applyBorder="1" applyAlignment="1">
      <alignment vertical="center"/>
    </xf>
    <xf numFmtId="1" fontId="0" fillId="9" borderId="0" xfId="0" applyFill="1"/>
    <xf numFmtId="1" fontId="32" fillId="5" borderId="8" xfId="0" applyFont="1" applyFill="1" applyBorder="1" applyAlignment="1">
      <alignment vertical="center" wrapText="1"/>
    </xf>
    <xf numFmtId="1" fontId="0" fillId="9" borderId="0" xfId="0" applyFill="1" applyBorder="1" applyAlignment="1">
      <alignment vertical="center" wrapText="1"/>
    </xf>
    <xf numFmtId="1" fontId="0" fillId="9" borderId="0" xfId="0" applyFill="1" applyAlignment="1">
      <alignment wrapText="1"/>
    </xf>
    <xf numFmtId="1" fontId="0" fillId="9" borderId="0" xfId="0" applyFill="1" applyBorder="1" applyAlignment="1">
      <alignment wrapText="1"/>
    </xf>
    <xf numFmtId="1" fontId="0" fillId="9" borderId="0" xfId="0" applyFill="1" applyAlignment="1"/>
    <xf numFmtId="1" fontId="0" fillId="9" borderId="0" xfId="0" applyFill="1" applyAlignment="1">
      <alignment horizontal="center"/>
    </xf>
    <xf numFmtId="10" fontId="5" fillId="9" borderId="0" xfId="109" applyNumberFormat="1" applyFill="1" applyAlignment="1"/>
    <xf numFmtId="1" fontId="0" fillId="5" borderId="8" xfId="0" applyFill="1" applyBorder="1" applyAlignment="1"/>
    <xf numFmtId="1" fontId="0" fillId="5" borderId="8" xfId="0" applyFill="1" applyBorder="1" applyAlignment="1">
      <alignment wrapText="1"/>
    </xf>
    <xf numFmtId="1" fontId="32" fillId="5" borderId="0" xfId="0" applyFont="1" applyFill="1" applyBorder="1" applyAlignment="1">
      <alignment vertical="center" wrapText="1"/>
    </xf>
    <xf numFmtId="1" fontId="0" fillId="0" borderId="0" xfId="0" applyBorder="1"/>
    <xf numFmtId="10" fontId="48" fillId="0" borderId="0" xfId="108" applyNumberFormat="1" applyFont="1"/>
    <xf numFmtId="167" fontId="29" fillId="33" borderId="0" xfId="98" quotePrefix="1" applyNumberFormat="1" applyFont="1" applyFill="1" applyBorder="1" applyAlignment="1">
      <alignment horizontal="center" vertical="center" wrapText="1"/>
    </xf>
    <xf numFmtId="1" fontId="0" fillId="33" borderId="0" xfId="0" applyFill="1" applyBorder="1"/>
    <xf numFmtId="1" fontId="3" fillId="13" borderId="9" xfId="0" applyFont="1" applyFill="1" applyBorder="1" applyAlignment="1" applyProtection="1">
      <alignment horizontal="center" vertical="top" wrapText="1"/>
      <protection locked="0"/>
    </xf>
    <xf numFmtId="1" fontId="4" fillId="13" borderId="7" xfId="0" applyFont="1" applyFill="1" applyBorder="1" applyAlignment="1" applyProtection="1">
      <alignment horizontal="left" vertical="top" wrapText="1"/>
      <protection locked="0"/>
    </xf>
    <xf numFmtId="1" fontId="39" fillId="33" borderId="0" xfId="0" applyFont="1" applyFill="1" applyBorder="1" applyAlignment="1" applyProtection="1">
      <alignment horizontal="right" vertical="top" wrapText="1"/>
      <protection locked="0"/>
    </xf>
    <xf numFmtId="1" fontId="3" fillId="9" borderId="0" xfId="0" applyFont="1" applyFill="1" applyBorder="1" applyAlignment="1" applyProtection="1">
      <alignment horizontal="center" vertical="top" wrapText="1"/>
      <protection locked="0"/>
    </xf>
    <xf numFmtId="1" fontId="0" fillId="0" borderId="0" xfId="0" applyAlignment="1">
      <alignment vertical="top" wrapText="1"/>
    </xf>
    <xf numFmtId="164" fontId="60" fillId="37" borderId="10" xfId="76" applyFont="1" applyFill="1" applyBorder="1" applyAlignment="1">
      <alignment horizontal="left" indent="1"/>
      <protection locked="0"/>
    </xf>
    <xf numFmtId="164" fontId="3" fillId="37" borderId="0" xfId="76" applyFont="1" applyFill="1" applyBorder="1" applyAlignment="1">
      <protection locked="0"/>
    </xf>
    <xf numFmtId="164" fontId="3" fillId="37" borderId="11" xfId="76" applyFont="1" applyFill="1" applyBorder="1" applyAlignment="1">
      <protection locked="0"/>
    </xf>
    <xf numFmtId="164" fontId="3" fillId="7" borderId="10" xfId="76" applyFont="1" applyFill="1" applyBorder="1" applyAlignment="1">
      <alignment horizontal="left" indent="1"/>
      <protection locked="0"/>
    </xf>
    <xf numFmtId="164" fontId="3" fillId="7" borderId="0" xfId="76" applyFont="1" applyFill="1" applyBorder="1" applyAlignment="1">
      <protection locked="0"/>
    </xf>
    <xf numFmtId="164" fontId="3" fillId="7" borderId="11" xfId="76" applyFont="1" applyFill="1" applyBorder="1" applyAlignment="1">
      <protection locked="0"/>
    </xf>
    <xf numFmtId="164" fontId="3" fillId="13" borderId="12" xfId="51" applyFont="1" applyBorder="1" applyAlignment="1">
      <alignment horizontal="left" indent="1"/>
    </xf>
    <xf numFmtId="164" fontId="3" fillId="13" borderId="13" xfId="51" applyFont="1" applyBorder="1" applyAlignment="1"/>
    <xf numFmtId="164" fontId="3" fillId="13" borderId="14" xfId="51" applyFont="1" applyBorder="1" applyAlignment="1"/>
    <xf numFmtId="0" fontId="61" fillId="37" borderId="7" xfId="96" applyFont="1" applyFill="1" applyBorder="1" applyAlignment="1">
      <alignment horizontal="left" indent="1"/>
    </xf>
    <xf numFmtId="0" fontId="61" fillId="37" borderId="15" xfId="96" applyFont="1" applyFill="1" applyBorder="1"/>
    <xf numFmtId="0" fontId="8" fillId="9" borderId="0" xfId="96" applyFont="1" applyBorder="1" applyAlignment="1">
      <alignment horizontal="left" indent="1"/>
    </xf>
    <xf numFmtId="0" fontId="8" fillId="9" borderId="0" xfId="96" applyFont="1" applyBorder="1"/>
    <xf numFmtId="0" fontId="1" fillId="9" borderId="0" xfId="96" applyBorder="1" applyAlignment="1">
      <alignment horizontal="left" indent="1"/>
    </xf>
    <xf numFmtId="0" fontId="1" fillId="9" borderId="0" xfId="96" applyBorder="1"/>
    <xf numFmtId="0" fontId="62" fillId="37" borderId="16" xfId="99" applyFont="1" applyFill="1" applyBorder="1" applyAlignment="1">
      <alignment horizontal="left" indent="1"/>
    </xf>
    <xf numFmtId="0" fontId="5" fillId="37" borderId="17" xfId="99" applyFont="1" applyFill="1" applyBorder="1" applyAlignment="1"/>
    <xf numFmtId="0" fontId="5" fillId="37" borderId="17" xfId="99" applyFont="1" applyFill="1" applyBorder="1"/>
    <xf numFmtId="0" fontId="5" fillId="37" borderId="18" xfId="99" applyFont="1" applyFill="1" applyBorder="1"/>
    <xf numFmtId="0" fontId="63" fillId="37" borderId="10" xfId="99" applyFont="1" applyFill="1" applyBorder="1" applyAlignment="1">
      <alignment horizontal="left" indent="1"/>
    </xf>
    <xf numFmtId="0" fontId="9" fillId="37" borderId="11" xfId="99" applyFont="1" applyFill="1" applyBorder="1" applyAlignment="1" applyProtection="1">
      <protection locked="0"/>
    </xf>
    <xf numFmtId="0" fontId="60" fillId="37" borderId="10" xfId="99" applyFont="1" applyFill="1" applyBorder="1" applyAlignment="1">
      <alignment horizontal="left" indent="1"/>
    </xf>
    <xf numFmtId="0" fontId="9" fillId="37" borderId="0" xfId="99" applyFont="1" applyFill="1" applyBorder="1"/>
    <xf numFmtId="0" fontId="9" fillId="37" borderId="0" xfId="99" applyFont="1" applyFill="1" applyBorder="1" applyAlignment="1">
      <alignment horizontal="right" indent="1"/>
    </xf>
    <xf numFmtId="0" fontId="64" fillId="7" borderId="19" xfId="99" applyFont="1" applyFill="1" applyBorder="1" applyAlignment="1" applyProtection="1">
      <alignment horizontal="left"/>
      <protection locked="0"/>
    </xf>
    <xf numFmtId="0" fontId="5" fillId="37" borderId="11" xfId="99" applyFont="1" applyFill="1" applyBorder="1" applyProtection="1">
      <protection locked="0"/>
    </xf>
    <xf numFmtId="0" fontId="5" fillId="37" borderId="0" xfId="99" applyFont="1" applyFill="1" applyBorder="1"/>
    <xf numFmtId="0" fontId="5" fillId="37" borderId="11" xfId="99" applyFont="1" applyFill="1" applyBorder="1"/>
    <xf numFmtId="0" fontId="5" fillId="37" borderId="11" xfId="99" applyFont="1" applyFill="1" applyBorder="1" applyAlignment="1" applyProtection="1">
      <protection locked="0"/>
    </xf>
    <xf numFmtId="0" fontId="62" fillId="37" borderId="10" xfId="99" applyFont="1" applyFill="1" applyBorder="1" applyAlignment="1">
      <alignment horizontal="left" indent="1"/>
    </xf>
    <xf numFmtId="0" fontId="62" fillId="37" borderId="12" xfId="99" applyFont="1" applyFill="1" applyBorder="1" applyAlignment="1">
      <alignment horizontal="left" indent="1"/>
    </xf>
    <xf numFmtId="0" fontId="5" fillId="37" borderId="13" xfId="99" applyFont="1" applyFill="1" applyBorder="1" applyAlignment="1"/>
    <xf numFmtId="0" fontId="5" fillId="37" borderId="13" xfId="99" applyFont="1" applyFill="1" applyBorder="1"/>
    <xf numFmtId="0" fontId="5" fillId="37" borderId="14" xfId="99" applyFont="1" applyFill="1" applyBorder="1"/>
    <xf numFmtId="0" fontId="65" fillId="37" borderId="20" xfId="94" applyFont="1" applyFill="1" applyBorder="1"/>
    <xf numFmtId="0" fontId="65" fillId="37" borderId="21" xfId="94" applyFont="1" applyFill="1" applyBorder="1"/>
    <xf numFmtId="0" fontId="65" fillId="37" borderId="22" xfId="94" applyFont="1" applyFill="1" applyBorder="1"/>
    <xf numFmtId="0" fontId="65" fillId="37" borderId="23" xfId="94" applyFont="1" applyFill="1" applyBorder="1"/>
    <xf numFmtId="0" fontId="65" fillId="37" borderId="0" xfId="94" applyFont="1" applyFill="1" applyBorder="1" applyAlignment="1">
      <alignment horizontal="center" vertical="center"/>
    </xf>
    <xf numFmtId="0" fontId="66" fillId="37" borderId="0" xfId="94" applyFont="1" applyFill="1" applyBorder="1" applyAlignment="1">
      <alignment horizontal="center" vertical="center"/>
    </xf>
    <xf numFmtId="0" fontId="65" fillId="37" borderId="24" xfId="94" applyFont="1" applyFill="1" applyBorder="1" applyAlignment="1">
      <alignment vertical="center"/>
    </xf>
    <xf numFmtId="0" fontId="65" fillId="37" borderId="0" xfId="94" applyFont="1" applyFill="1" applyBorder="1"/>
    <xf numFmtId="0" fontId="67" fillId="37" borderId="0" xfId="94" applyFont="1" applyFill="1" applyBorder="1"/>
    <xf numFmtId="0" fontId="68" fillId="37" borderId="0" xfId="73" applyFont="1" applyFill="1" applyBorder="1" applyAlignment="1" applyProtection="1"/>
    <xf numFmtId="0" fontId="13" fillId="38" borderId="20" xfId="94" applyFont="1" applyFill="1" applyBorder="1" applyAlignment="1">
      <alignment vertical="center"/>
    </xf>
    <xf numFmtId="0" fontId="3" fillId="38" borderId="21" xfId="94" applyFont="1" applyFill="1" applyBorder="1" applyAlignment="1">
      <alignment vertical="center"/>
    </xf>
    <xf numFmtId="0" fontId="3" fillId="38" borderId="22" xfId="94" applyFont="1" applyFill="1" applyBorder="1" applyAlignment="1">
      <alignment vertical="center"/>
    </xf>
    <xf numFmtId="0" fontId="13" fillId="38" borderId="10" xfId="94" applyFont="1" applyFill="1" applyBorder="1" applyAlignment="1">
      <alignment vertical="center"/>
    </xf>
    <xf numFmtId="0" fontId="3" fillId="38" borderId="0" xfId="94" applyFont="1" applyFill="1" applyBorder="1" applyAlignment="1">
      <alignment vertical="center"/>
    </xf>
    <xf numFmtId="0" fontId="13" fillId="38" borderId="11" xfId="94" applyFont="1" applyFill="1" applyBorder="1" applyAlignment="1">
      <alignment vertical="center"/>
    </xf>
    <xf numFmtId="0" fontId="10" fillId="38" borderId="0" xfId="94" applyFont="1" applyFill="1" applyBorder="1" applyAlignment="1">
      <alignment vertical="center"/>
    </xf>
    <xf numFmtId="0" fontId="13" fillId="38" borderId="0" xfId="94" applyFont="1" applyFill="1" applyBorder="1" applyAlignment="1">
      <alignment vertical="center"/>
    </xf>
    <xf numFmtId="0" fontId="14" fillId="38" borderId="0" xfId="94" applyFont="1" applyFill="1" applyBorder="1" applyAlignment="1">
      <alignment horizontal="left" vertical="center"/>
    </xf>
    <xf numFmtId="0" fontId="10" fillId="38" borderId="12" xfId="94" applyFont="1" applyFill="1" applyBorder="1"/>
    <xf numFmtId="0" fontId="3" fillId="38" borderId="13" xfId="94" applyFont="1" applyFill="1" applyBorder="1" applyAlignment="1">
      <alignment vertical="center"/>
    </xf>
    <xf numFmtId="0" fontId="10" fillId="38" borderId="13" xfId="94" applyFont="1" applyFill="1" applyBorder="1"/>
    <xf numFmtId="0" fontId="10" fillId="38" borderId="14" xfId="94" applyFont="1" applyFill="1" applyBorder="1"/>
    <xf numFmtId="167" fontId="9" fillId="37" borderId="6" xfId="99" quotePrefix="1" applyNumberFormat="1" applyFont="1" applyFill="1" applyBorder="1" applyAlignment="1">
      <alignment horizontal="left" vertical="center" wrapText="1" indent="1"/>
    </xf>
    <xf numFmtId="0" fontId="64" fillId="7" borderId="15" xfId="99" applyNumberFormat="1" applyFont="1" applyFill="1" applyBorder="1" applyAlignment="1">
      <alignment horizontal="center"/>
    </xf>
    <xf numFmtId="0" fontId="5" fillId="9" borderId="0" xfId="99"/>
    <xf numFmtId="166" fontId="64" fillId="7" borderId="15" xfId="99" applyNumberFormat="1" applyFont="1" applyFill="1" applyBorder="1" applyAlignment="1">
      <alignment horizontal="center"/>
    </xf>
    <xf numFmtId="0" fontId="4" fillId="9" borderId="0" xfId="99" applyFont="1"/>
    <xf numFmtId="167" fontId="29" fillId="37" borderId="6" xfId="99" quotePrefix="1" applyNumberFormat="1" applyFont="1" applyFill="1" applyBorder="1" applyAlignment="1">
      <alignment horizontal="center" vertical="center" wrapText="1"/>
    </xf>
    <xf numFmtId="49" fontId="29" fillId="37" borderId="6" xfId="99" applyNumberFormat="1" applyFont="1" applyFill="1" applyBorder="1" applyAlignment="1">
      <alignment horizontal="center" vertical="center" wrapText="1"/>
    </xf>
    <xf numFmtId="166" fontId="64" fillId="7" borderId="6" xfId="99" applyNumberFormat="1" applyFont="1" applyFill="1" applyBorder="1" applyAlignment="1">
      <alignment horizontal="center"/>
    </xf>
    <xf numFmtId="166" fontId="5" fillId="7" borderId="6" xfId="99" applyNumberFormat="1" applyFont="1" applyFill="1" applyBorder="1" applyAlignment="1">
      <alignment horizontal="left"/>
    </xf>
    <xf numFmtId="167" fontId="42" fillId="39" borderId="7" xfId="99" quotePrefix="1" applyNumberFormat="1" applyFont="1" applyFill="1" applyBorder="1" applyAlignment="1">
      <alignment horizontal="left" vertical="center" wrapText="1"/>
    </xf>
    <xf numFmtId="0" fontId="37" fillId="39" borderId="8" xfId="99" applyFont="1" applyFill="1" applyBorder="1"/>
    <xf numFmtId="0" fontId="37" fillId="39" borderId="15" xfId="99" applyFont="1" applyFill="1" applyBorder="1"/>
    <xf numFmtId="49" fontId="9" fillId="39" borderId="6" xfId="98" applyNumberFormat="1" applyFont="1" applyFill="1" applyBorder="1"/>
    <xf numFmtId="49" fontId="3" fillId="39" borderId="6" xfId="98" applyNumberFormat="1" applyFont="1" applyFill="1" applyBorder="1" applyAlignment="1">
      <alignment horizontal="center"/>
    </xf>
    <xf numFmtId="49" fontId="9" fillId="40" borderId="6" xfId="98" applyNumberFormat="1" applyFont="1" applyFill="1" applyBorder="1" applyAlignment="1">
      <alignment horizontal="left" indent="1"/>
    </xf>
    <xf numFmtId="49" fontId="9" fillId="36" borderId="6" xfId="98" applyNumberFormat="1" applyFont="1" applyFill="1" applyBorder="1"/>
    <xf numFmtId="49" fontId="9" fillId="36" borderId="7" xfId="98" applyNumberFormat="1" applyFont="1" applyFill="1" applyBorder="1"/>
    <xf numFmtId="2" fontId="29" fillId="37" borderId="6" xfId="99" applyNumberFormat="1" applyFont="1" applyFill="1" applyBorder="1" applyAlignment="1">
      <alignment horizontal="center" vertical="center" wrapText="1"/>
    </xf>
    <xf numFmtId="166" fontId="9" fillId="37" borderId="6" xfId="99" applyNumberFormat="1" applyFont="1" applyFill="1" applyBorder="1" applyAlignment="1">
      <alignment horizontal="left"/>
    </xf>
    <xf numFmtId="0" fontId="9" fillId="37" borderId="6" xfId="99" applyFont="1" applyFill="1" applyBorder="1"/>
    <xf numFmtId="2" fontId="9" fillId="37" borderId="6" xfId="61" applyNumberFormat="1" applyFont="1" applyFill="1" applyBorder="1" applyAlignment="1">
      <alignment horizontal="center"/>
    </xf>
    <xf numFmtId="43" fontId="64" fillId="7" borderId="6" xfId="61" applyFont="1" applyFill="1" applyBorder="1" applyAlignment="1">
      <alignment horizontal="left" indent="1"/>
    </xf>
    <xf numFmtId="49" fontId="9" fillId="37" borderId="6" xfId="99" applyNumberFormat="1" applyFont="1" applyFill="1" applyBorder="1" applyAlignment="1">
      <alignment horizontal="left" indent="1"/>
    </xf>
    <xf numFmtId="166" fontId="5" fillId="40" borderId="6" xfId="99" applyNumberFormat="1" applyFont="1" applyFill="1" applyBorder="1" applyAlignment="1">
      <alignment horizontal="left" indent="1"/>
    </xf>
    <xf numFmtId="49" fontId="9" fillId="31" borderId="6" xfId="99" applyNumberFormat="1" applyFont="1" applyFill="1" applyBorder="1" applyAlignment="1">
      <alignment horizontal="left" indent="1"/>
    </xf>
    <xf numFmtId="49" fontId="9" fillId="37" borderId="6" xfId="99" applyNumberFormat="1" applyFont="1" applyFill="1" applyBorder="1" applyAlignment="1">
      <alignment horizontal="left" wrapText="1" indent="1"/>
    </xf>
    <xf numFmtId="166" fontId="5" fillId="39" borderId="7" xfId="99" applyNumberFormat="1" applyFont="1" applyFill="1" applyBorder="1" applyAlignment="1">
      <alignment horizontal="left" indent="1"/>
    </xf>
    <xf numFmtId="0" fontId="3" fillId="39" borderId="8" xfId="99" applyFont="1" applyFill="1" applyBorder="1"/>
    <xf numFmtId="2" fontId="5" fillId="39" borderId="8" xfId="61" applyNumberFormat="1" applyFont="1" applyFill="1" applyBorder="1" applyAlignment="1">
      <alignment horizontal="center"/>
    </xf>
    <xf numFmtId="2" fontId="5" fillId="39" borderId="15" xfId="61" applyNumberFormat="1" applyFont="1" applyFill="1" applyBorder="1" applyAlignment="1">
      <alignment horizontal="center"/>
    </xf>
    <xf numFmtId="43" fontId="64" fillId="7" borderId="6" xfId="61" applyFont="1" applyFill="1" applyBorder="1" applyAlignment="1">
      <alignment horizontal="right" indent="1"/>
    </xf>
    <xf numFmtId="49" fontId="9" fillId="37" borderId="6" xfId="102" applyNumberFormat="1" applyFont="1" applyFill="1" applyBorder="1" applyAlignment="1">
      <alignment horizontal="left" vertical="center" wrapText="1" indent="1"/>
    </xf>
    <xf numFmtId="166" fontId="5" fillId="40" borderId="6" xfId="99" applyNumberFormat="1" applyFont="1" applyFill="1" applyBorder="1" applyAlignment="1">
      <alignment horizontal="left"/>
    </xf>
    <xf numFmtId="166" fontId="5" fillId="39" borderId="7" xfId="99" applyNumberFormat="1" applyFont="1" applyFill="1" applyBorder="1" applyAlignment="1">
      <alignment horizontal="left"/>
    </xf>
    <xf numFmtId="49" fontId="29" fillId="37" borderId="7" xfId="99" applyNumberFormat="1" applyFont="1" applyFill="1" applyBorder="1" applyAlignment="1">
      <alignment horizontal="center" vertical="center" wrapText="1"/>
    </xf>
    <xf numFmtId="167" fontId="9" fillId="37" borderId="6" xfId="99" quotePrefix="1" applyNumberFormat="1" applyFont="1" applyFill="1" applyBorder="1" applyAlignment="1">
      <alignment horizontal="right" vertical="center" wrapText="1"/>
    </xf>
    <xf numFmtId="49" fontId="29" fillId="37" borderId="8" xfId="99" applyNumberFormat="1" applyFont="1" applyFill="1" applyBorder="1" applyAlignment="1">
      <alignment horizontal="center" vertical="center" wrapText="1"/>
    </xf>
    <xf numFmtId="49" fontId="29" fillId="37" borderId="6" xfId="101" applyNumberFormat="1" applyFont="1" applyFill="1" applyBorder="1" applyAlignment="1">
      <alignment horizontal="center" vertical="center" wrapText="1"/>
    </xf>
    <xf numFmtId="164" fontId="29" fillId="37" borderId="6" xfId="101" applyNumberFormat="1" applyFont="1" applyFill="1" applyBorder="1" applyAlignment="1">
      <alignment horizontal="right" vertical="center" wrapText="1"/>
    </xf>
    <xf numFmtId="49" fontId="29" fillId="37" borderId="6" xfId="101" applyNumberFormat="1" applyFont="1" applyFill="1" applyBorder="1" applyAlignment="1">
      <alignment horizontal="center"/>
    </xf>
    <xf numFmtId="166" fontId="9" fillId="37" borderId="25" xfId="61" applyNumberFormat="1" applyFont="1" applyFill="1" applyBorder="1" applyAlignment="1">
      <alignment horizontal="right" vertical="center"/>
    </xf>
    <xf numFmtId="0" fontId="64" fillId="7" borderId="6" xfId="101" applyNumberFormat="1" applyFont="1" applyFill="1" applyBorder="1" applyAlignment="1">
      <alignment horizontal="left" indent="1"/>
    </xf>
    <xf numFmtId="10" fontId="64" fillId="7" borderId="6" xfId="101" applyNumberFormat="1" applyFont="1" applyFill="1" applyBorder="1" applyAlignment="1">
      <alignment horizontal="right"/>
    </xf>
    <xf numFmtId="49" fontId="3" fillId="13" borderId="6" xfId="101" applyNumberFormat="1" applyFont="1" applyFill="1" applyBorder="1" applyAlignment="1">
      <alignment horizontal="right"/>
    </xf>
    <xf numFmtId="49" fontId="29" fillId="37" borderId="6" xfId="101" applyNumberFormat="1" applyFont="1" applyFill="1" applyBorder="1" applyAlignment="1">
      <alignment horizontal="right" vertical="center" wrapText="1"/>
    </xf>
    <xf numFmtId="49" fontId="29" fillId="37" borderId="25" xfId="101" applyNumberFormat="1" applyFont="1" applyFill="1" applyBorder="1" applyAlignment="1">
      <alignment horizontal="center"/>
    </xf>
    <xf numFmtId="10" fontId="64" fillId="7" borderId="6" xfId="101" applyNumberFormat="1" applyFont="1" applyFill="1" applyBorder="1" applyAlignment="1"/>
    <xf numFmtId="43" fontId="5" fillId="13" borderId="6" xfId="61" applyFont="1" applyFill="1" applyBorder="1" applyAlignment="1"/>
    <xf numFmtId="0" fontId="64" fillId="7" borderId="6" xfId="61" applyNumberFormat="1" applyFont="1" applyFill="1" applyBorder="1" applyAlignment="1">
      <alignment horizontal="left" indent="1"/>
    </xf>
    <xf numFmtId="41" fontId="9" fillId="37" borderId="7" xfId="99" applyNumberFormat="1" applyFont="1" applyFill="1" applyBorder="1" applyAlignment="1">
      <alignment horizontal="left" indent="1"/>
    </xf>
    <xf numFmtId="0" fontId="9" fillId="40" borderId="6" xfId="99" applyNumberFormat="1" applyFont="1" applyFill="1" applyBorder="1" applyAlignment="1">
      <alignment horizontal="left" indent="1"/>
    </xf>
    <xf numFmtId="166" fontId="70" fillId="39" borderId="7" xfId="99" applyNumberFormat="1" applyFont="1" applyFill="1" applyBorder="1" applyAlignment="1">
      <alignment horizontal="left" indent="1"/>
    </xf>
    <xf numFmtId="41" fontId="71" fillId="39" borderId="8" xfId="99" applyNumberFormat="1" applyFont="1" applyFill="1" applyBorder="1"/>
    <xf numFmtId="167" fontId="29" fillId="37" borderId="7" xfId="99" quotePrefix="1" applyNumberFormat="1" applyFont="1" applyFill="1" applyBorder="1" applyAlignment="1">
      <alignment horizontal="center" vertical="center" wrapText="1"/>
    </xf>
    <xf numFmtId="164" fontId="29" fillId="37" borderId="6" xfId="101" applyNumberFormat="1" applyFont="1" applyFill="1" applyBorder="1" applyAlignment="1">
      <alignment horizontal="center" vertical="center" wrapText="1"/>
    </xf>
    <xf numFmtId="49" fontId="9" fillId="37" borderId="25" xfId="101" applyNumberFormat="1" applyFont="1" applyFill="1" applyBorder="1" applyAlignment="1">
      <alignment horizontal="center"/>
    </xf>
    <xf numFmtId="2" fontId="9" fillId="37" borderId="6" xfId="61" applyNumberFormat="1" applyFont="1" applyFill="1" applyBorder="1" applyAlignment="1">
      <alignment horizontal="center" wrapText="1"/>
    </xf>
    <xf numFmtId="168" fontId="72" fillId="7" borderId="6" xfId="101" applyNumberFormat="1" applyFont="1" applyFill="1" applyBorder="1" applyAlignment="1">
      <alignment horizontal="left" indent="1"/>
    </xf>
    <xf numFmtId="168" fontId="5" fillId="35" borderId="6" xfId="101" applyNumberFormat="1" applyFont="1" applyFill="1" applyBorder="1" applyAlignment="1">
      <alignment horizontal="left" indent="1"/>
    </xf>
    <xf numFmtId="168" fontId="72" fillId="7" borderId="6" xfId="101" applyNumberFormat="1" applyFont="1" applyFill="1" applyBorder="1"/>
    <xf numFmtId="168" fontId="5" fillId="7" borderId="6" xfId="101" applyNumberFormat="1" applyFont="1" applyFill="1" applyBorder="1" applyAlignment="1">
      <alignment horizontal="left" indent="1"/>
    </xf>
    <xf numFmtId="167" fontId="29" fillId="37" borderId="6" xfId="103" applyNumberFormat="1" applyFont="1" applyFill="1" applyBorder="1" applyAlignment="1">
      <alignment horizontal="center" vertical="center" wrapText="1"/>
    </xf>
    <xf numFmtId="49" fontId="29" fillId="37" borderId="6" xfId="103" applyNumberFormat="1" applyFont="1" applyFill="1" applyBorder="1" applyAlignment="1">
      <alignment horizontal="center" vertical="center" wrapText="1"/>
    </xf>
    <xf numFmtId="49" fontId="29" fillId="37" borderId="26" xfId="103" applyNumberFormat="1" applyFont="1" applyFill="1" applyBorder="1" applyAlignment="1">
      <alignment horizontal="center" vertical="center" wrapText="1"/>
    </xf>
    <xf numFmtId="166" fontId="62" fillId="37" borderId="6" xfId="103" applyNumberFormat="1" applyFont="1" applyFill="1" applyBorder="1" applyAlignment="1">
      <alignment horizontal="left"/>
    </xf>
    <xf numFmtId="166" fontId="64" fillId="7" borderId="26" xfId="103" applyNumberFormat="1" applyFont="1" applyFill="1" applyBorder="1" applyAlignment="1">
      <alignment vertical="top"/>
    </xf>
    <xf numFmtId="49" fontId="29" fillId="37" borderId="6" xfId="103" applyNumberFormat="1" applyFont="1" applyFill="1" applyBorder="1" applyAlignment="1">
      <alignment horizontal="left" vertical="center" wrapText="1"/>
    </xf>
    <xf numFmtId="167" fontId="9" fillId="37" borderId="6" xfId="0" applyNumberFormat="1" applyFont="1" applyFill="1" applyBorder="1" applyAlignment="1">
      <alignment horizontal="left" vertical="center" wrapText="1" indent="1"/>
    </xf>
    <xf numFmtId="49" fontId="29" fillId="37" borderId="6" xfId="103" applyNumberFormat="1" applyFont="1" applyFill="1" applyBorder="1" applyAlignment="1">
      <alignment horizontal="left" vertical="center" wrapText="1" indent="1"/>
    </xf>
    <xf numFmtId="49" fontId="9" fillId="37" borderId="6" xfId="103" applyNumberFormat="1" applyFont="1" applyFill="1" applyBorder="1" applyAlignment="1">
      <alignment horizontal="left" vertical="center" wrapText="1" indent="1"/>
    </xf>
    <xf numFmtId="166" fontId="3" fillId="9" borderId="0" xfId="99" applyNumberFormat="1" applyFont="1" applyBorder="1" applyAlignment="1">
      <alignment horizontal="left"/>
    </xf>
    <xf numFmtId="164" fontId="5" fillId="9" borderId="0" xfId="99" applyNumberFormat="1" applyFont="1" applyBorder="1" applyAlignment="1">
      <alignment horizontal="center"/>
    </xf>
    <xf numFmtId="167" fontId="9" fillId="37" borderId="6" xfId="99" quotePrefix="1" applyNumberFormat="1" applyFont="1" applyFill="1" applyBorder="1" applyAlignment="1">
      <alignment vertical="center" wrapText="1"/>
    </xf>
    <xf numFmtId="14" fontId="64" fillId="7" borderId="15" xfId="99" applyNumberFormat="1" applyFont="1" applyFill="1" applyBorder="1" applyAlignment="1">
      <alignment horizontal="center"/>
    </xf>
    <xf numFmtId="167" fontId="5" fillId="39" borderId="15" xfId="0" applyNumberFormat="1" applyFont="1" applyFill="1" applyBorder="1" applyAlignment="1">
      <alignment horizontal="left" vertical="center" wrapText="1" indent="1"/>
    </xf>
    <xf numFmtId="167" fontId="5" fillId="39" borderId="8" xfId="0" applyNumberFormat="1" applyFont="1" applyFill="1" applyBorder="1" applyAlignment="1">
      <alignment horizontal="left" vertical="center" wrapText="1" indent="1"/>
    </xf>
    <xf numFmtId="49" fontId="43" fillId="37" borderId="0" xfId="103" applyNumberFormat="1" applyFont="1" applyFill="1" applyBorder="1" applyAlignment="1">
      <alignment horizontal="center" vertical="center" wrapText="1"/>
    </xf>
    <xf numFmtId="0" fontId="3" fillId="9" borderId="0" xfId="99" applyFont="1"/>
    <xf numFmtId="0" fontId="5" fillId="9" borderId="0" xfId="99" applyFont="1"/>
    <xf numFmtId="49" fontId="3" fillId="39" borderId="8" xfId="101" applyNumberFormat="1" applyFont="1" applyFill="1" applyBorder="1" applyAlignment="1">
      <alignment horizontal="center" vertical="center" wrapText="1"/>
    </xf>
    <xf numFmtId="49" fontId="3" fillId="39" borderId="15" xfId="101" applyNumberFormat="1" applyFont="1" applyFill="1" applyBorder="1" applyAlignment="1">
      <alignment horizontal="center" vertical="center" wrapText="1"/>
    </xf>
    <xf numFmtId="49" fontId="9" fillId="37" borderId="6" xfId="101" applyNumberFormat="1" applyFont="1" applyFill="1" applyBorder="1" applyAlignment="1">
      <alignment horizontal="left" vertical="center" wrapText="1" indent="1"/>
    </xf>
    <xf numFmtId="43" fontId="33" fillId="35" borderId="0" xfId="61" applyFont="1" applyFill="1" applyBorder="1" applyAlignment="1" applyProtection="1">
      <alignment horizontal="right"/>
      <protection locked="0"/>
    </xf>
    <xf numFmtId="49" fontId="3" fillId="39" borderId="7" xfId="101" applyNumberFormat="1" applyFont="1" applyFill="1" applyBorder="1" applyAlignment="1">
      <alignment horizontal="left" vertical="center" wrapText="1"/>
    </xf>
    <xf numFmtId="168" fontId="5" fillId="35" borderId="6" xfId="101" applyNumberFormat="1" applyFont="1" applyFill="1" applyBorder="1"/>
    <xf numFmtId="1" fontId="0" fillId="0" borderId="0" xfId="0" applyAlignment="1">
      <alignment vertical="top"/>
    </xf>
    <xf numFmtId="10" fontId="5" fillId="40" borderId="6" xfId="101" applyNumberFormat="1" applyFont="1" applyFill="1" applyBorder="1" applyAlignment="1">
      <alignment horizontal="right"/>
    </xf>
    <xf numFmtId="49" fontId="3" fillId="39" borderId="7" xfId="103" applyNumberFormat="1" applyFont="1" applyFill="1" applyBorder="1" applyAlignment="1">
      <alignment horizontal="left" vertical="center"/>
    </xf>
    <xf numFmtId="1" fontId="0" fillId="0" borderId="0" xfId="0" applyAlignment="1"/>
    <xf numFmtId="3" fontId="64" fillId="7" borderId="6" xfId="99" applyNumberFormat="1" applyFont="1" applyFill="1" applyBorder="1" applyAlignment="1">
      <alignment horizontal="right" indent="1"/>
    </xf>
    <xf numFmtId="0" fontId="2" fillId="0" borderId="0" xfId="99" applyFont="1" applyFill="1"/>
    <xf numFmtId="0" fontId="28" fillId="9" borderId="0" xfId="97" applyFont="1" applyFill="1"/>
    <xf numFmtId="0" fontId="36" fillId="35" borderId="0" xfId="99" applyFont="1" applyFill="1"/>
    <xf numFmtId="0" fontId="37" fillId="35" borderId="0" xfId="99" applyFont="1" applyFill="1"/>
    <xf numFmtId="14" fontId="36" fillId="35" borderId="0" xfId="99" applyNumberFormat="1" applyFont="1" applyFill="1"/>
    <xf numFmtId="14" fontId="36" fillId="35" borderId="0" xfId="99" applyNumberFormat="1" applyFont="1" applyFill="1" applyAlignment="1">
      <alignment horizontal="left"/>
    </xf>
    <xf numFmtId="0" fontId="64" fillId="9" borderId="0" xfId="99" applyFont="1"/>
    <xf numFmtId="172" fontId="72" fillId="7" borderId="6" xfId="101" applyNumberFormat="1" applyFont="1" applyFill="1" applyBorder="1"/>
    <xf numFmtId="0" fontId="64" fillId="7" borderId="6" xfId="101" applyNumberFormat="1" applyFont="1" applyFill="1" applyBorder="1"/>
    <xf numFmtId="172" fontId="64" fillId="7" borderId="6" xfId="101" applyNumberFormat="1" applyFont="1" applyFill="1" applyBorder="1"/>
    <xf numFmtId="0" fontId="73" fillId="9" borderId="0" xfId="98" applyFont="1"/>
    <xf numFmtId="0" fontId="64" fillId="9" borderId="0" xfId="98" applyFont="1"/>
    <xf numFmtId="1" fontId="48" fillId="0" borderId="0" xfId="93" applyAlignment="1">
      <alignment vertical="top"/>
    </xf>
    <xf numFmtId="1" fontId="0" fillId="37" borderId="0" xfId="0" applyFill="1" applyAlignment="1">
      <alignment horizontal="center" vertical="center" wrapText="1"/>
    </xf>
    <xf numFmtId="1" fontId="74" fillId="0" borderId="0" xfId="93" applyFont="1" applyFill="1" applyBorder="1"/>
    <xf numFmtId="1" fontId="48" fillId="0" borderId="0" xfId="93" applyFill="1" applyBorder="1" applyAlignment="1">
      <alignment vertical="top"/>
    </xf>
    <xf numFmtId="1" fontId="0" fillId="0" borderId="0" xfId="0" applyFill="1" applyBorder="1" applyAlignment="1"/>
    <xf numFmtId="1" fontId="0" fillId="0" borderId="0" xfId="0" applyFill="1" applyBorder="1"/>
    <xf numFmtId="1" fontId="75" fillId="0" borderId="0" xfId="93" applyFont="1" applyFill="1" applyBorder="1" applyAlignment="1">
      <alignment horizontal="center" vertical="center" wrapText="1"/>
    </xf>
    <xf numFmtId="1" fontId="0" fillId="0" borderId="0" xfId="0" applyFill="1" applyBorder="1" applyAlignment="1">
      <alignment vertical="top"/>
    </xf>
    <xf numFmtId="1" fontId="0" fillId="0" borderId="0" xfId="0" applyFill="1" applyBorder="1" applyAlignment="1">
      <alignment horizontal="center" vertical="center"/>
    </xf>
    <xf numFmtId="1" fontId="0" fillId="0" borderId="0" xfId="0" applyFill="1" applyBorder="1" applyAlignment="1">
      <alignment vertical="center"/>
    </xf>
    <xf numFmtId="1" fontId="0" fillId="0" borderId="0" xfId="0" applyFill="1" applyBorder="1" applyAlignment="1">
      <alignment vertical="center" wrapText="1"/>
    </xf>
    <xf numFmtId="1" fontId="0" fillId="0" borderId="0" xfId="0" applyFill="1" applyBorder="1" applyAlignment="1">
      <alignment vertical="top" wrapText="1"/>
    </xf>
    <xf numFmtId="49" fontId="3" fillId="39" borderId="8" xfId="101" applyNumberFormat="1" applyFont="1" applyFill="1" applyBorder="1" applyAlignment="1">
      <alignment horizontal="center" vertical="center" wrapText="1"/>
    </xf>
    <xf numFmtId="49" fontId="3" fillId="39" borderId="8" xfId="101" applyNumberFormat="1" applyFont="1" applyFill="1" applyBorder="1" applyAlignment="1">
      <alignment horizontal="center" vertical="center" wrapText="1"/>
    </xf>
    <xf numFmtId="0" fontId="76" fillId="9" borderId="0" xfId="96" applyFont="1"/>
    <xf numFmtId="164" fontId="5" fillId="13" borderId="6" xfId="59" applyNumberFormat="1" applyFont="1" applyFill="1" applyBorder="1" applyAlignment="1">
      <alignment horizontal="right"/>
    </xf>
    <xf numFmtId="164" fontId="64" fillId="7" borderId="6" xfId="59" applyNumberFormat="1" applyFont="1" applyFill="1" applyBorder="1" applyAlignment="1">
      <alignment horizontal="right"/>
    </xf>
    <xf numFmtId="0" fontId="76" fillId="9" borderId="0" xfId="98" applyFont="1"/>
    <xf numFmtId="164" fontId="5" fillId="13" borderId="6" xfId="61" applyNumberFormat="1" applyFont="1" applyFill="1" applyBorder="1" applyAlignment="1">
      <alignment horizontal="right"/>
    </xf>
    <xf numFmtId="164" fontId="64" fillId="7" borderId="6" xfId="61" applyNumberFormat="1" applyFont="1" applyFill="1" applyBorder="1" applyAlignment="1">
      <alignment horizontal="right"/>
    </xf>
    <xf numFmtId="164" fontId="3" fillId="13" borderId="6" xfId="61" applyNumberFormat="1" applyFont="1" applyFill="1" applyBorder="1" applyAlignment="1">
      <alignment horizontal="right"/>
    </xf>
    <xf numFmtId="164" fontId="5" fillId="39" borderId="8" xfId="61" applyNumberFormat="1" applyFont="1" applyFill="1" applyBorder="1" applyAlignment="1">
      <alignment horizontal="center"/>
    </xf>
    <xf numFmtId="164" fontId="5" fillId="39" borderId="15" xfId="61" applyNumberFormat="1" applyFont="1" applyFill="1" applyBorder="1" applyAlignment="1">
      <alignment horizontal="center"/>
    </xf>
    <xf numFmtId="164" fontId="64" fillId="7" borderId="15" xfId="99" applyNumberFormat="1" applyFont="1" applyFill="1" applyBorder="1" applyAlignment="1">
      <alignment horizontal="right" indent="1"/>
    </xf>
    <xf numFmtId="164" fontId="64" fillId="7" borderId="15" xfId="99" applyNumberFormat="1" applyFont="1" applyFill="1" applyBorder="1" applyAlignment="1">
      <alignment horizontal="right"/>
    </xf>
    <xf numFmtId="164" fontId="5" fillId="39" borderId="8" xfId="0" applyNumberFormat="1" applyFont="1" applyFill="1" applyBorder="1" applyAlignment="1">
      <alignment horizontal="left" vertical="center" wrapText="1" indent="1"/>
    </xf>
    <xf numFmtId="164" fontId="5" fillId="39" borderId="15" xfId="0" applyNumberFormat="1" applyFont="1" applyFill="1" applyBorder="1" applyAlignment="1">
      <alignment horizontal="left" vertical="center" wrapText="1" indent="1"/>
    </xf>
    <xf numFmtId="0" fontId="9" fillId="41" borderId="6" xfId="101" applyFont="1" applyFill="1" applyBorder="1" applyAlignment="1">
      <alignment horizontal="left" vertical="center" wrapText="1" indent="1"/>
    </xf>
    <xf numFmtId="0" fontId="4" fillId="0" borderId="0" xfId="100" applyFont="1" applyFill="1" applyAlignment="1">
      <alignment horizontal="left" vertical="center"/>
    </xf>
    <xf numFmtId="0" fontId="32" fillId="9" borderId="0" xfId="99" applyFont="1"/>
    <xf numFmtId="49" fontId="29" fillId="40" borderId="6" xfId="101" applyNumberFormat="1" applyFont="1" applyFill="1" applyBorder="1" applyAlignment="1">
      <alignment horizontal="left" vertical="center" wrapText="1"/>
    </xf>
    <xf numFmtId="49" fontId="77" fillId="42" borderId="6" xfId="101" applyNumberFormat="1" applyFont="1" applyFill="1" applyBorder="1" applyAlignment="1">
      <alignment horizontal="center" vertical="center" wrapText="1"/>
    </xf>
    <xf numFmtId="0" fontId="41" fillId="0" borderId="6" xfId="0" applyNumberFormat="1" applyFont="1" applyBorder="1" applyAlignment="1" applyProtection="1">
      <alignment horizontal="center" wrapText="1"/>
      <protection locked="0"/>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top" wrapText="1"/>
    </xf>
    <xf numFmtId="49" fontId="77" fillId="44" borderId="6" xfId="101" applyNumberFormat="1" applyFont="1" applyFill="1" applyBorder="1" applyAlignment="1">
      <alignment horizontal="center" vertical="center" wrapText="1"/>
    </xf>
    <xf numFmtId="164" fontId="31" fillId="13" borderId="6" xfId="61" applyNumberFormat="1" applyFont="1" applyFill="1" applyBorder="1" applyAlignment="1"/>
    <xf numFmtId="164" fontId="3" fillId="39" borderId="8" xfId="101" applyNumberFormat="1" applyFont="1" applyFill="1" applyBorder="1" applyAlignment="1">
      <alignment horizontal="center" vertical="center" wrapText="1"/>
    </xf>
    <xf numFmtId="164" fontId="30" fillId="13" borderId="6" xfId="61" applyNumberFormat="1" applyFont="1" applyFill="1" applyBorder="1" applyAlignment="1"/>
    <xf numFmtId="164" fontId="3" fillId="39" borderId="15" xfId="101" applyNumberFormat="1" applyFont="1" applyFill="1" applyBorder="1" applyAlignment="1">
      <alignment horizontal="center" vertical="center" wrapText="1"/>
    </xf>
    <xf numFmtId="164" fontId="7" fillId="35" borderId="0" xfId="61" applyNumberFormat="1" applyFont="1" applyFill="1" applyBorder="1" applyAlignment="1" applyProtection="1">
      <alignment horizontal="right"/>
      <protection locked="0"/>
    </xf>
    <xf numFmtId="164" fontId="5" fillId="7" borderId="6" xfId="61" applyNumberFormat="1" applyFont="1" applyFill="1" applyBorder="1" applyAlignment="1">
      <alignment horizontal="right"/>
    </xf>
    <xf numFmtId="0" fontId="33" fillId="35" borderId="0" xfId="61" applyNumberFormat="1" applyFont="1" applyFill="1" applyBorder="1" applyAlignment="1" applyProtection="1">
      <alignment horizontal="right"/>
      <protection locked="0"/>
    </xf>
    <xf numFmtId="0" fontId="33" fillId="35" borderId="28" xfId="61" applyNumberFormat="1" applyFont="1" applyFill="1" applyBorder="1" applyAlignment="1" applyProtection="1">
      <alignment horizontal="right"/>
      <protection locked="0"/>
    </xf>
    <xf numFmtId="0" fontId="7" fillId="35" borderId="0" xfId="61" applyNumberFormat="1" applyFont="1" applyFill="1" applyBorder="1" applyAlignment="1" applyProtection="1">
      <alignment horizontal="right"/>
      <protection locked="0"/>
    </xf>
    <xf numFmtId="0" fontId="7" fillId="35" borderId="28" xfId="61" applyNumberFormat="1" applyFont="1" applyFill="1" applyBorder="1" applyAlignment="1" applyProtection="1">
      <alignment horizontal="right"/>
      <protection locked="0"/>
    </xf>
    <xf numFmtId="164" fontId="9" fillId="36" borderId="19" xfId="98" applyNumberFormat="1" applyFont="1" applyFill="1" applyBorder="1"/>
    <xf numFmtId="164" fontId="9" fillId="39" borderId="19" xfId="98" applyNumberFormat="1" applyFont="1" applyFill="1" applyBorder="1"/>
    <xf numFmtId="164" fontId="64" fillId="7" borderId="6" xfId="101" applyNumberFormat="1" applyFont="1" applyFill="1" applyBorder="1" applyAlignment="1">
      <alignment horizontal="right"/>
    </xf>
    <xf numFmtId="164" fontId="64" fillId="7" borderId="6" xfId="101" applyNumberFormat="1" applyFont="1" applyFill="1" applyBorder="1" applyAlignment="1"/>
    <xf numFmtId="164" fontId="5" fillId="36" borderId="6" xfId="101" applyNumberFormat="1" applyFont="1" applyFill="1" applyBorder="1" applyAlignment="1"/>
    <xf numFmtId="164" fontId="5" fillId="13" borderId="6" xfId="61" applyNumberFormat="1" applyFont="1" applyFill="1" applyBorder="1" applyAlignment="1"/>
    <xf numFmtId="164" fontId="64" fillId="7" borderId="6" xfId="61" applyNumberFormat="1" applyFont="1" applyFill="1" applyBorder="1" applyAlignment="1"/>
    <xf numFmtId="164" fontId="70" fillId="39" borderId="15" xfId="61" applyNumberFormat="1" applyFont="1" applyFill="1" applyBorder="1" applyAlignment="1">
      <alignment horizontal="center" vertical="center"/>
    </xf>
    <xf numFmtId="164" fontId="64" fillId="7" borderId="6" xfId="61" applyNumberFormat="1" applyFont="1" applyFill="1" applyBorder="1"/>
    <xf numFmtId="0" fontId="72" fillId="7" borderId="6" xfId="101" applyNumberFormat="1" applyFont="1" applyFill="1" applyBorder="1" applyAlignment="1">
      <alignment horizontal="left" wrapText="1" indent="1"/>
    </xf>
    <xf numFmtId="0" fontId="5" fillId="7" borderId="6" xfId="101" applyNumberFormat="1" applyFont="1" applyFill="1" applyBorder="1" applyAlignment="1">
      <alignment horizontal="left" wrapText="1"/>
    </xf>
    <xf numFmtId="164" fontId="64" fillId="7" borderId="6" xfId="101" applyNumberFormat="1" applyFont="1" applyFill="1" applyBorder="1"/>
    <xf numFmtId="1" fontId="5" fillId="0" borderId="0" xfId="93" applyFont="1" applyFill="1" applyBorder="1"/>
    <xf numFmtId="1" fontId="5" fillId="0" borderId="0" xfId="93" applyFont="1"/>
    <xf numFmtId="1" fontId="79" fillId="0" borderId="0" xfId="0" applyFont="1" applyFill="1" applyBorder="1" applyAlignment="1"/>
    <xf numFmtId="1" fontId="79" fillId="0" borderId="0" xfId="0" applyFont="1" applyAlignment="1"/>
    <xf numFmtId="166" fontId="70" fillId="39" borderId="6" xfId="61" applyNumberFormat="1" applyFont="1" applyFill="1" applyBorder="1" applyAlignment="1">
      <alignment horizontal="center" vertical="center"/>
    </xf>
    <xf numFmtId="41" fontId="62" fillId="37" borderId="7" xfId="99" applyNumberFormat="1" applyFont="1" applyFill="1" applyBorder="1" applyAlignment="1">
      <alignment horizontal="left" indent="1"/>
    </xf>
    <xf numFmtId="41" fontId="9" fillId="31" borderId="7" xfId="99" applyNumberFormat="1" applyFont="1" applyFill="1" applyBorder="1" applyAlignment="1">
      <alignment horizontal="left" indent="1"/>
    </xf>
    <xf numFmtId="164" fontId="70" fillId="39" borderId="6" xfId="61" applyNumberFormat="1" applyFont="1" applyFill="1" applyBorder="1" applyAlignment="1">
      <alignment horizontal="center" vertical="center"/>
    </xf>
    <xf numFmtId="1" fontId="33" fillId="34" borderId="0" xfId="0" applyFont="1" applyFill="1" applyAlignment="1">
      <alignment horizontal="left" indent="1"/>
    </xf>
    <xf numFmtId="0" fontId="45" fillId="34" borderId="0" xfId="0" applyNumberFormat="1" applyFont="1" applyFill="1"/>
    <xf numFmtId="0" fontId="33" fillId="34" borderId="0" xfId="0" applyNumberFormat="1" applyFont="1" applyFill="1"/>
    <xf numFmtId="1" fontId="80" fillId="34" borderId="0" xfId="0" applyFont="1" applyFill="1" applyAlignment="1">
      <alignment horizontal="left"/>
    </xf>
    <xf numFmtId="1" fontId="33" fillId="34" borderId="0" xfId="0" applyFont="1" applyFill="1" applyAlignment="1">
      <alignment horizontal="left"/>
    </xf>
    <xf numFmtId="1" fontId="37" fillId="0" borderId="36" xfId="93" applyFont="1" applyBorder="1" applyAlignment="1">
      <alignment horizontal="center" vertical="top"/>
    </xf>
    <xf numFmtId="14" fontId="0" fillId="0" borderId="0" xfId="0" applyNumberFormat="1" applyFont="1" applyAlignment="1">
      <alignment vertical="top"/>
    </xf>
    <xf numFmtId="1" fontId="0" fillId="0" borderId="0" xfId="0" applyFont="1" applyAlignment="1">
      <alignment horizontal="center" vertical="top"/>
    </xf>
    <xf numFmtId="0" fontId="0" fillId="0" borderId="0" xfId="0" applyNumberFormat="1" applyFont="1" applyAlignment="1">
      <alignment vertical="top"/>
    </xf>
    <xf numFmtId="0" fontId="0" fillId="0" borderId="0" xfId="0" applyNumberFormat="1" applyFont="1" applyAlignment="1">
      <alignment vertical="top" wrapText="1"/>
    </xf>
    <xf numFmtId="0" fontId="37" fillId="0" borderId="0" xfId="0" applyNumberFormat="1" applyFont="1" applyFill="1" applyAlignment="1">
      <alignment vertical="top" wrapText="1"/>
    </xf>
    <xf numFmtId="0" fontId="0" fillId="0" borderId="0" xfId="0" applyNumberFormat="1" applyFont="1" applyFill="1" applyAlignment="1">
      <alignment vertical="top" wrapText="1"/>
    </xf>
    <xf numFmtId="0" fontId="37" fillId="0" borderId="0" xfId="0" applyNumberFormat="1" applyFont="1" applyAlignment="1">
      <alignment vertical="top"/>
    </xf>
    <xf numFmtId="0" fontId="37" fillId="0" borderId="0" xfId="0" applyNumberFormat="1" applyFont="1" applyAlignment="1">
      <alignment vertical="top" wrapText="1"/>
    </xf>
    <xf numFmtId="0" fontId="37" fillId="0" borderId="36" xfId="0" applyNumberFormat="1" applyFont="1" applyBorder="1" applyAlignment="1">
      <alignment horizontal="left" vertical="top"/>
    </xf>
    <xf numFmtId="0" fontId="37" fillId="0" borderId="36" xfId="0" applyNumberFormat="1" applyFont="1" applyBorder="1" applyAlignment="1">
      <alignment horizontal="left" vertical="top" wrapText="1"/>
    </xf>
    <xf numFmtId="0" fontId="37" fillId="0" borderId="36" xfId="0" applyNumberFormat="1" applyFont="1" applyBorder="1" applyAlignment="1">
      <alignment vertical="top" wrapText="1"/>
    </xf>
    <xf numFmtId="0" fontId="0" fillId="0" borderId="0" xfId="0" applyNumberFormat="1" applyFont="1" applyAlignment="1">
      <alignment horizontal="left" vertical="top"/>
    </xf>
    <xf numFmtId="0" fontId="0" fillId="0" borderId="0" xfId="0" applyNumberFormat="1" applyFont="1" applyAlignment="1">
      <alignment horizontal="left" vertical="top" wrapText="1"/>
    </xf>
    <xf numFmtId="0" fontId="37" fillId="0" borderId="0" xfId="0" applyNumberFormat="1" applyFont="1" applyAlignment="1">
      <alignment horizontal="left" vertical="top"/>
    </xf>
    <xf numFmtId="0" fontId="37" fillId="0" borderId="36" xfId="93" applyNumberFormat="1" applyFont="1" applyBorder="1" applyAlignment="1">
      <alignment horizontal="left" vertical="top"/>
    </xf>
    <xf numFmtId="0" fontId="61" fillId="9" borderId="0" xfId="96" applyFont="1" applyAlignment="1">
      <alignment horizontal="left" indent="1"/>
    </xf>
    <xf numFmtId="0" fontId="61" fillId="9" borderId="0" xfId="96" applyFont="1"/>
    <xf numFmtId="0" fontId="81" fillId="9" borderId="0" xfId="96" applyFont="1"/>
    <xf numFmtId="167" fontId="62" fillId="37" borderId="6" xfId="98" quotePrefix="1" applyNumberFormat="1" applyFont="1" applyFill="1" applyBorder="1" applyAlignment="1">
      <alignment horizontal="left" vertical="center" wrapText="1" indent="1"/>
    </xf>
    <xf numFmtId="49" fontId="62" fillId="37" borderId="6" xfId="98" applyNumberFormat="1" applyFont="1" applyFill="1" applyBorder="1" applyAlignment="1">
      <alignment horizontal="left" indent="1"/>
    </xf>
    <xf numFmtId="49" fontId="62" fillId="37" borderId="6" xfId="99" applyNumberFormat="1" applyFont="1" applyFill="1" applyBorder="1" applyAlignment="1">
      <alignment horizontal="left" indent="1"/>
    </xf>
    <xf numFmtId="49" fontId="62" fillId="37" borderId="6" xfId="99" applyNumberFormat="1" applyFont="1" applyFill="1" applyBorder="1" applyAlignment="1">
      <alignment horizontal="left" wrapText="1" indent="1"/>
    </xf>
    <xf numFmtId="167" fontId="60" fillId="37" borderId="8" xfId="99" quotePrefix="1" applyNumberFormat="1" applyFont="1" applyFill="1" applyBorder="1" applyAlignment="1">
      <alignment horizontal="left" vertical="center" wrapText="1"/>
    </xf>
    <xf numFmtId="41" fontId="60" fillId="31" borderId="7" xfId="99" applyNumberFormat="1" applyFont="1" applyFill="1" applyBorder="1" applyAlignment="1">
      <alignment horizontal="left" vertical="center"/>
    </xf>
    <xf numFmtId="41" fontId="3" fillId="39" borderId="8" xfId="99" applyNumberFormat="1" applyFont="1" applyFill="1" applyBorder="1"/>
    <xf numFmtId="41" fontId="62" fillId="31" borderId="7" xfId="99" applyNumberFormat="1" applyFont="1" applyFill="1" applyBorder="1" applyAlignment="1">
      <alignment horizontal="left" indent="1"/>
    </xf>
    <xf numFmtId="41" fontId="60" fillId="31" borderId="7" xfId="99" applyNumberFormat="1" applyFont="1" applyFill="1" applyBorder="1" applyAlignment="1">
      <alignment horizontal="left"/>
    </xf>
    <xf numFmtId="41" fontId="9" fillId="31" borderId="7" xfId="99" applyNumberFormat="1" applyFont="1" applyFill="1" applyBorder="1" applyAlignment="1">
      <alignment horizontal="left"/>
    </xf>
    <xf numFmtId="1" fontId="62" fillId="0" borderId="0" xfId="0" applyFont="1"/>
    <xf numFmtId="166" fontId="62" fillId="37" borderId="25" xfId="61" applyNumberFormat="1" applyFont="1" applyFill="1" applyBorder="1" applyAlignment="1">
      <alignment horizontal="center" vertical="center"/>
    </xf>
    <xf numFmtId="2" fontId="62" fillId="37" borderId="25" xfId="59" applyNumberFormat="1" applyFont="1" applyFill="1" applyBorder="1" applyAlignment="1">
      <alignment horizontal="center" vertical="center"/>
    </xf>
    <xf numFmtId="1" fontId="62" fillId="37" borderId="25" xfId="59" applyNumberFormat="1" applyFont="1" applyFill="1" applyBorder="1" applyAlignment="1">
      <alignment horizontal="center" vertical="center"/>
    </xf>
    <xf numFmtId="1" fontId="82" fillId="0" borderId="0" xfId="0" applyFont="1"/>
    <xf numFmtId="49" fontId="60" fillId="45" borderId="27" xfId="101" applyNumberFormat="1" applyFont="1" applyFill="1" applyBorder="1" applyAlignment="1">
      <alignment horizontal="center" vertical="center" wrapText="1"/>
    </xf>
    <xf numFmtId="49" fontId="60" fillId="46" borderId="6" xfId="101" applyNumberFormat="1" applyFont="1" applyFill="1" applyBorder="1" applyAlignment="1">
      <alignment horizontal="center" vertical="center" wrapText="1"/>
    </xf>
    <xf numFmtId="49" fontId="60" fillId="46" borderId="27" xfId="101" applyNumberFormat="1" applyFont="1" applyFill="1" applyBorder="1" applyAlignment="1">
      <alignment horizontal="center" vertical="center" wrapText="1"/>
    </xf>
    <xf numFmtId="49" fontId="60" fillId="42" borderId="27" xfId="101" applyNumberFormat="1" applyFont="1" applyFill="1" applyBorder="1" applyAlignment="1">
      <alignment horizontal="center" vertical="center" wrapText="1"/>
    </xf>
    <xf numFmtId="49" fontId="60" fillId="44" borderId="27" xfId="101" applyNumberFormat="1" applyFont="1" applyFill="1" applyBorder="1" applyAlignment="1">
      <alignment horizontal="center" vertical="center" wrapText="1"/>
    </xf>
    <xf numFmtId="49" fontId="60" fillId="46" borderId="8" xfId="101" applyNumberFormat="1" applyFont="1" applyFill="1" applyBorder="1" applyAlignment="1">
      <alignment horizontal="center" vertical="center" wrapText="1"/>
    </xf>
    <xf numFmtId="49" fontId="60" fillId="42" borderId="8" xfId="101" applyNumberFormat="1" applyFont="1" applyFill="1" applyBorder="1" applyAlignment="1">
      <alignment horizontal="center" vertical="center" wrapText="1"/>
    </xf>
    <xf numFmtId="49" fontId="60" fillId="42" borderId="7" xfId="101" applyNumberFormat="1" applyFont="1" applyFill="1" applyBorder="1" applyAlignment="1">
      <alignment horizontal="center" vertical="center" wrapText="1"/>
    </xf>
    <xf numFmtId="49" fontId="60" fillId="42" borderId="15" xfId="101" applyNumberFormat="1" applyFont="1" applyFill="1" applyBorder="1" applyAlignment="1">
      <alignment horizontal="center" vertical="center" wrapText="1"/>
    </xf>
    <xf numFmtId="49" fontId="60" fillId="44" borderId="8" xfId="101" applyNumberFormat="1" applyFont="1" applyFill="1" applyBorder="1" applyAlignment="1">
      <alignment horizontal="center" vertical="center" wrapText="1"/>
    </xf>
    <xf numFmtId="49" fontId="60" fillId="44" borderId="7" xfId="101" applyNumberFormat="1" applyFont="1" applyFill="1" applyBorder="1" applyAlignment="1">
      <alignment horizontal="center" vertical="center" wrapText="1"/>
    </xf>
    <xf numFmtId="49" fontId="60" fillId="44" borderId="15" xfId="101" applyNumberFormat="1" applyFont="1" applyFill="1" applyBorder="1" applyAlignment="1">
      <alignment horizontal="center" vertical="center" wrapText="1"/>
    </xf>
    <xf numFmtId="0" fontId="44" fillId="9" borderId="0" xfId="99" applyFont="1"/>
    <xf numFmtId="0" fontId="79" fillId="0" borderId="0" xfId="0" applyNumberFormat="1" applyFont="1" applyAlignment="1">
      <alignment vertical="top" wrapText="1"/>
    </xf>
    <xf numFmtId="49" fontId="62" fillId="31" borderId="6" xfId="99" applyNumberFormat="1" applyFont="1" applyFill="1" applyBorder="1" applyAlignment="1">
      <alignment horizontal="left"/>
    </xf>
    <xf numFmtId="1" fontId="79" fillId="0" borderId="0" xfId="0" applyFont="1" applyFill="1" applyBorder="1"/>
    <xf numFmtId="1" fontId="79" fillId="0" borderId="0" xfId="0" applyFont="1"/>
    <xf numFmtId="169" fontId="70" fillId="39" borderId="6" xfId="98" quotePrefix="1" applyNumberFormat="1" applyFont="1" applyFill="1" applyBorder="1" applyAlignment="1">
      <alignment horizontal="center" vertical="center" wrapText="1"/>
    </xf>
    <xf numFmtId="10" fontId="56" fillId="41" borderId="6" xfId="108" applyNumberFormat="1" applyFont="1" applyFill="1" applyBorder="1" applyProtection="1">
      <protection locked="0"/>
    </xf>
    <xf numFmtId="164" fontId="56" fillId="36" borderId="6" xfId="0" applyNumberFormat="1" applyFont="1" applyFill="1" applyBorder="1"/>
    <xf numFmtId="1" fontId="5" fillId="36" borderId="6" xfId="0" applyFont="1" applyFill="1" applyBorder="1" applyAlignment="1" applyProtection="1">
      <alignment horizontal="right"/>
      <protection locked="0"/>
    </xf>
    <xf numFmtId="10" fontId="5" fillId="7" borderId="6" xfId="108" applyNumberFormat="1" applyFont="1" applyFill="1" applyBorder="1"/>
    <xf numFmtId="0" fontId="79" fillId="0" borderId="0" xfId="0" applyNumberFormat="1" applyFont="1" applyAlignment="1">
      <alignment horizontal="left" vertical="top" wrapText="1"/>
    </xf>
    <xf numFmtId="2" fontId="29" fillId="37" borderId="6" xfId="99" applyNumberFormat="1" applyFont="1" applyFill="1" applyBorder="1" applyAlignment="1">
      <alignment horizontal="center" vertical="center" wrapText="1"/>
    </xf>
    <xf numFmtId="0" fontId="64" fillId="7" borderId="6" xfId="99" applyFont="1" applyFill="1" applyBorder="1" applyAlignment="1">
      <alignment horizontal="right" indent="1"/>
    </xf>
    <xf numFmtId="0" fontId="64" fillId="7" borderId="15" xfId="99" applyFont="1" applyFill="1" applyBorder="1" applyAlignment="1">
      <alignment horizontal="right" indent="1"/>
    </xf>
    <xf numFmtId="164" fontId="64" fillId="7" borderId="15" xfId="61" applyNumberFormat="1" applyFont="1" applyFill="1" applyBorder="1" applyAlignment="1">
      <alignment horizontal="right"/>
    </xf>
    <xf numFmtId="3" fontId="5" fillId="7" borderId="6" xfId="59" applyNumberFormat="1" applyFont="1" applyFill="1" applyBorder="1" applyAlignment="1"/>
    <xf numFmtId="173" fontId="5" fillId="36" borderId="6" xfId="64" applyNumberFormat="1" applyFont="1" applyFill="1" applyBorder="1"/>
    <xf numFmtId="173" fontId="3" fillId="36" borderId="6" xfId="64" applyNumberFormat="1" applyFont="1" applyFill="1" applyBorder="1"/>
    <xf numFmtId="173" fontId="5" fillId="41" borderId="6" xfId="59" applyNumberFormat="1" applyFont="1" applyFill="1" applyBorder="1" applyAlignment="1" applyProtection="1">
      <alignment horizontal="right"/>
      <protection locked="0"/>
    </xf>
    <xf numFmtId="1" fontId="3" fillId="5" borderId="8" xfId="0" applyFont="1" applyFill="1" applyBorder="1" applyAlignment="1">
      <alignment horizontal="left" vertical="center"/>
    </xf>
    <xf numFmtId="1" fontId="84" fillId="0" borderId="0" xfId="0" applyFont="1" applyFill="1" applyBorder="1"/>
    <xf numFmtId="1" fontId="84" fillId="0" borderId="0" xfId="0" applyFont="1"/>
    <xf numFmtId="1" fontId="85" fillId="33" borderId="0" xfId="0" applyFont="1" applyFill="1" applyBorder="1"/>
    <xf numFmtId="49" fontId="62" fillId="40" borderId="6" xfId="98" applyNumberFormat="1" applyFont="1" applyFill="1" applyBorder="1" applyAlignment="1">
      <alignment horizontal="left" indent="1"/>
    </xf>
    <xf numFmtId="1" fontId="3" fillId="36" borderId="6" xfId="59" quotePrefix="1" applyNumberFormat="1" applyFont="1" applyFill="1" applyBorder="1" applyAlignment="1">
      <alignment horizontal="center" vertical="center" wrapText="1"/>
    </xf>
    <xf numFmtId="167" fontId="74" fillId="33" borderId="0" xfId="98" quotePrefix="1" applyNumberFormat="1" applyFont="1" applyFill="1" applyBorder="1" applyAlignment="1">
      <alignment horizontal="center" vertical="center" wrapText="1"/>
    </xf>
    <xf numFmtId="49" fontId="9" fillId="37" borderId="6" xfId="99" quotePrefix="1" applyNumberFormat="1" applyFont="1" applyFill="1" applyBorder="1" applyAlignment="1">
      <alignment horizontal="left" vertical="center" wrapText="1" indent="1"/>
    </xf>
    <xf numFmtId="49" fontId="69" fillId="39" borderId="7" xfId="99" quotePrefix="1" applyNumberFormat="1" applyFont="1" applyFill="1" applyBorder="1" applyAlignment="1">
      <alignment horizontal="left" vertical="center" wrapText="1"/>
    </xf>
    <xf numFmtId="49" fontId="5" fillId="36" borderId="6" xfId="0" applyNumberFormat="1" applyFont="1" applyFill="1" applyBorder="1" applyAlignment="1">
      <alignment horizontal="center"/>
    </xf>
    <xf numFmtId="49" fontId="3" fillId="36" borderId="6" xfId="0" applyNumberFormat="1" applyFont="1" applyFill="1" applyBorder="1" applyAlignment="1" applyProtection="1">
      <alignment horizontal="center"/>
      <protection locked="0"/>
    </xf>
    <xf numFmtId="49" fontId="3" fillId="36" borderId="6" xfId="0" applyNumberFormat="1" applyFont="1" applyFill="1" applyBorder="1"/>
    <xf numFmtId="49" fontId="0" fillId="36" borderId="6" xfId="0" applyNumberFormat="1" applyFill="1" applyBorder="1"/>
    <xf numFmtId="1" fontId="85" fillId="9" borderId="0" xfId="0" applyFont="1" applyFill="1" applyBorder="1" applyAlignment="1">
      <alignment vertical="center" wrapText="1"/>
    </xf>
    <xf numFmtId="49" fontId="1" fillId="36" borderId="6" xfId="0" applyNumberFormat="1" applyFont="1" applyFill="1" applyBorder="1" applyAlignment="1">
      <alignment horizontal="center"/>
    </xf>
    <xf numFmtId="1" fontId="3" fillId="36" borderId="6" xfId="99" quotePrefix="1" applyNumberFormat="1" applyFont="1" applyFill="1" applyBorder="1" applyAlignment="1">
      <alignment horizontal="center" vertical="center" wrapText="1"/>
    </xf>
    <xf numFmtId="167" fontId="9" fillId="31" borderId="0" xfId="0" applyNumberFormat="1" applyFont="1" applyFill="1" applyAlignment="1">
      <alignment horizontal="left" vertical="center" wrapText="1"/>
    </xf>
    <xf numFmtId="164" fontId="1" fillId="13" borderId="6" xfId="59" applyNumberFormat="1" applyFont="1" applyFill="1" applyBorder="1" applyAlignment="1">
      <alignment horizontal="right"/>
    </xf>
    <xf numFmtId="49" fontId="3" fillId="39" borderId="6" xfId="99" applyNumberFormat="1" applyFont="1" applyFill="1" applyBorder="1" applyAlignment="1">
      <alignment horizontal="center"/>
    </xf>
    <xf numFmtId="1" fontId="84" fillId="0" borderId="0" xfId="0" applyFont="1" applyFill="1" applyBorder="1" applyAlignment="1"/>
    <xf numFmtId="1" fontId="84" fillId="0" borderId="0" xfId="0" applyFont="1" applyAlignment="1"/>
    <xf numFmtId="49" fontId="9" fillId="40" borderId="6" xfId="99" quotePrefix="1" applyNumberFormat="1" applyFont="1" applyFill="1" applyBorder="1" applyAlignment="1">
      <alignment horizontal="left" vertical="center" wrapText="1" indent="1"/>
    </xf>
    <xf numFmtId="167" fontId="86" fillId="31" borderId="0" xfId="0" applyNumberFormat="1" applyFont="1" applyFill="1" applyBorder="1" applyAlignment="1">
      <alignment horizontal="left" vertical="center" wrapText="1"/>
    </xf>
    <xf numFmtId="166" fontId="64" fillId="7" borderId="30" xfId="103" applyNumberFormat="1" applyFont="1" applyFill="1" applyBorder="1" applyAlignment="1">
      <alignment vertical="top"/>
    </xf>
    <xf numFmtId="14" fontId="37" fillId="0" borderId="35" xfId="93" applyNumberFormat="1" applyFont="1" applyBorder="1" applyAlignment="1">
      <alignment vertical="top"/>
    </xf>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1" fontId="64" fillId="7" borderId="15" xfId="99" applyNumberFormat="1" applyFont="1" applyFill="1" applyBorder="1" applyAlignment="1">
      <alignment horizontal="center"/>
    </xf>
    <xf numFmtId="176" fontId="1" fillId="36" borderId="6" xfId="129" applyNumberFormat="1" applyFont="1" applyFill="1" applyBorder="1"/>
    <xf numFmtId="172" fontId="72" fillId="7" borderId="6" xfId="101" applyNumberFormat="1" applyFont="1" applyFill="1" applyBorder="1" applyAlignment="1">
      <alignment horizontal="center"/>
    </xf>
    <xf numFmtId="168" fontId="72" fillId="7" borderId="6" xfId="101" applyNumberFormat="1" applyFont="1" applyFill="1" applyBorder="1" applyAlignment="1">
      <alignment horizontal="center"/>
    </xf>
    <xf numFmtId="3" fontId="72" fillId="7" borderId="6" xfId="101" applyNumberFormat="1" applyFont="1" applyFill="1" applyBorder="1" applyAlignment="1">
      <alignment horizontal="center"/>
    </xf>
    <xf numFmtId="176" fontId="1" fillId="7" borderId="6" xfId="129" applyNumberFormat="1" applyFont="1" applyFill="1" applyBorder="1"/>
    <xf numFmtId="0" fontId="64" fillId="7" borderId="6" xfId="135" applyNumberFormat="1" applyFont="1" applyFill="1" applyBorder="1" applyAlignment="1">
      <alignment horizontal="right" indent="1"/>
    </xf>
    <xf numFmtId="0" fontId="64" fillId="7" borderId="6" xfId="145" applyFont="1" applyFill="1" applyBorder="1" applyAlignment="1">
      <alignment horizontal="left" indent="1"/>
    </xf>
    <xf numFmtId="0" fontId="64" fillId="7" borderId="6" xfId="145" applyFont="1" applyFill="1" applyBorder="1" applyAlignment="1">
      <alignment horizontal="right" indent="1"/>
    </xf>
    <xf numFmtId="3" fontId="64" fillId="7" borderId="6" xfId="141" applyNumberFormat="1" applyFont="1" applyFill="1" applyBorder="1" applyAlignment="1">
      <alignment horizontal="right" indent="1"/>
    </xf>
    <xf numFmtId="43" fontId="64" fillId="7" borderId="6" xfId="135" applyFont="1" applyFill="1" applyBorder="1" applyAlignment="1">
      <alignment horizontal="right"/>
    </xf>
    <xf numFmtId="175" fontId="64" fillId="7" borderId="6" xfId="135" applyNumberFormat="1" applyFont="1" applyFill="1" applyBorder="1" applyAlignment="1">
      <alignment horizontal="right"/>
    </xf>
    <xf numFmtId="43" fontId="64" fillId="7" borderId="6" xfId="135" applyFont="1" applyFill="1" applyBorder="1" applyAlignment="1">
      <alignment horizontal="right" indent="1"/>
    </xf>
    <xf numFmtId="176" fontId="0" fillId="41" borderId="6" xfId="0" applyNumberFormat="1" applyFill="1" applyBorder="1" applyProtection="1">
      <protection locked="0"/>
    </xf>
    <xf numFmtId="14" fontId="0" fillId="0" borderId="35" xfId="0" applyNumberFormat="1" applyFont="1" applyBorder="1" applyAlignment="1">
      <alignment vertical="top"/>
    </xf>
    <xf numFmtId="1" fontId="0" fillId="0" borderId="36" xfId="0" applyFont="1" applyBorder="1" applyAlignment="1">
      <alignment horizontal="center" vertical="top"/>
    </xf>
    <xf numFmtId="0" fontId="0" fillId="0" borderId="36" xfId="0" applyNumberFormat="1" applyFont="1" applyBorder="1" applyAlignment="1">
      <alignment vertical="top"/>
    </xf>
    <xf numFmtId="0" fontId="0" fillId="0" borderId="36" xfId="0" applyNumberFormat="1" applyFont="1" applyBorder="1" applyAlignment="1">
      <alignment horizontal="left" vertical="top"/>
    </xf>
    <xf numFmtId="0" fontId="37" fillId="0" borderId="36" xfId="0" applyNumberFormat="1" applyFont="1" applyBorder="1" applyAlignment="1">
      <alignment vertical="top"/>
    </xf>
    <xf numFmtId="1" fontId="37" fillId="0" borderId="36" xfId="93" applyNumberFormat="1" applyFont="1" applyBorder="1" applyAlignment="1">
      <alignment horizontal="center" vertical="top"/>
    </xf>
    <xf numFmtId="1" fontId="90" fillId="37" borderId="35" xfId="0" applyFont="1" applyFill="1" applyBorder="1" applyAlignment="1">
      <alignment horizontal="center" vertical="center"/>
    </xf>
    <xf numFmtId="1" fontId="90" fillId="37" borderId="36" xfId="0" applyFont="1" applyFill="1" applyBorder="1" applyAlignment="1">
      <alignment horizontal="center" vertical="center"/>
    </xf>
    <xf numFmtId="1" fontId="90" fillId="37" borderId="39" xfId="0" applyFont="1" applyFill="1" applyBorder="1" applyAlignment="1">
      <alignment horizontal="center" vertical="center"/>
    </xf>
    <xf numFmtId="0" fontId="0" fillId="0" borderId="39" xfId="0" applyNumberFormat="1" applyFont="1" applyBorder="1" applyAlignment="1">
      <alignment vertical="top"/>
    </xf>
    <xf numFmtId="0" fontId="37" fillId="0" borderId="39" xfId="0" applyNumberFormat="1" applyFont="1" applyBorder="1" applyAlignment="1">
      <alignment vertical="top"/>
    </xf>
    <xf numFmtId="0" fontId="64" fillId="7" borderId="25" xfId="101" applyFont="1" applyFill="1" applyBorder="1" applyAlignment="1">
      <alignment horizontal="right" indent="1"/>
    </xf>
    <xf numFmtId="0" fontId="64" fillId="7" borderId="27" xfId="101" applyFont="1" applyFill="1" applyBorder="1" applyAlignment="1">
      <alignment horizontal="right" indent="1"/>
    </xf>
    <xf numFmtId="166" fontId="64" fillId="7" borderId="27" xfId="103" applyNumberFormat="1" applyFont="1" applyFill="1" applyBorder="1" applyAlignment="1">
      <alignment horizontal="right" vertical="top"/>
    </xf>
    <xf numFmtId="166" fontId="64" fillId="7" borderId="26" xfId="103" applyNumberFormat="1" applyFont="1" applyFill="1" applyBorder="1" applyAlignment="1">
      <alignment horizontal="right" vertical="top"/>
    </xf>
    <xf numFmtId="14" fontId="36" fillId="33" borderId="0" xfId="98" applyNumberFormat="1" applyFont="1" applyFill="1"/>
    <xf numFmtId="0" fontId="1" fillId="9" borderId="40" xfId="98" applyBorder="1" applyAlignment="1">
      <alignment horizontal="center" vertical="center"/>
    </xf>
    <xf numFmtId="0" fontId="1" fillId="9" borderId="40" xfId="141" applyBorder="1" applyAlignment="1">
      <alignment horizontal="center" vertical="center"/>
    </xf>
    <xf numFmtId="3" fontId="64" fillId="7" borderId="15" xfId="59" applyNumberFormat="1" applyFont="1" applyFill="1" applyBorder="1" applyAlignment="1">
      <alignment horizontal="center"/>
    </xf>
    <xf numFmtId="1" fontId="3" fillId="5" borderId="8" xfId="0" applyFont="1" applyFill="1" applyBorder="1" applyAlignment="1">
      <alignment horizontal="left" vertical="center"/>
    </xf>
    <xf numFmtId="2" fontId="29" fillId="37" borderId="6" xfId="99" applyNumberFormat="1" applyFont="1" applyFill="1" applyBorder="1" applyAlignment="1">
      <alignment horizontal="center" vertical="center" wrapText="1"/>
    </xf>
    <xf numFmtId="2" fontId="76" fillId="39" borderId="8" xfId="61" applyNumberFormat="1" applyFont="1" applyFill="1" applyBorder="1" applyAlignment="1">
      <alignment horizontal="center"/>
    </xf>
    <xf numFmtId="164" fontId="76" fillId="39" borderId="8" xfId="61" applyNumberFormat="1" applyFont="1" applyFill="1" applyBorder="1" applyAlignment="1">
      <alignment horizontal="center"/>
    </xf>
    <xf numFmtId="2" fontId="3" fillId="37" borderId="6" xfId="99" applyNumberFormat="1" applyFont="1" applyFill="1" applyBorder="1" applyAlignment="1">
      <alignment horizontal="center" vertical="center" wrapText="1"/>
    </xf>
    <xf numFmtId="2" fontId="1" fillId="37" borderId="6" xfId="61" applyNumberFormat="1" applyFont="1" applyFill="1" applyBorder="1" applyAlignment="1">
      <alignment horizontal="center"/>
    </xf>
    <xf numFmtId="164" fontId="76" fillId="7" borderId="6" xfId="101" applyNumberFormat="1" applyFont="1" applyFill="1" applyBorder="1" applyAlignment="1"/>
    <xf numFmtId="10" fontId="76" fillId="7" borderId="6" xfId="101" applyNumberFormat="1" applyFont="1" applyFill="1" applyBorder="1" applyAlignment="1"/>
    <xf numFmtId="168" fontId="76" fillId="36" borderId="6" xfId="101" applyNumberFormat="1" applyFont="1" applyFill="1" applyBorder="1" applyAlignment="1"/>
    <xf numFmtId="164" fontId="76" fillId="13" borderId="6" xfId="61" applyNumberFormat="1" applyFont="1" applyFill="1" applyBorder="1" applyAlignment="1"/>
    <xf numFmtId="164" fontId="76" fillId="39" borderId="15" xfId="61" applyNumberFormat="1" applyFont="1" applyFill="1" applyBorder="1" applyAlignment="1">
      <alignment horizontal="center" vertical="center"/>
    </xf>
    <xf numFmtId="164" fontId="1" fillId="13" borderId="6" xfId="61" applyNumberFormat="1" applyFont="1" applyFill="1" applyBorder="1" applyAlignment="1"/>
    <xf numFmtId="164" fontId="3" fillId="13" borderId="6" xfId="61" applyNumberFormat="1" applyFont="1" applyFill="1" applyBorder="1" applyAlignment="1"/>
    <xf numFmtId="164" fontId="91" fillId="35" borderId="0" xfId="61" applyNumberFormat="1" applyFont="1" applyFill="1" applyBorder="1" applyAlignment="1" applyProtection="1">
      <alignment horizontal="right"/>
      <protection locked="0"/>
    </xf>
    <xf numFmtId="164" fontId="1" fillId="7" borderId="6" xfId="61" applyNumberFormat="1" applyFont="1" applyFill="1" applyBorder="1" applyAlignment="1">
      <alignment horizontal="right"/>
    </xf>
    <xf numFmtId="164" fontId="1" fillId="7" borderId="6" xfId="101" applyNumberFormat="1" applyFont="1" applyFill="1" applyBorder="1" applyAlignment="1"/>
    <xf numFmtId="10" fontId="1" fillId="7" borderId="6" xfId="101" applyNumberFormat="1" applyFont="1" applyFill="1" applyBorder="1" applyAlignment="1"/>
    <xf numFmtId="164" fontId="1" fillId="36" borderId="6" xfId="101" applyNumberFormat="1" applyFont="1" applyFill="1" applyBorder="1" applyAlignment="1"/>
    <xf numFmtId="164" fontId="1" fillId="13" borderId="6" xfId="61" applyNumberFormat="1" applyFont="1" applyFill="1" applyBorder="1" applyAlignment="1">
      <alignment horizontal="right"/>
    </xf>
    <xf numFmtId="164" fontId="1" fillId="7" borderId="6" xfId="61" applyNumberFormat="1" applyFont="1" applyFill="1" applyBorder="1" applyAlignment="1"/>
    <xf numFmtId="164" fontId="1" fillId="7" borderId="6" xfId="61" applyNumberFormat="1" applyFont="1" applyFill="1" applyBorder="1"/>
    <xf numFmtId="164" fontId="1" fillId="39" borderId="15" xfId="61" applyNumberFormat="1" applyFont="1" applyFill="1" applyBorder="1" applyAlignment="1">
      <alignment horizontal="center" vertical="center"/>
    </xf>
    <xf numFmtId="167" fontId="3" fillId="37" borderId="6" xfId="99" quotePrefix="1" applyNumberFormat="1" applyFont="1" applyFill="1" applyBorder="1" applyAlignment="1">
      <alignment horizontal="center" vertical="center" wrapText="1"/>
    </xf>
    <xf numFmtId="10" fontId="1" fillId="7" borderId="6" xfId="145" applyNumberFormat="1" applyFont="1" applyFill="1" applyBorder="1"/>
    <xf numFmtId="164" fontId="1" fillId="7" borderId="6" xfId="59" applyNumberFormat="1" applyFont="1" applyFill="1" applyBorder="1" applyAlignment="1">
      <alignment horizontal="right"/>
    </xf>
    <xf numFmtId="164" fontId="1" fillId="39" borderId="8" xfId="61" applyNumberFormat="1" applyFont="1" applyFill="1" applyBorder="1" applyAlignment="1">
      <alignment horizontal="center"/>
    </xf>
    <xf numFmtId="164" fontId="1" fillId="7" borderId="6" xfId="101" applyNumberFormat="1" applyFont="1" applyFill="1" applyBorder="1" applyAlignment="1">
      <alignment horizontal="right"/>
    </xf>
    <xf numFmtId="10" fontId="1" fillId="7" borderId="6" xfId="101" applyNumberFormat="1" applyFont="1" applyFill="1" applyBorder="1" applyAlignment="1">
      <alignment horizontal="right"/>
    </xf>
    <xf numFmtId="0" fontId="1" fillId="41" borderId="6" xfId="101" applyFont="1" applyFill="1" applyBorder="1" applyAlignment="1">
      <alignment horizontal="left" vertical="center" wrapText="1" indent="1"/>
    </xf>
    <xf numFmtId="174" fontId="31" fillId="13" borderId="6" xfId="61" applyNumberFormat="1" applyFont="1" applyFill="1" applyBorder="1" applyAlignment="1"/>
    <xf numFmtId="170" fontId="64" fillId="9" borderId="0" xfId="64" applyFont="1" applyFill="1"/>
    <xf numFmtId="0" fontId="64" fillId="7" borderId="6" xfId="99" applyFont="1" applyFill="1" applyBorder="1" applyAlignment="1" applyProtection="1">
      <alignment horizontal="left"/>
      <protection locked="0"/>
    </xf>
    <xf numFmtId="0" fontId="9" fillId="37" borderId="0" xfId="99" applyFont="1" applyFill="1" applyBorder="1" applyAlignment="1">
      <alignment horizontal="right" indent="1"/>
    </xf>
    <xf numFmtId="0" fontId="9" fillId="37" borderId="28" xfId="99" applyFont="1" applyFill="1" applyBorder="1" applyAlignment="1">
      <alignment horizontal="right" indent="1"/>
    </xf>
    <xf numFmtId="0" fontId="4" fillId="9" borderId="16" xfId="96" applyFont="1" applyBorder="1" applyAlignment="1" applyProtection="1">
      <protection locked="0"/>
    </xf>
    <xf numFmtId="0" fontId="1" fillId="9" borderId="17" xfId="96" applyBorder="1" applyAlignment="1"/>
    <xf numFmtId="0" fontId="1" fillId="9" borderId="18" xfId="96" applyBorder="1" applyAlignment="1"/>
    <xf numFmtId="0" fontId="64" fillId="7" borderId="7" xfId="99" applyFont="1" applyFill="1" applyBorder="1" applyAlignment="1" applyProtection="1">
      <alignment horizontal="left"/>
      <protection locked="0"/>
    </xf>
    <xf numFmtId="0" fontId="64" fillId="7" borderId="8" xfId="99" applyFont="1" applyFill="1" applyBorder="1" applyAlignment="1" applyProtection="1">
      <alignment horizontal="left"/>
      <protection locked="0"/>
    </xf>
    <xf numFmtId="0" fontId="83" fillId="7" borderId="6" xfId="96" applyFont="1" applyFill="1" applyBorder="1" applyAlignment="1"/>
    <xf numFmtId="0" fontId="64" fillId="7" borderId="6" xfId="96" applyFont="1" applyFill="1" applyBorder="1" applyAlignment="1"/>
    <xf numFmtId="14" fontId="83" fillId="7" borderId="8" xfId="96" applyNumberFormat="1" applyFont="1" applyFill="1" applyBorder="1" applyAlignment="1"/>
    <xf numFmtId="14" fontId="64" fillId="7" borderId="8" xfId="95" applyNumberFormat="1" applyFont="1" applyFill="1" applyBorder="1" applyAlignment="1"/>
    <xf numFmtId="14" fontId="64" fillId="7" borderId="15" xfId="95" applyNumberFormat="1" applyFont="1" applyFill="1" applyBorder="1" applyAlignment="1"/>
    <xf numFmtId="14" fontId="83" fillId="7" borderId="7" xfId="96" applyNumberFormat="1" applyFont="1" applyFill="1" applyBorder="1" applyAlignment="1"/>
    <xf numFmtId="14" fontId="83" fillId="7" borderId="15" xfId="96" applyNumberFormat="1" applyFont="1" applyFill="1" applyBorder="1" applyAlignment="1"/>
    <xf numFmtId="0" fontId="83" fillId="7" borderId="8" xfId="96" applyFont="1" applyFill="1" applyBorder="1" applyAlignment="1">
      <alignment horizontal="right"/>
    </xf>
    <xf numFmtId="0" fontId="64" fillId="7" borderId="8" xfId="95" applyFont="1" applyFill="1" applyBorder="1" applyAlignment="1">
      <alignment horizontal="right"/>
    </xf>
    <xf numFmtId="0" fontId="64" fillId="7" borderId="15" xfId="95" applyFont="1" applyFill="1" applyBorder="1" applyAlignment="1">
      <alignment horizontal="right"/>
    </xf>
    <xf numFmtId="0" fontId="61" fillId="37" borderId="7" xfId="96" applyFont="1" applyFill="1" applyBorder="1" applyAlignment="1">
      <alignment horizontal="left" vertical="center" wrapText="1"/>
    </xf>
    <xf numFmtId="0" fontId="61" fillId="37" borderId="8" xfId="96" applyFont="1" applyFill="1" applyBorder="1" applyAlignment="1">
      <alignment horizontal="left" vertical="center" wrapText="1"/>
    </xf>
    <xf numFmtId="0" fontId="61" fillId="37" borderId="15" xfId="96" applyFont="1" applyFill="1" applyBorder="1" applyAlignment="1">
      <alignment horizontal="left" vertical="center" wrapText="1"/>
    </xf>
    <xf numFmtId="0" fontId="61" fillId="37" borderId="7" xfId="96" applyFont="1" applyFill="1" applyBorder="1" applyAlignment="1">
      <alignment horizontal="left" vertical="top" wrapText="1" indent="1"/>
    </xf>
    <xf numFmtId="0" fontId="61" fillId="37" borderId="15" xfId="96" applyFont="1" applyFill="1" applyBorder="1" applyAlignment="1">
      <alignment horizontal="left" vertical="top" wrapText="1" indent="1"/>
    </xf>
    <xf numFmtId="0" fontId="12" fillId="7" borderId="7" xfId="73" applyFill="1" applyBorder="1" applyAlignment="1" applyProtection="1">
      <alignment horizontal="left"/>
      <protection locked="0"/>
    </xf>
    <xf numFmtId="0" fontId="64" fillId="7" borderId="15" xfId="99" applyFont="1" applyFill="1" applyBorder="1" applyAlignment="1" applyProtection="1">
      <alignment horizontal="left"/>
      <protection locked="0"/>
    </xf>
    <xf numFmtId="0" fontId="64" fillId="9" borderId="8" xfId="99" applyFont="1" applyBorder="1" applyAlignment="1"/>
    <xf numFmtId="0" fontId="64" fillId="9" borderId="15" xfId="99" applyFont="1" applyBorder="1" applyAlignment="1"/>
    <xf numFmtId="0" fontId="64" fillId="7" borderId="7" xfId="99" quotePrefix="1" applyFont="1" applyFill="1" applyBorder="1" applyAlignment="1" applyProtection="1">
      <alignment horizontal="left"/>
      <protection locked="0"/>
    </xf>
    <xf numFmtId="0" fontId="5" fillId="0" borderId="0" xfId="96" applyFont="1" applyFill="1" applyBorder="1" applyAlignment="1" applyProtection="1"/>
    <xf numFmtId="0" fontId="1" fillId="9" borderId="0" xfId="96" applyBorder="1" applyAlignment="1"/>
    <xf numFmtId="0" fontId="8" fillId="0" borderId="0" xfId="96" applyFont="1" applyFill="1" applyAlignment="1"/>
    <xf numFmtId="0" fontId="1" fillId="0" borderId="0" xfId="95" applyFill="1" applyAlignment="1"/>
    <xf numFmtId="0" fontId="83" fillId="7" borderId="8" xfId="96" applyFont="1" applyFill="1" applyBorder="1" applyAlignment="1"/>
    <xf numFmtId="0" fontId="64" fillId="7" borderId="8" xfId="95" applyFont="1" applyFill="1" applyBorder="1" applyAlignment="1"/>
    <xf numFmtId="0" fontId="64" fillId="7" borderId="15" xfId="95" applyFont="1" applyFill="1" applyBorder="1" applyAlignment="1"/>
    <xf numFmtId="1" fontId="83" fillId="7" borderId="6" xfId="96" applyNumberFormat="1" applyFont="1" applyFill="1" applyBorder="1" applyAlignment="1"/>
    <xf numFmtId="0" fontId="14" fillId="38" borderId="0" xfId="94" applyFont="1" applyFill="1" applyBorder="1" applyAlignment="1">
      <alignment horizontal="left" vertical="center"/>
    </xf>
    <xf numFmtId="0" fontId="2" fillId="0" borderId="0" xfId="98" applyFont="1" applyFill="1" applyAlignment="1">
      <alignment horizontal="left"/>
    </xf>
    <xf numFmtId="1" fontId="3" fillId="5" borderId="8" xfId="0" applyFont="1" applyFill="1" applyBorder="1" applyAlignment="1">
      <alignment horizontal="left" vertical="center"/>
    </xf>
    <xf numFmtId="0" fontId="4" fillId="0" borderId="0" xfId="100" applyFont="1" applyFill="1" applyBorder="1" applyAlignment="1">
      <alignment horizontal="left" vertical="center"/>
    </xf>
    <xf numFmtId="2" fontId="29" fillId="37" borderId="7" xfId="99" applyNumberFormat="1" applyFont="1" applyFill="1" applyBorder="1" applyAlignment="1">
      <alignment horizontal="center" vertical="center" wrapText="1"/>
    </xf>
    <xf numFmtId="2" fontId="29" fillId="37" borderId="8" xfId="99" applyNumberFormat="1" applyFont="1" applyFill="1" applyBorder="1" applyAlignment="1">
      <alignment horizontal="center" vertical="center" wrapText="1"/>
    </xf>
    <xf numFmtId="2" fontId="29" fillId="37" borderId="15" xfId="99" applyNumberFormat="1" applyFont="1" applyFill="1" applyBorder="1" applyAlignment="1">
      <alignment horizontal="center" vertical="center" wrapText="1"/>
    </xf>
    <xf numFmtId="0" fontId="2" fillId="0" borderId="0" xfId="98" applyFont="1" applyFill="1" applyAlignment="1"/>
    <xf numFmtId="167" fontId="9" fillId="37" borderId="7" xfId="99" quotePrefix="1" applyNumberFormat="1" applyFont="1" applyFill="1" applyBorder="1" applyAlignment="1">
      <alignment horizontal="right" vertical="center" wrapText="1"/>
    </xf>
    <xf numFmtId="167" fontId="9" fillId="37" borderId="15" xfId="99" quotePrefix="1" applyNumberFormat="1" applyFont="1" applyFill="1" applyBorder="1" applyAlignment="1">
      <alignment horizontal="right" vertical="center" wrapText="1"/>
    </xf>
    <xf numFmtId="0" fontId="2" fillId="9" borderId="0" xfId="101" applyFont="1" applyAlignment="1"/>
    <xf numFmtId="1" fontId="4" fillId="36" borderId="0" xfId="0" applyFont="1" applyFill="1" applyAlignment="1">
      <alignment horizontal="left" vertical="top" wrapText="1"/>
    </xf>
    <xf numFmtId="0" fontId="2" fillId="9" borderId="0" xfId="98" applyFont="1" applyAlignment="1"/>
    <xf numFmtId="167" fontId="29" fillId="37" borderId="29" xfId="99" quotePrefix="1" applyNumberFormat="1" applyFont="1" applyFill="1" applyBorder="1" applyAlignment="1">
      <alignment horizontal="center" vertical="center" wrapText="1"/>
    </xf>
    <xf numFmtId="167" fontId="29" fillId="37" borderId="30" xfId="99" quotePrefix="1" applyNumberFormat="1" applyFont="1" applyFill="1" applyBorder="1" applyAlignment="1">
      <alignment horizontal="center" vertical="center" wrapText="1"/>
    </xf>
    <xf numFmtId="2" fontId="29" fillId="37" borderId="6" xfId="99" applyNumberFormat="1" applyFont="1" applyFill="1" applyBorder="1" applyAlignment="1">
      <alignment horizontal="center" vertical="center" wrapText="1"/>
    </xf>
    <xf numFmtId="0" fontId="29" fillId="31" borderId="7" xfId="101" applyFont="1" applyFill="1" applyBorder="1" applyAlignment="1">
      <alignment horizontal="right"/>
    </xf>
    <xf numFmtId="0" fontId="29" fillId="31" borderId="8" xfId="101" applyFont="1" applyFill="1" applyBorder="1" applyAlignment="1">
      <alignment horizontal="right"/>
    </xf>
    <xf numFmtId="0" fontId="29" fillId="31" borderId="15" xfId="101" applyFont="1" applyFill="1" applyBorder="1" applyAlignment="1">
      <alignment horizontal="right"/>
    </xf>
    <xf numFmtId="49" fontId="29" fillId="37" borderId="26" xfId="103" applyNumberFormat="1" applyFont="1" applyFill="1" applyBorder="1" applyAlignment="1">
      <alignment horizontal="center" vertical="center" wrapText="1"/>
    </xf>
    <xf numFmtId="49" fontId="29" fillId="37" borderId="0" xfId="103" applyNumberFormat="1" applyFont="1" applyFill="1" applyBorder="1" applyAlignment="1">
      <alignment horizontal="center" vertical="center" wrapText="1"/>
    </xf>
    <xf numFmtId="49" fontId="77" fillId="44" borderId="7" xfId="101" applyNumberFormat="1" applyFont="1" applyFill="1" applyBorder="1" applyAlignment="1">
      <alignment horizontal="center" vertical="center" wrapText="1"/>
    </xf>
    <xf numFmtId="49" fontId="77" fillId="44" borderId="8" xfId="101" applyNumberFormat="1" applyFont="1" applyFill="1" applyBorder="1" applyAlignment="1">
      <alignment horizontal="center" vertical="center" wrapText="1"/>
    </xf>
    <xf numFmtId="49" fontId="77" fillId="44" borderId="15" xfId="101" applyNumberFormat="1" applyFont="1" applyFill="1" applyBorder="1" applyAlignment="1">
      <alignment horizontal="center" vertical="center" wrapText="1"/>
    </xf>
    <xf numFmtId="49" fontId="77" fillId="44" borderId="30" xfId="101" applyNumberFormat="1" applyFont="1" applyFill="1" applyBorder="1" applyAlignment="1">
      <alignment horizontal="center" vertical="center" wrapText="1"/>
    </xf>
    <xf numFmtId="49" fontId="77" fillId="44" borderId="31" xfId="101" applyNumberFormat="1" applyFont="1" applyFill="1" applyBorder="1" applyAlignment="1">
      <alignment horizontal="center" vertical="center" wrapText="1"/>
    </xf>
    <xf numFmtId="49" fontId="77" fillId="44" borderId="32" xfId="101" applyNumberFormat="1" applyFont="1" applyFill="1" applyBorder="1" applyAlignment="1">
      <alignment horizontal="center" vertical="center" wrapText="1"/>
    </xf>
    <xf numFmtId="0" fontId="41" fillId="48" borderId="6" xfId="0" applyNumberFormat="1" applyFont="1" applyFill="1" applyBorder="1" applyAlignment="1" applyProtection="1">
      <alignment horizontal="center"/>
      <protection locked="0"/>
    </xf>
    <xf numFmtId="0" fontId="41" fillId="47" borderId="6" xfId="0" applyNumberFormat="1" applyFont="1" applyFill="1" applyBorder="1" applyAlignment="1" applyProtection="1">
      <alignment horizontal="center"/>
      <protection locked="0"/>
    </xf>
    <xf numFmtId="49" fontId="60" fillId="45" borderId="7" xfId="101" applyNumberFormat="1" applyFont="1" applyFill="1" applyBorder="1" applyAlignment="1">
      <alignment horizontal="center" vertical="center" wrapText="1"/>
    </xf>
    <xf numFmtId="49" fontId="60" fillId="45" borderId="8" xfId="101" applyNumberFormat="1" applyFont="1" applyFill="1" applyBorder="1" applyAlignment="1">
      <alignment horizontal="center" vertical="center" wrapText="1"/>
    </xf>
    <xf numFmtId="49" fontId="60" fillId="45" borderId="15" xfId="101" applyNumberFormat="1" applyFont="1" applyFill="1" applyBorder="1" applyAlignment="1">
      <alignment horizontal="center" vertical="center" wrapText="1"/>
    </xf>
    <xf numFmtId="0" fontId="1" fillId="9" borderId="0" xfId="98" applyAlignment="1"/>
    <xf numFmtId="49" fontId="77" fillId="42" borderId="7" xfId="101" applyNumberFormat="1" applyFont="1" applyFill="1" applyBorder="1" applyAlignment="1">
      <alignment horizontal="center" vertical="center" wrapText="1"/>
    </xf>
    <xf numFmtId="49" fontId="77" fillId="42" borderId="8" xfId="101" applyNumberFormat="1" applyFont="1" applyFill="1" applyBorder="1" applyAlignment="1">
      <alignment horizontal="center" vertical="center" wrapText="1"/>
    </xf>
    <xf numFmtId="49" fontId="77" fillId="42" borderId="15" xfId="101" applyNumberFormat="1" applyFont="1" applyFill="1" applyBorder="1" applyAlignment="1">
      <alignment horizontal="center" vertical="center" wrapText="1"/>
    </xf>
    <xf numFmtId="49" fontId="60" fillId="43" borderId="25" xfId="101" applyNumberFormat="1" applyFont="1" applyFill="1" applyBorder="1" applyAlignment="1">
      <alignment horizontal="center" vertical="center" wrapText="1"/>
    </xf>
    <xf numFmtId="49" fontId="60" fillId="43" borderId="27" xfId="101" applyNumberFormat="1" applyFont="1" applyFill="1" applyBorder="1" applyAlignment="1">
      <alignment horizontal="center" vertical="center" wrapText="1"/>
    </xf>
    <xf numFmtId="49" fontId="60" fillId="43" borderId="19" xfId="101" applyNumberFormat="1" applyFont="1" applyFill="1" applyBorder="1" applyAlignment="1">
      <alignment horizontal="center" vertical="center" wrapText="1"/>
    </xf>
    <xf numFmtId="49" fontId="78" fillId="43" borderId="25" xfId="101" applyNumberFormat="1" applyFont="1" applyFill="1" applyBorder="1" applyAlignment="1">
      <alignment horizontal="center" vertical="center" wrapText="1"/>
    </xf>
    <xf numFmtId="49" fontId="78" fillId="43" borderId="27" xfId="101" applyNumberFormat="1" applyFont="1" applyFill="1" applyBorder="1" applyAlignment="1">
      <alignment horizontal="center" vertical="center" wrapText="1"/>
    </xf>
    <xf numFmtId="49" fontId="78" fillId="43" borderId="19" xfId="101" applyNumberFormat="1" applyFont="1" applyFill="1" applyBorder="1" applyAlignment="1">
      <alignment horizontal="center" vertical="center" wrapText="1"/>
    </xf>
    <xf numFmtId="49" fontId="77" fillId="42" borderId="30" xfId="101" applyNumberFormat="1" applyFont="1" applyFill="1" applyBorder="1" applyAlignment="1">
      <alignment horizontal="center" vertical="center" wrapText="1"/>
    </xf>
    <xf numFmtId="49" fontId="77" fillId="42" borderId="31" xfId="101" applyNumberFormat="1" applyFont="1" applyFill="1" applyBorder="1" applyAlignment="1">
      <alignment horizontal="center" vertical="center" wrapText="1"/>
    </xf>
    <xf numFmtId="49" fontId="77" fillId="42" borderId="32" xfId="101" applyNumberFormat="1" applyFont="1" applyFill="1" applyBorder="1" applyAlignment="1">
      <alignment horizontal="center" vertical="center" wrapText="1"/>
    </xf>
    <xf numFmtId="49" fontId="77" fillId="49" borderId="29" xfId="101" applyNumberFormat="1" applyFont="1" applyFill="1" applyBorder="1" applyAlignment="1">
      <alignment horizontal="center" vertical="center" wrapText="1"/>
    </xf>
    <xf numFmtId="49" fontId="77" fillId="49" borderId="9" xfId="101" applyNumberFormat="1" applyFont="1" applyFill="1" applyBorder="1" applyAlignment="1">
      <alignment horizontal="center" vertical="center" wrapText="1"/>
    </xf>
    <xf numFmtId="49" fontId="77" fillId="49" borderId="33" xfId="101" applyNumberFormat="1" applyFont="1" applyFill="1" applyBorder="1" applyAlignment="1">
      <alignment horizontal="center" vertical="center" wrapText="1"/>
    </xf>
    <xf numFmtId="49" fontId="77" fillId="49" borderId="30" xfId="101" applyNumberFormat="1" applyFont="1" applyFill="1" applyBorder="1" applyAlignment="1">
      <alignment horizontal="center" vertical="center" wrapText="1"/>
    </xf>
    <xf numFmtId="49" fontId="77" fillId="49" borderId="31" xfId="101" applyNumberFormat="1" applyFont="1" applyFill="1" applyBorder="1" applyAlignment="1">
      <alignment horizontal="center" vertical="center" wrapText="1"/>
    </xf>
    <xf numFmtId="49" fontId="77" fillId="49" borderId="32" xfId="101" applyNumberFormat="1" applyFont="1" applyFill="1" applyBorder="1" applyAlignment="1">
      <alignment horizontal="center" vertical="center" wrapText="1"/>
    </xf>
    <xf numFmtId="49" fontId="77" fillId="50" borderId="29" xfId="101" applyNumberFormat="1" applyFont="1" applyFill="1" applyBorder="1" applyAlignment="1">
      <alignment horizontal="center" vertical="center" wrapText="1"/>
    </xf>
    <xf numFmtId="49" fontId="77" fillId="50" borderId="9" xfId="101" applyNumberFormat="1" applyFont="1" applyFill="1" applyBorder="1" applyAlignment="1">
      <alignment horizontal="center" vertical="center" wrapText="1"/>
    </xf>
    <xf numFmtId="49" fontId="77" fillId="50" borderId="33" xfId="101" applyNumberFormat="1" applyFont="1" applyFill="1" applyBorder="1" applyAlignment="1">
      <alignment horizontal="center" vertical="center" wrapText="1"/>
    </xf>
    <xf numFmtId="49" fontId="77" fillId="50" borderId="30" xfId="101" applyNumberFormat="1" applyFont="1" applyFill="1" applyBorder="1" applyAlignment="1">
      <alignment horizontal="center" vertical="center" wrapText="1"/>
    </xf>
    <xf numFmtId="49" fontId="77" fillId="50" borderId="31" xfId="101" applyNumberFormat="1" applyFont="1" applyFill="1" applyBorder="1" applyAlignment="1">
      <alignment horizontal="center" vertical="center" wrapText="1"/>
    </xf>
    <xf numFmtId="166" fontId="64" fillId="7" borderId="6" xfId="98" applyNumberFormat="1" applyFont="1" applyFill="1" applyBorder="1" applyAlignment="1">
      <alignment horizontal="left"/>
    </xf>
    <xf numFmtId="167" fontId="29" fillId="37" borderId="7" xfId="98" quotePrefix="1" applyNumberFormat="1" applyFont="1" applyFill="1" applyBorder="1" applyAlignment="1">
      <alignment horizontal="left" vertical="center" wrapText="1"/>
    </xf>
    <xf numFmtId="167" fontId="29" fillId="37" borderId="8" xfId="98" quotePrefix="1" applyNumberFormat="1" applyFont="1" applyFill="1" applyBorder="1" applyAlignment="1">
      <alignment horizontal="left" vertical="center" wrapText="1"/>
    </xf>
    <xf numFmtId="167" fontId="29" fillId="37" borderId="15" xfId="98" quotePrefix="1" applyNumberFormat="1" applyFont="1" applyFill="1" applyBorder="1" applyAlignment="1">
      <alignment horizontal="left" vertical="center" wrapText="1"/>
    </xf>
    <xf numFmtId="0" fontId="1" fillId="9" borderId="37" xfId="98" applyBorder="1" applyAlignment="1">
      <alignment horizontal="left" vertical="center" wrapText="1"/>
    </xf>
    <xf numFmtId="0" fontId="1" fillId="9" borderId="38" xfId="98" applyBorder="1" applyAlignment="1">
      <alignment horizontal="left" vertical="center" wrapText="1"/>
    </xf>
    <xf numFmtId="0" fontId="1" fillId="9" borderId="37" xfId="141" applyBorder="1" applyAlignment="1">
      <alignment horizontal="left" vertical="center" wrapText="1"/>
    </xf>
    <xf numFmtId="0" fontId="1" fillId="9" borderId="38" xfId="141" applyBorder="1" applyAlignment="1">
      <alignment horizontal="left" vertical="center" wrapText="1"/>
    </xf>
  </cellXfs>
  <cellStyles count="151">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Blockout" xfId="51" xr:uid="{00000000-0005-0000-0000-000032000000}"/>
    <cellStyle name="Blockout 2" xfId="52" xr:uid="{00000000-0005-0000-0000-000033000000}"/>
    <cellStyle name="Blockout 2 2" xfId="53" xr:uid="{00000000-0005-0000-0000-000034000000}"/>
    <cellStyle name="Blockout 3" xfId="54" xr:uid="{00000000-0005-0000-0000-000035000000}"/>
    <cellStyle name="Calculation" xfId="55" builtinId="22" customBuiltin="1"/>
    <cellStyle name="Calculation 2" xfId="56" xr:uid="{00000000-0005-0000-0000-000037000000}"/>
    <cellStyle name="Check Cell" xfId="57" builtinId="23" customBuiltin="1"/>
    <cellStyle name="Check Cell 2" xfId="58" xr:uid="{00000000-0005-0000-0000-000039000000}"/>
    <cellStyle name="Comma" xfId="59" builtinId="3" customBuiltin="1"/>
    <cellStyle name="Comma [0]" xfId="60" builtinId="6" customBuiltin="1"/>
    <cellStyle name="Comma 2" xfId="61" xr:uid="{00000000-0005-0000-0000-00003C000000}"/>
    <cellStyle name="Comma 2 2" xfId="62" xr:uid="{00000000-0005-0000-0000-00003D000000}"/>
    <cellStyle name="Comma 2 2 2 2" xfId="135" xr:uid="{4698FD44-7F40-4DAD-8525-AAC41C65C0F7}"/>
    <cellStyle name="Comma 2 3" xfId="123" xr:uid="{0987D42E-68CE-4970-80B8-B79EA6388B78}"/>
    <cellStyle name="Comma 3" xfId="63" xr:uid="{00000000-0005-0000-0000-00003E000000}"/>
    <cellStyle name="Comma 3 2 2 3" xfId="136" xr:uid="{1D61908A-E1BA-40CC-B390-0EF5F9272FFB}"/>
    <cellStyle name="Comma 4" xfId="126" xr:uid="{3D910620-B08C-4ED0-9BBB-9184E145B649}"/>
    <cellStyle name="Comma 4 2" xfId="131" xr:uid="{455759B5-D025-4FC3-92C5-1724E9C91CF3}"/>
    <cellStyle name="Comma 4 3 2" xfId="132" xr:uid="{27CFBA6F-82BD-4185-8633-1BE788A2C15C}"/>
    <cellStyle name="Comma 5" xfId="148" xr:uid="{F86085CF-6D88-4A53-ABEB-4446F9BFDF0D}"/>
    <cellStyle name="Comma 5 2" xfId="125" xr:uid="{17426C94-1BFC-4BF2-B764-E5901EF8AD2E}"/>
    <cellStyle name="Comma 6" xfId="143" xr:uid="{679228AC-A1E2-42EC-9B56-D2E2AB122C69}"/>
    <cellStyle name="Comma 6 2" xfId="140" xr:uid="{E46B1F21-1710-415D-B28F-DE253C7176C4}"/>
    <cellStyle name="Comma 8" xfId="127" xr:uid="{B03308E5-5CED-4057-B05E-736CE43CF01F}"/>
    <cellStyle name="Currency" xfId="64" builtinId="4" customBuiltin="1"/>
    <cellStyle name="Currency [0]" xfId="65" builtinId="7" customBuiltin="1"/>
    <cellStyle name="Currency 2" xfId="137" xr:uid="{BD53AFBC-BA63-46ED-8CFC-A0707D27E985}"/>
    <cellStyle name="Explanatory Text" xfId="66" builtinId="53" customBuiltin="1"/>
    <cellStyle name="Good" xfId="67" builtinId="26" customBuiltin="1"/>
    <cellStyle name="Good 2" xfId="68" xr:uid="{00000000-0005-0000-0000-000043000000}"/>
    <cellStyle name="Heading 1" xfId="69" builtinId="16" customBuiltin="1"/>
    <cellStyle name="Heading 2" xfId="70" builtinId="17" customBuiltin="1"/>
    <cellStyle name="Heading 3" xfId="71" builtinId="18" customBuiltin="1"/>
    <cellStyle name="Heading 4" xfId="72" builtinId="19" customBuiltin="1"/>
    <cellStyle name="Hyperlink" xfId="73" builtinId="8"/>
    <cellStyle name="Hyperlink 2" xfId="150" xr:uid="{84BBA0B1-F026-418F-80FF-CBF7B1A69ADA}"/>
    <cellStyle name="Input" xfId="74" builtinId="20" customBuiltin="1"/>
    <cellStyle name="Input 2" xfId="75" xr:uid="{00000000-0005-0000-0000-00004A000000}"/>
    <cellStyle name="Input1" xfId="76" xr:uid="{00000000-0005-0000-0000-00004B000000}"/>
    <cellStyle name="Input1 2" xfId="77" xr:uid="{00000000-0005-0000-0000-00004C000000}"/>
    <cellStyle name="Input1 2 2" xfId="78" xr:uid="{00000000-0005-0000-0000-00004D000000}"/>
    <cellStyle name="Input1 3" xfId="79" xr:uid="{00000000-0005-0000-0000-00004E000000}"/>
    <cellStyle name="Input2" xfId="80" xr:uid="{00000000-0005-0000-0000-00004F000000}"/>
    <cellStyle name="Input2 2" xfId="81" xr:uid="{00000000-0005-0000-0000-000050000000}"/>
    <cellStyle name="Input3" xfId="82" xr:uid="{00000000-0005-0000-0000-000051000000}"/>
    <cellStyle name="Input3 2" xfId="83" xr:uid="{00000000-0005-0000-0000-000052000000}"/>
    <cellStyle name="Input3 2 2" xfId="84" xr:uid="{00000000-0005-0000-0000-000053000000}"/>
    <cellStyle name="Input3 3" xfId="85" xr:uid="{00000000-0005-0000-0000-000054000000}"/>
    <cellStyle name="Linked Cell" xfId="86" builtinId="24" customBuiltin="1"/>
    <cellStyle name="Neutral" xfId="87" builtinId="28" customBuiltin="1"/>
    <cellStyle name="Neutral 2" xfId="88" xr:uid="{00000000-0005-0000-0000-000057000000}"/>
    <cellStyle name="Normal" xfId="0" builtinId="0" customBuiltin="1"/>
    <cellStyle name="Normal - Style1 2" xfId="133" xr:uid="{D80CFC04-5549-4E83-8856-82C2CD83C03E}"/>
    <cellStyle name="Normal 10" xfId="128" xr:uid="{B524D1B1-983C-4A7E-8DEB-EC063EA4E42B}"/>
    <cellStyle name="Normal 107" xfId="147" xr:uid="{F28D766B-0BB2-4EC5-BE18-52705046086B}"/>
    <cellStyle name="Normal 11 2 3" xfId="142" xr:uid="{BC0C4272-FB40-4457-A30A-37A2F81CE087}"/>
    <cellStyle name="Normal 2" xfId="89" xr:uid="{00000000-0005-0000-0000-000059000000}"/>
    <cellStyle name="Normal 2 2" xfId="90" xr:uid="{00000000-0005-0000-0000-00005A000000}"/>
    <cellStyle name="Normal 3" xfId="91" xr:uid="{00000000-0005-0000-0000-00005B000000}"/>
    <cellStyle name="Normal 3 2" xfId="92" xr:uid="{00000000-0005-0000-0000-00005C000000}"/>
    <cellStyle name="Normal 3 2 3" xfId="134" xr:uid="{6397F126-80C5-4DCF-B2C9-50E75DE8E652}"/>
    <cellStyle name="Normal 3 3" xfId="124" xr:uid="{6CF5E21C-53ED-4D36-A34C-B97C0750AC34}"/>
    <cellStyle name="Normal 4" xfId="93" xr:uid="{00000000-0005-0000-0000-00005D000000}"/>
    <cellStyle name="Normal 4 2" xfId="130" xr:uid="{23F50F63-D0E0-47AB-8CEB-7A37201E08A2}"/>
    <cellStyle name="Normal 42" xfId="146" xr:uid="{E95F3D7F-2B45-4DFD-8D90-EACF16CC625D}"/>
    <cellStyle name="Normal 5" xfId="122" xr:uid="{21F84259-8CA1-4A12-9560-3014CF3C95EF}"/>
    <cellStyle name="Normal 6" xfId="139" xr:uid="{12AFEF7B-C303-439A-A5D5-DF65C538AE22}"/>
    <cellStyle name="Normal_2010 06 02 - Urgent RIN for Vic DNSPs revised proposals" xfId="94" xr:uid="{00000000-0005-0000-0000-00005E000000}"/>
    <cellStyle name="Normal_2010 06 22 - AA - Scheme Templates for data collection" xfId="95" xr:uid="{00000000-0005-0000-0000-00005F000000}"/>
    <cellStyle name="Normal_2010 06 22 - IE - Scheme Template for data collection" xfId="96" xr:uid="{00000000-0005-0000-0000-000060000000}"/>
    <cellStyle name="Normal_Book1" xfId="97" xr:uid="{00000000-0005-0000-0000-000061000000}"/>
    <cellStyle name="Normal_D11 2371025  Financial information - 2012 Draft RIN - Ausgrid" xfId="98" xr:uid="{00000000-0005-0000-0000-000062000000}"/>
    <cellStyle name="Normal_D11 2371025  Financial information - 2012 Draft RIN - Ausgrid 2" xfId="99" xr:uid="{00000000-0005-0000-0000-000063000000}"/>
    <cellStyle name="Normal_D11 2371025  Financial information - 2012 Draft RIN - Ausgrid 2 2" xfId="141" xr:uid="{B153C392-7D44-49F1-A134-C33A3D18F247}"/>
    <cellStyle name="Normal_D12 1569  Opex, DMIS, EBSS - 2012 draft RIN - Ausgrid" xfId="100" xr:uid="{00000000-0005-0000-0000-000064000000}"/>
    <cellStyle name="Normal_D12 16703  Overheads, Avoided Cost, ACS, Demand and Revenue - 2012 draft RIN - Ausgrid" xfId="101" xr:uid="{00000000-0005-0000-0000-000065000000}"/>
    <cellStyle name="Normal_D12 16703  Overheads, Avoided Cost, ACS, Demand and Revenue - 2012 draft RIN - Ausgrid 2" xfId="102" xr:uid="{00000000-0005-0000-0000-000066000000}"/>
    <cellStyle name="Normal_D12 16703  Overheads, Avoided Cost, ACS, Demand and Revenue - 2012 draft RIN - Ausgrid 3" xfId="145" xr:uid="{6B372A91-12F5-4805-8922-B1200DC972C6}"/>
    <cellStyle name="Normal_Sheet1" xfId="103" xr:uid="{00000000-0005-0000-0000-000067000000}"/>
    <cellStyle name="Note" xfId="104" builtinId="10" customBuiltin="1"/>
    <cellStyle name="Note 2" xfId="105" xr:uid="{00000000-0005-0000-0000-000069000000}"/>
    <cellStyle name="Output" xfId="106" builtinId="21" customBuiltin="1"/>
    <cellStyle name="Output 2" xfId="107" xr:uid="{00000000-0005-0000-0000-00006B000000}"/>
    <cellStyle name="Percent" xfId="108" builtinId="5"/>
    <cellStyle name="Percent 2" xfId="109" xr:uid="{00000000-0005-0000-0000-00006D000000}"/>
    <cellStyle name="Percent 2 2" xfId="144" xr:uid="{E11BB77E-2FA8-4799-AA05-0373F8576FBC}"/>
    <cellStyle name="Percent 3" xfId="129" xr:uid="{F66FF4D9-34F6-45AB-9840-B6973658649A}"/>
    <cellStyle name="Percent 3 2" xfId="138" xr:uid="{7F2BAA0F-2E27-4A16-AC09-DD65ED083DC5}"/>
    <cellStyle name="Percent 4" xfId="149" xr:uid="{241F7018-AA7A-40A7-8A9C-82207715ACFA}"/>
    <cellStyle name="Style 1" xfId="110" xr:uid="{00000000-0005-0000-0000-00006E000000}"/>
    <cellStyle name="Style 1 2" xfId="111" xr:uid="{00000000-0005-0000-0000-00006F000000}"/>
    <cellStyle name="Style 1 2 2" xfId="112" xr:uid="{00000000-0005-0000-0000-000070000000}"/>
    <cellStyle name="Style 1 3" xfId="113" xr:uid="{00000000-0005-0000-0000-000071000000}"/>
    <cellStyle name="Subtitle" xfId="114" xr:uid="{00000000-0005-0000-0000-000072000000}"/>
    <cellStyle name="Table Heading" xfId="115" xr:uid="{00000000-0005-0000-0000-000073000000}"/>
    <cellStyle name="Table Text" xfId="116" xr:uid="{00000000-0005-0000-0000-000074000000}"/>
    <cellStyle name="Table Text With Lines" xfId="117" xr:uid="{00000000-0005-0000-0000-000075000000}"/>
    <cellStyle name="Table Total Row" xfId="118" xr:uid="{00000000-0005-0000-0000-000076000000}"/>
    <cellStyle name="Title" xfId="119" builtinId="15" customBuiltin="1"/>
    <cellStyle name="Total" xfId="120" builtinId="25" customBuiltin="1"/>
    <cellStyle name="Warning Text" xfId="121" builtinId="11" customBuiltin="1"/>
  </cellStyles>
  <dxfs count="11">
    <dxf>
      <font>
        <outline val="0"/>
        <shadow val="0"/>
        <u val="none"/>
        <vertAlign val="baseline"/>
        <sz val="11"/>
        <name val="Arial"/>
        <family val="2"/>
        <scheme val="none"/>
      </font>
      <numFmt numFmtId="0" formatCode="General"/>
      <alignment horizontal="general" vertical="top" textRotation="0" wrapText="1" indent="0" justifyLastLine="0" shrinkToFit="0" readingOrder="0"/>
    </dxf>
    <dxf>
      <font>
        <outline val="0"/>
        <shadow val="0"/>
        <u val="none"/>
        <vertAlign val="baseline"/>
        <sz val="11"/>
        <name val="Arial"/>
        <family val="2"/>
        <scheme val="none"/>
      </font>
      <numFmt numFmtId="0" formatCode="General"/>
      <alignment vertical="top" textRotation="0" indent="0" justifyLastLine="0" shrinkToFit="0" readingOrder="0"/>
    </dxf>
    <dxf>
      <font>
        <outline val="0"/>
        <shadow val="0"/>
        <u val="none"/>
        <vertAlign val="baseline"/>
        <sz val="11"/>
        <name val="Arial"/>
        <family val="2"/>
        <scheme val="none"/>
      </font>
      <numFmt numFmtId="0" formatCode="General"/>
      <alignment vertical="top" textRotation="0" indent="0" justifyLastLine="0" shrinkToFit="0" readingOrder="0"/>
    </dxf>
    <dxf>
      <font>
        <outline val="0"/>
        <shadow val="0"/>
        <u val="none"/>
        <vertAlign val="baseline"/>
        <sz val="11"/>
        <name val="Arial"/>
        <family val="2"/>
        <scheme val="none"/>
      </font>
      <numFmt numFmtId="0" formatCode="General"/>
      <alignment horizontal="left" vertical="top" textRotation="0" wrapText="0" indent="0" justifyLastLine="0" shrinkToFit="0" readingOrder="0"/>
    </dxf>
    <dxf>
      <font>
        <outline val="0"/>
        <shadow val="0"/>
        <u val="none"/>
        <vertAlign val="baseline"/>
        <sz val="11"/>
        <name val="Arial"/>
        <family val="2"/>
        <scheme val="none"/>
      </font>
      <numFmt numFmtId="0" formatCode="General"/>
      <alignment vertical="top" textRotation="0" indent="0" justifyLastLine="0" shrinkToFit="0" readingOrder="0"/>
    </dxf>
    <dxf>
      <font>
        <outline val="0"/>
        <shadow val="0"/>
        <u val="none"/>
        <vertAlign val="baseline"/>
        <sz val="11"/>
        <name val="Arial"/>
        <family val="2"/>
        <scheme val="none"/>
      </font>
      <alignment horizontal="center" vertical="top" textRotation="0" wrapText="0" indent="0" justifyLastLine="0" shrinkToFit="0" readingOrder="0"/>
    </dxf>
    <dxf>
      <font>
        <outline val="0"/>
        <shadow val="0"/>
        <u val="none"/>
        <vertAlign val="baseline"/>
        <sz val="11"/>
        <name val="Arial"/>
        <family val="2"/>
        <scheme val="none"/>
      </font>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1" indent="0" justifyLastLine="0" shrinkToFit="0" readingOrder="0"/>
    </dxf>
    <dxf>
      <font>
        <b/>
        <i val="0"/>
        <color rgb="FFFFFFFF"/>
      </font>
      <fill>
        <patternFill>
          <bgColor theme="3"/>
        </patternFill>
      </fill>
      <border>
        <left/>
        <right/>
        <top style="thin">
          <color theme="4"/>
        </top>
        <bottom style="thin">
          <color theme="4"/>
        </bottom>
        <vertical style="thin">
          <color rgb="FFFFFFFF"/>
        </vertical>
        <horizontal style="thin">
          <color rgb="FFFFFFFF"/>
        </horizontal>
      </border>
    </dxf>
    <dxf>
      <font>
        <b val="0"/>
        <i val="0"/>
        <color theme="1"/>
        <name val="Arial"/>
        <scheme val="minor"/>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ERA Table Grid" pivot="0" count="2" xr9:uid="{00000000-0011-0000-FFFF-FFFF00000000}">
      <tableStyleElement type="wholeTable" dxfId="10"/>
      <tableStyleElement type="headerRow" dxfId="9"/>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image" Target="../media/image1.png"/><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30480</xdr:colOff>
      <xdr:row>0</xdr:row>
      <xdr:rowOff>30480</xdr:rowOff>
    </xdr:from>
    <xdr:to>
      <xdr:col>4</xdr:col>
      <xdr:colOff>1562100</xdr:colOff>
      <xdr:row>2</xdr:row>
      <xdr:rowOff>53340</xdr:rowOff>
    </xdr:to>
    <xdr:pic>
      <xdr:nvPicPr>
        <xdr:cNvPr id="10650" name="Picture 1">
          <a:extLst>
            <a:ext uri="{FF2B5EF4-FFF2-40B4-BE49-F238E27FC236}">
              <a16:creationId xmlns:a16="http://schemas.microsoft.com/office/drawing/2014/main" id="{F9843479-99BF-42A9-A999-4524DEF94A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5960" y="30480"/>
          <a:ext cx="15163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xdr:row>
      <xdr:rowOff>16193</xdr:rowOff>
    </xdr:from>
    <xdr:to>
      <xdr:col>4</xdr:col>
      <xdr:colOff>128662</xdr:colOff>
      <xdr:row>8</xdr:row>
      <xdr:rowOff>16193</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4C1D9731-915E-42BA-8FD7-96F30D31649D}"/>
            </a:ext>
          </a:extLst>
        </xdr:cNvPr>
        <xdr:cNvSpPr>
          <a:spLocks noChangeArrowheads="1"/>
        </xdr:cNvSpPr>
      </xdr:nvSpPr>
      <xdr:spPr bwMode="auto">
        <a:xfrm>
          <a:off x="876300" y="1143001"/>
          <a:ext cx="2743200" cy="571500"/>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algn="l" rtl="0">
            <a:defRPr sz="1000"/>
          </a:pPr>
          <a:r>
            <a:rPr lang="en-AU" sz="1000" b="1" i="0" u="none" strike="noStrike" baseline="0">
              <a:solidFill>
                <a:schemeClr val="bg1"/>
              </a:solidFill>
              <a:latin typeface="Arial"/>
              <a:cs typeface="Arial"/>
            </a:rPr>
            <a:t>Cover sheet</a:t>
          </a:r>
        </a:p>
      </xdr:txBody>
    </xdr:sp>
    <xdr:clientData/>
  </xdr:twoCellAnchor>
  <xdr:twoCellAnchor>
    <xdr:from>
      <xdr:col>2</xdr:col>
      <xdr:colOff>0</xdr:colOff>
      <xdr:row>9</xdr:row>
      <xdr:rowOff>6666</xdr:rowOff>
    </xdr:from>
    <xdr:to>
      <xdr:col>4</xdr:col>
      <xdr:colOff>124929</xdr:colOff>
      <xdr:row>12</xdr:row>
      <xdr:rowOff>16226</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9138939C-AD8D-4F9F-A4CF-255B9484AD22}"/>
            </a:ext>
          </a:extLst>
        </xdr:cNvPr>
        <xdr:cNvSpPr>
          <a:spLocks noChangeArrowheads="1"/>
        </xdr:cNvSpPr>
      </xdr:nvSpPr>
      <xdr:spPr bwMode="auto">
        <a:xfrm>
          <a:off x="885825" y="1903094"/>
          <a:ext cx="2724150" cy="573406"/>
        </a:xfrm>
        <a:prstGeom prst="bevel">
          <a:avLst>
            <a:gd name="adj" fmla="val 12500"/>
          </a:avLst>
        </a:prstGeom>
        <a:solidFill>
          <a:srgbClr val="009999">
            <a:alpha val="89412"/>
          </a:srgbClr>
        </a:solidFill>
        <a:ln>
          <a:noFill/>
        </a:ln>
      </xdr:spPr>
      <xdr:txBody>
        <a:bodyPr vertOverflow="clip" wrap="square" lIns="180000" tIns="45720" rIns="180000" bIns="45720" anchor="ctr"/>
        <a:lstStyle/>
        <a:p>
          <a:pPr marL="0" indent="0" algn="l" rtl="0">
            <a:defRPr sz="1000"/>
          </a:pPr>
          <a:r>
            <a:rPr lang="en-AU" sz="1000" b="1" i="0" u="none" strike="noStrike" baseline="0">
              <a:solidFill>
                <a:schemeClr val="bg1"/>
              </a:solidFill>
              <a:latin typeface="Arial"/>
              <a:ea typeface="+mn-ea"/>
              <a:cs typeface="Arial"/>
            </a:rPr>
            <a:t>1. Pipeline information</a:t>
          </a:r>
        </a:p>
      </xdr:txBody>
    </xdr:sp>
    <xdr:clientData/>
  </xdr:twoCellAnchor>
  <xdr:twoCellAnchor>
    <xdr:from>
      <xdr:col>2</xdr:col>
      <xdr:colOff>20226</xdr:colOff>
      <xdr:row>16</xdr:row>
      <xdr:rowOff>69250</xdr:rowOff>
    </xdr:from>
    <xdr:to>
      <xdr:col>4</xdr:col>
      <xdr:colOff>132268</xdr:colOff>
      <xdr:row>19</xdr:row>
      <xdr:rowOff>69532</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97293203-76C7-4B23-99C3-91160C792C8A}"/>
            </a:ext>
          </a:extLst>
        </xdr:cNvPr>
        <xdr:cNvSpPr>
          <a:spLocks noChangeArrowheads="1"/>
        </xdr:cNvSpPr>
      </xdr:nvSpPr>
      <xdr:spPr bwMode="auto">
        <a:xfrm>
          <a:off x="922244" y="3322038"/>
          <a:ext cx="2706781" cy="571782"/>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2. Revenues and expenses</a:t>
          </a:r>
        </a:p>
      </xdr:txBody>
    </xdr:sp>
    <xdr:clientData/>
  </xdr:twoCellAnchor>
  <xdr:twoCellAnchor>
    <xdr:from>
      <xdr:col>2</xdr:col>
      <xdr:colOff>162653</xdr:colOff>
      <xdr:row>27</xdr:row>
      <xdr:rowOff>100236</xdr:rowOff>
    </xdr:from>
    <xdr:to>
      <xdr:col>4</xdr:col>
      <xdr:colOff>244931</xdr:colOff>
      <xdr:row>30</xdr:row>
      <xdr:rowOff>107951</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A98B3BCB-46FE-4ED0-8DF5-7DB3DFD17038}"/>
            </a:ext>
          </a:extLst>
        </xdr:cNvPr>
        <xdr:cNvSpPr>
          <a:spLocks noChangeArrowheads="1"/>
        </xdr:cNvSpPr>
      </xdr:nvSpPr>
      <xdr:spPr bwMode="auto">
        <a:xfrm>
          <a:off x="1131346" y="5479004"/>
          <a:ext cx="2667266" cy="61529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165287</xdr:colOff>
      <xdr:row>23</xdr:row>
      <xdr:rowOff>107633</xdr:rowOff>
    </xdr:from>
    <xdr:to>
      <xdr:col>4</xdr:col>
      <xdr:colOff>259697</xdr:colOff>
      <xdr:row>27</xdr:row>
      <xdr:rowOff>19461</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4AD50F41-935F-4155-B846-B9974F8E3806}"/>
            </a:ext>
          </a:extLst>
        </xdr:cNvPr>
        <xdr:cNvSpPr>
          <a:spLocks noChangeArrowheads="1"/>
        </xdr:cNvSpPr>
      </xdr:nvSpPr>
      <xdr:spPr bwMode="auto">
        <a:xfrm>
          <a:off x="1133980" y="4760596"/>
          <a:ext cx="2688127" cy="60171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182879</xdr:colOff>
      <xdr:row>12</xdr:row>
      <xdr:rowOff>65162</xdr:rowOff>
    </xdr:from>
    <xdr:to>
      <xdr:col>4</xdr:col>
      <xdr:colOff>275793</xdr:colOff>
      <xdr:row>15</xdr:row>
      <xdr:rowOff>64998</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DB4886DD-9C1C-491B-B388-C7C6B3D86F95}"/>
            </a:ext>
          </a:extLst>
        </xdr:cNvPr>
        <xdr:cNvSpPr>
          <a:spLocks noChangeArrowheads="1"/>
        </xdr:cNvSpPr>
      </xdr:nvSpPr>
      <xdr:spPr bwMode="auto">
        <a:xfrm>
          <a:off x="1266824" y="26378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176212</xdr:colOff>
      <xdr:row>31</xdr:row>
      <xdr:rowOff>59503</xdr:rowOff>
    </xdr:from>
    <xdr:to>
      <xdr:col>4</xdr:col>
      <xdr:colOff>259601</xdr:colOff>
      <xdr:row>34</xdr:row>
      <xdr:rowOff>58137</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D97C8872-AD78-4911-89C3-D11EBBB42C69}"/>
            </a:ext>
          </a:extLst>
        </xdr:cNvPr>
        <xdr:cNvSpPr>
          <a:spLocks noChangeArrowheads="1"/>
        </xdr:cNvSpPr>
      </xdr:nvSpPr>
      <xdr:spPr bwMode="auto">
        <a:xfrm>
          <a:off x="1152525" y="6175506"/>
          <a:ext cx="2669476" cy="570134"/>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5</xdr:col>
      <xdr:colOff>93233</xdr:colOff>
      <xdr:row>5</xdr:row>
      <xdr:rowOff>17761</xdr:rowOff>
    </xdr:from>
    <xdr:to>
      <xdr:col>8</xdr:col>
      <xdr:colOff>8491</xdr:colOff>
      <xdr:row>7</xdr:row>
      <xdr:rowOff>152516</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32DF7CA1-5B83-482C-8ECF-469C34F090DE}"/>
            </a:ext>
          </a:extLst>
        </xdr:cNvPr>
        <xdr:cNvSpPr>
          <a:spLocks noChangeArrowheads="1"/>
        </xdr:cNvSpPr>
      </xdr:nvSpPr>
      <xdr:spPr bwMode="auto">
        <a:xfrm>
          <a:off x="4692856" y="1150284"/>
          <a:ext cx="2841420" cy="545135"/>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3. Statement of pipeline assets</a:t>
          </a:r>
        </a:p>
      </xdr:txBody>
    </xdr:sp>
    <xdr:clientData/>
  </xdr:twoCellAnchor>
  <xdr:twoCellAnchor>
    <xdr:from>
      <xdr:col>5</xdr:col>
      <xdr:colOff>54062</xdr:colOff>
      <xdr:row>24</xdr:row>
      <xdr:rowOff>30647</xdr:rowOff>
    </xdr:from>
    <xdr:to>
      <xdr:col>8</xdr:col>
      <xdr:colOff>31449</xdr:colOff>
      <xdr:row>27</xdr:row>
      <xdr:rowOff>30388</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FC1CA5C-6A10-4571-96BF-05F67F766CDC}"/>
            </a:ext>
          </a:extLst>
        </xdr:cNvPr>
        <xdr:cNvSpPr>
          <a:spLocks noChangeAspect="1" noChangeArrowheads="1"/>
        </xdr:cNvSpPr>
      </xdr:nvSpPr>
      <xdr:spPr bwMode="auto">
        <a:xfrm>
          <a:off x="4202200" y="4801720"/>
          <a:ext cx="2493875"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5. Weighted average price</a:t>
          </a:r>
        </a:p>
      </xdr:txBody>
    </xdr:sp>
    <xdr:clientData/>
  </xdr:twoCellAnchor>
  <xdr:twoCellAnchor>
    <xdr:from>
      <xdr:col>5</xdr:col>
      <xdr:colOff>47346</xdr:colOff>
      <xdr:row>31</xdr:row>
      <xdr:rowOff>81747</xdr:rowOff>
    </xdr:from>
    <xdr:to>
      <xdr:col>8</xdr:col>
      <xdr:colOff>6677</xdr:colOff>
      <xdr:row>34</xdr:row>
      <xdr:rowOff>185948</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83AEE5CD-3A09-46FC-A1EE-FD4287A16B26}"/>
            </a:ext>
          </a:extLst>
        </xdr:cNvPr>
        <xdr:cNvSpPr>
          <a:spLocks noChangeArrowheads="1"/>
        </xdr:cNvSpPr>
      </xdr:nvSpPr>
      <xdr:spPr bwMode="auto">
        <a:xfrm>
          <a:off x="4632681" y="6232040"/>
          <a:ext cx="2833014" cy="598064"/>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6. Notes</a:t>
          </a:r>
        </a:p>
      </xdr:txBody>
    </xdr:sp>
    <xdr:clientData/>
  </xdr:twoCellAnchor>
  <xdr:twoCellAnchor>
    <xdr:from>
      <xdr:col>6</xdr:col>
      <xdr:colOff>98443</xdr:colOff>
      <xdr:row>8</xdr:row>
      <xdr:rowOff>62471</xdr:rowOff>
    </xdr:from>
    <xdr:to>
      <xdr:col>8</xdr:col>
      <xdr:colOff>168888</xdr:colOff>
      <xdr:row>11</xdr:row>
      <xdr:rowOff>70011</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DE9EE794-4578-4391-B116-2A6960CDBFE2}"/>
            </a:ext>
          </a:extLst>
        </xdr:cNvPr>
        <xdr:cNvSpPr>
          <a:spLocks noChangeArrowheads="1"/>
        </xdr:cNvSpPr>
      </xdr:nvSpPr>
      <xdr:spPr bwMode="auto">
        <a:xfrm>
          <a:off x="5065731" y="1806499"/>
          <a:ext cx="2649720" cy="57131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176492</xdr:colOff>
      <xdr:row>20</xdr:row>
      <xdr:rowOff>51155</xdr:rowOff>
    </xdr:from>
    <xdr:to>
      <xdr:col>4</xdr:col>
      <xdr:colOff>275149</xdr:colOff>
      <xdr:row>23</xdr:row>
      <xdr:rowOff>55834</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19D6E921-CCB6-4CF6-883D-9F776EC48839}"/>
            </a:ext>
          </a:extLst>
        </xdr:cNvPr>
        <xdr:cNvSpPr>
          <a:spLocks noChangeArrowheads="1"/>
        </xdr:cNvSpPr>
      </xdr:nvSpPr>
      <xdr:spPr bwMode="auto">
        <a:xfrm>
          <a:off x="1271867" y="409070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5</xdr:col>
      <xdr:colOff>77657</xdr:colOff>
      <xdr:row>16</xdr:row>
      <xdr:rowOff>58156</xdr:rowOff>
    </xdr:from>
    <xdr:to>
      <xdr:col>8</xdr:col>
      <xdr:colOff>31635</xdr:colOff>
      <xdr:row>19</xdr:row>
      <xdr:rowOff>57894</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87BC1A8A-9332-45A3-82C1-A0764871EE0D}"/>
            </a:ext>
          </a:extLst>
        </xdr:cNvPr>
        <xdr:cNvSpPr>
          <a:spLocks noChangeArrowheads="1"/>
        </xdr:cNvSpPr>
      </xdr:nvSpPr>
      <xdr:spPr bwMode="auto">
        <a:xfrm>
          <a:off x="4213412" y="3369047"/>
          <a:ext cx="2492188" cy="57600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4.  Recovered capital</a:t>
          </a:r>
        </a:p>
      </xdr:txBody>
    </xdr:sp>
    <xdr:clientData/>
  </xdr:twoCellAnchor>
  <xdr:twoCellAnchor>
    <xdr:from>
      <xdr:col>6</xdr:col>
      <xdr:colOff>99624</xdr:colOff>
      <xdr:row>27</xdr:row>
      <xdr:rowOff>85611</xdr:rowOff>
    </xdr:from>
    <xdr:to>
      <xdr:col>8</xdr:col>
      <xdr:colOff>168830</xdr:colOff>
      <xdr:row>30</xdr:row>
      <xdr:rowOff>93086</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E591BBB8-3002-4930-A407-8EB946E7D84D}"/>
            </a:ext>
          </a:extLst>
        </xdr:cNvPr>
        <xdr:cNvSpPr>
          <a:spLocks noChangeArrowheads="1"/>
        </xdr:cNvSpPr>
      </xdr:nvSpPr>
      <xdr:spPr bwMode="auto">
        <a:xfrm>
          <a:off x="5048814" y="5466284"/>
          <a:ext cx="2666544" cy="5846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93961</xdr:colOff>
      <xdr:row>12</xdr:row>
      <xdr:rowOff>23754</xdr:rowOff>
    </xdr:from>
    <xdr:to>
      <xdr:col>8</xdr:col>
      <xdr:colOff>168489</xdr:colOff>
      <xdr:row>15</xdr:row>
      <xdr:rowOff>41889</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6BD87C3C-B886-441D-80BE-A840B56DE15C}"/>
            </a:ext>
          </a:extLst>
        </xdr:cNvPr>
        <xdr:cNvSpPr>
          <a:spLocks noChangeArrowheads="1"/>
        </xdr:cNvSpPr>
      </xdr:nvSpPr>
      <xdr:spPr bwMode="auto">
        <a:xfrm>
          <a:off x="5047914" y="2512637"/>
          <a:ext cx="2667226" cy="561901"/>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72053</xdr:colOff>
      <xdr:row>20</xdr:row>
      <xdr:rowOff>20786</xdr:rowOff>
    </xdr:from>
    <xdr:to>
      <xdr:col>8</xdr:col>
      <xdr:colOff>168479</xdr:colOff>
      <xdr:row>23</xdr:row>
      <xdr:rowOff>20598</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961204E6-E076-4762-B8BB-0F068541D79A}"/>
            </a:ext>
          </a:extLst>
        </xdr:cNvPr>
        <xdr:cNvSpPr>
          <a:spLocks noChangeArrowheads="1"/>
        </xdr:cNvSpPr>
      </xdr:nvSpPr>
      <xdr:spPr bwMode="auto">
        <a:xfrm>
          <a:off x="5030768" y="4018429"/>
          <a:ext cx="2684354" cy="590362"/>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5</xdr:col>
      <xdr:colOff>53340</xdr:colOff>
      <xdr:row>36</xdr:row>
      <xdr:rowOff>0</xdr:rowOff>
    </xdr:from>
    <xdr:to>
      <xdr:col>8</xdr:col>
      <xdr:colOff>12358</xdr:colOff>
      <xdr:row>38</xdr:row>
      <xdr:rowOff>99769</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D825D337-F70D-4226-BCD6-F337D1174102}"/>
            </a:ext>
          </a:extLst>
        </xdr:cNvPr>
        <xdr:cNvSpPr>
          <a:spLocks noChangeArrowheads="1"/>
        </xdr:cNvSpPr>
      </xdr:nvSpPr>
      <xdr:spPr bwMode="auto">
        <a:xfrm>
          <a:off x="4644390" y="7010400"/>
          <a:ext cx="2827003" cy="563880"/>
        </a:xfrm>
        <a:prstGeom prst="bevel">
          <a:avLst>
            <a:gd name="adj" fmla="val 12500"/>
          </a:avLst>
        </a:prstGeom>
        <a:solidFill>
          <a:srgbClr val="009999">
            <a:alpha val="89412"/>
          </a:srgbClr>
        </a:solidFill>
        <a:ln>
          <a:noFill/>
        </a:ln>
      </xdr:spPr>
      <xdr:txBody>
        <a:bodyPr vertOverflow="clip" wrap="square" lIns="180000" tIns="46800" rIns="180000" bIns="46800" anchor="ctr"/>
        <a:lstStyle/>
        <a:p>
          <a:pPr algn="l" rtl="0">
            <a:defRPr sz="1000"/>
          </a:pPr>
          <a:r>
            <a:rPr lang="en-AU" sz="1000" b="1" i="0" u="none" strike="noStrike" baseline="0">
              <a:solidFill>
                <a:schemeClr val="bg1"/>
              </a:solidFill>
              <a:latin typeface="Arial"/>
              <a:cs typeface="Arial"/>
            </a:rPr>
            <a:t>Amendment record</a:t>
          </a:r>
        </a:p>
      </xdr:txBody>
    </xdr:sp>
    <xdr:clientData/>
  </xdr:twoCellAnchor>
  <xdr:twoCellAnchor editAs="oneCell">
    <xdr:from>
      <xdr:col>1</xdr:col>
      <xdr:colOff>30480</xdr:colOff>
      <xdr:row>1</xdr:row>
      <xdr:rowOff>30480</xdr:rowOff>
    </xdr:from>
    <xdr:to>
      <xdr:col>3</xdr:col>
      <xdr:colOff>30480</xdr:colOff>
      <xdr:row>3</xdr:row>
      <xdr:rowOff>38100</xdr:rowOff>
    </xdr:to>
    <xdr:pic>
      <xdr:nvPicPr>
        <xdr:cNvPr id="95959" name="Picture 1">
          <a:extLst>
            <a:ext uri="{FF2B5EF4-FFF2-40B4-BE49-F238E27FC236}">
              <a16:creationId xmlns:a16="http://schemas.microsoft.com/office/drawing/2014/main" id="{99D61CBD-B0C1-4843-959F-1AD33E91ADDF}"/>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7680" y="320040"/>
          <a:ext cx="169164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30" name="Group 1">
          <a:extLst>
            <a:ext uri="{FF2B5EF4-FFF2-40B4-BE49-F238E27FC236}">
              <a16:creationId xmlns:a16="http://schemas.microsoft.com/office/drawing/2014/main" id="{53BA3937-A378-4A0A-92A7-23C7FCA3BC99}"/>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1624D266-74D0-446F-98BA-B7712F6850B6}"/>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6" name="Picture 3">
            <a:extLst>
              <a:ext uri="{FF2B5EF4-FFF2-40B4-BE49-F238E27FC236}">
                <a16:creationId xmlns:a16="http://schemas.microsoft.com/office/drawing/2014/main" id="{8F24E0C1-46CD-4177-BC8A-EDCE59BE07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31" name="Group 7">
          <a:extLst>
            <a:ext uri="{FF2B5EF4-FFF2-40B4-BE49-F238E27FC236}">
              <a16:creationId xmlns:a16="http://schemas.microsoft.com/office/drawing/2014/main" id="{2C218558-FFCE-45C6-8F5E-796F42F24EA4}"/>
            </a:ext>
          </a:extLst>
        </xdr:cNvPr>
        <xdr:cNvGrpSpPr>
          <a:grpSpLocks/>
        </xdr:cNvGrpSpPr>
      </xdr:nvGrpSpPr>
      <xdr:grpSpPr bwMode="auto">
        <a:xfrm>
          <a:off x="0" y="0"/>
          <a:ext cx="904875"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680D0892-DD03-48E2-8D9C-AD8E4EC1BCDD}"/>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34" name="Picture 9">
            <a:extLst>
              <a:ext uri="{FF2B5EF4-FFF2-40B4-BE49-F238E27FC236}">
                <a16:creationId xmlns:a16="http://schemas.microsoft.com/office/drawing/2014/main" id="{D874C011-2F40-4998-A14B-D77C87BFCA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2138</xdr:colOff>
      <xdr:row>0</xdr:row>
      <xdr:rowOff>352424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5DE3D170-C099-46CF-83E7-9121CD4B2E13}"/>
            </a:ext>
          </a:extLst>
        </xdr:cNvPr>
        <xdr:cNvSpPr>
          <a:spLocks noChangeArrowheads="1"/>
        </xdr:cNvSpPr>
      </xdr:nvSpPr>
      <xdr:spPr bwMode="auto">
        <a:xfrm>
          <a:off x="0" y="0"/>
          <a:ext cx="907013" cy="3524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1009650</xdr:colOff>
      <xdr:row>1</xdr:row>
      <xdr:rowOff>16543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A6E6D2FE-4653-475C-A1FE-02C7C906C05E}"/>
            </a:ext>
          </a:extLst>
        </xdr:cNvPr>
        <xdr:cNvSpPr>
          <a:spLocks noChangeArrowheads="1"/>
        </xdr:cNvSpPr>
      </xdr:nvSpPr>
      <xdr:spPr bwMode="auto">
        <a:xfrm>
          <a:off x="0" y="0"/>
          <a:ext cx="1009650" cy="28324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68017B7A-503E-4AD2-9EEB-264377772E81}"/>
            </a:ext>
          </a:extLst>
        </xdr:cNvPr>
        <xdr:cNvSpPr>
          <a:spLocks noChangeArrowheads="1"/>
        </xdr:cNvSpPr>
      </xdr:nvSpPr>
      <xdr:spPr bwMode="auto">
        <a:xfrm>
          <a:off x="0" y="0"/>
          <a:ext cx="800100" cy="23812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1174BD7-2932-4FD7-8BC5-09DE23898A57}"/>
            </a:ext>
          </a:extLst>
        </xdr:cNvPr>
        <xdr:cNvSpPr>
          <a:spLocks noChangeArrowheads="1"/>
        </xdr:cNvSpPr>
      </xdr:nvSpPr>
      <xdr:spPr bwMode="auto">
        <a:xfrm>
          <a:off x="0" y="0"/>
          <a:ext cx="81915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387" name="Group 1">
          <a:extLst>
            <a:ext uri="{FF2B5EF4-FFF2-40B4-BE49-F238E27FC236}">
              <a16:creationId xmlns:a16="http://schemas.microsoft.com/office/drawing/2014/main" id="{EAF0FD6C-38AF-44AC-AF40-07DC0C098889}"/>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3DC3D0E3-6A09-4131-BC17-DF94E596EBE6}"/>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3" name="Picture 3">
            <a:extLst>
              <a:ext uri="{FF2B5EF4-FFF2-40B4-BE49-F238E27FC236}">
                <a16:creationId xmlns:a16="http://schemas.microsoft.com/office/drawing/2014/main" id="{B65B3C0B-5622-4534-8E10-CD9CA5B0AD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388" name="Group 7">
          <a:extLst>
            <a:ext uri="{FF2B5EF4-FFF2-40B4-BE49-F238E27FC236}">
              <a16:creationId xmlns:a16="http://schemas.microsoft.com/office/drawing/2014/main" id="{72794A1A-3445-46A8-8177-405965EF9F39}"/>
            </a:ext>
          </a:extLst>
        </xdr:cNvPr>
        <xdr:cNvGrpSpPr>
          <a:grpSpLocks/>
        </xdr:cNvGrpSpPr>
      </xdr:nvGrpSpPr>
      <xdr:grpSpPr bwMode="auto">
        <a:xfrm>
          <a:off x="0" y="0"/>
          <a:ext cx="904875"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82CE4735-D318-4C11-A615-94573039EC20}"/>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391" name="Picture 9">
            <a:extLst>
              <a:ext uri="{FF2B5EF4-FFF2-40B4-BE49-F238E27FC236}">
                <a16:creationId xmlns:a16="http://schemas.microsoft.com/office/drawing/2014/main" id="{D8AE9FC3-0892-429B-8E17-210E15744B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262874</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F780279-3AA7-4DA5-86E8-B70BFC083095}"/>
            </a:ext>
          </a:extLst>
        </xdr:cNvPr>
        <xdr:cNvSpPr>
          <a:spLocks noChangeArrowheads="1"/>
        </xdr:cNvSpPr>
      </xdr:nvSpPr>
      <xdr:spPr bwMode="auto">
        <a:xfrm>
          <a:off x="0" y="0"/>
          <a:ext cx="800100"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1921</xdr:colOff>
      <xdr:row>1</xdr:row>
      <xdr:rowOff>28575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3B801187-2EAE-4DA5-9ACB-E92231CD9130}"/>
            </a:ext>
          </a:extLst>
        </xdr:cNvPr>
        <xdr:cNvSpPr>
          <a:spLocks noChangeArrowheads="1"/>
        </xdr:cNvSpPr>
      </xdr:nvSpPr>
      <xdr:spPr bwMode="auto">
        <a:xfrm>
          <a:off x="0" y="0"/>
          <a:ext cx="944896"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0</xdr:colOff>
      <xdr:row>1</xdr:row>
      <xdr:rowOff>3685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29E0BF9F-8FFC-476F-BE1D-09F169723C4C}"/>
            </a:ext>
          </a:extLst>
        </xdr:cNvPr>
        <xdr:cNvSpPr>
          <a:spLocks noChangeArrowheads="1"/>
        </xdr:cNvSpPr>
      </xdr:nvSpPr>
      <xdr:spPr bwMode="auto">
        <a:xfrm>
          <a:off x="1" y="0"/>
          <a:ext cx="781049" cy="2476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4040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9BCD5B3F-935B-4A3C-8122-31E0D259324C}"/>
            </a:ext>
          </a:extLst>
        </xdr:cNvPr>
        <xdr:cNvSpPr>
          <a:spLocks noChangeArrowheads="1"/>
        </xdr:cNvSpPr>
      </xdr:nvSpPr>
      <xdr:spPr bwMode="auto">
        <a:xfrm>
          <a:off x="0" y="0"/>
          <a:ext cx="800100" cy="25526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A163B888-3A4F-401B-B3E5-A054183A6F19}"/>
            </a:ext>
          </a:extLst>
        </xdr:cNvPr>
        <xdr:cNvSpPr>
          <a:spLocks noChangeArrowheads="1"/>
        </xdr:cNvSpPr>
      </xdr:nvSpPr>
      <xdr:spPr bwMode="auto">
        <a:xfrm>
          <a:off x="0" y="0"/>
          <a:ext cx="800100"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1959</xdr:colOff>
      <xdr:row>1</xdr:row>
      <xdr:rowOff>25595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4DBD592B-B207-4129-A85B-AE0EE20F6A16}"/>
            </a:ext>
          </a:extLst>
        </xdr:cNvPr>
        <xdr:cNvSpPr>
          <a:spLocks noChangeArrowheads="1"/>
        </xdr:cNvSpPr>
      </xdr:nvSpPr>
      <xdr:spPr bwMode="auto">
        <a:xfrm>
          <a:off x="0" y="0"/>
          <a:ext cx="809625" cy="28575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513869</xdr:colOff>
      <xdr:row>31</xdr:row>
      <xdr:rowOff>75526</xdr:rowOff>
    </xdr:to>
    <xdr:pic>
      <xdr:nvPicPr>
        <xdr:cNvPr id="4" name="Picture 3">
          <a:extLst>
            <a:ext uri="{FF2B5EF4-FFF2-40B4-BE49-F238E27FC236}">
              <a16:creationId xmlns:a16="http://schemas.microsoft.com/office/drawing/2014/main" id="{3ABF6C9C-24DB-4BE6-9C4A-B7B2F5FF39DE}"/>
            </a:ext>
          </a:extLst>
        </xdr:cNvPr>
        <xdr:cNvPicPr>
          <a:picLocks noChangeAspect="1"/>
        </xdr:cNvPicPr>
      </xdr:nvPicPr>
      <xdr:blipFill>
        <a:blip xmlns:r="http://schemas.openxmlformats.org/officeDocument/2006/relationships" r:embed="rId1"/>
        <a:stretch>
          <a:fillRect/>
        </a:stretch>
      </xdr:blipFill>
      <xdr:spPr>
        <a:xfrm>
          <a:off x="0" y="0"/>
          <a:ext cx="3847619" cy="5390476"/>
        </a:xfrm>
        <a:prstGeom prst="rect">
          <a:avLst/>
        </a:prstGeom>
      </xdr:spPr>
    </xdr:pic>
    <xdr:clientData/>
  </xdr:twoCellAnchor>
  <xdr:twoCellAnchor editAs="oneCell">
    <xdr:from>
      <xdr:col>6</xdr:col>
      <xdr:colOff>0</xdr:colOff>
      <xdr:row>0</xdr:row>
      <xdr:rowOff>0</xdr:rowOff>
    </xdr:from>
    <xdr:to>
      <xdr:col>11</xdr:col>
      <xdr:colOff>475774</xdr:colOff>
      <xdr:row>31</xdr:row>
      <xdr:rowOff>37431</xdr:rowOff>
    </xdr:to>
    <xdr:pic>
      <xdr:nvPicPr>
        <xdr:cNvPr id="5" name="Picture 4">
          <a:extLst>
            <a:ext uri="{FF2B5EF4-FFF2-40B4-BE49-F238E27FC236}">
              <a16:creationId xmlns:a16="http://schemas.microsoft.com/office/drawing/2014/main" id="{8B546D38-5E9B-45F9-84C4-E9D8D209A4A1}"/>
            </a:ext>
          </a:extLst>
        </xdr:cNvPr>
        <xdr:cNvPicPr>
          <a:picLocks noChangeAspect="1"/>
        </xdr:cNvPicPr>
      </xdr:nvPicPr>
      <xdr:blipFill>
        <a:blip xmlns:r="http://schemas.openxmlformats.org/officeDocument/2006/relationships" r:embed="rId2"/>
        <a:stretch>
          <a:fillRect/>
        </a:stretch>
      </xdr:blipFill>
      <xdr:spPr>
        <a:xfrm>
          <a:off x="4000500" y="0"/>
          <a:ext cx="3809524" cy="535238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3062</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A3B42BF8-A463-4DA9-8416-FC2D7057B03F}"/>
            </a:ext>
          </a:extLst>
        </xdr:cNvPr>
        <xdr:cNvSpPr>
          <a:spLocks noChangeArrowheads="1"/>
        </xdr:cNvSpPr>
      </xdr:nvSpPr>
      <xdr:spPr bwMode="auto">
        <a:xfrm>
          <a:off x="0" y="0"/>
          <a:ext cx="762000" cy="2697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2058</xdr:colOff>
      <xdr:row>1</xdr:row>
      <xdr:rowOff>31317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9E339CE-A461-480E-8269-A9BAB7518EF8}"/>
            </a:ext>
          </a:extLst>
        </xdr:cNvPr>
        <xdr:cNvSpPr>
          <a:spLocks noChangeArrowheads="1"/>
        </xdr:cNvSpPr>
      </xdr:nvSpPr>
      <xdr:spPr bwMode="auto">
        <a:xfrm>
          <a:off x="0" y="0"/>
          <a:ext cx="847724" cy="28936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590059</xdr:colOff>
      <xdr:row>30</xdr:row>
      <xdr:rowOff>46994</xdr:rowOff>
    </xdr:to>
    <xdr:pic>
      <xdr:nvPicPr>
        <xdr:cNvPr id="3" name="Picture 2">
          <a:extLst>
            <a:ext uri="{FF2B5EF4-FFF2-40B4-BE49-F238E27FC236}">
              <a16:creationId xmlns:a16="http://schemas.microsoft.com/office/drawing/2014/main" id="{3D5BFB8F-A819-4FAE-9733-2E4240A79109}"/>
            </a:ext>
          </a:extLst>
        </xdr:cNvPr>
        <xdr:cNvPicPr>
          <a:picLocks noChangeAspect="1"/>
        </xdr:cNvPicPr>
      </xdr:nvPicPr>
      <xdr:blipFill>
        <a:blip xmlns:r="http://schemas.openxmlformats.org/officeDocument/2006/relationships" r:embed="rId1"/>
        <a:stretch>
          <a:fillRect/>
        </a:stretch>
      </xdr:blipFill>
      <xdr:spPr>
        <a:xfrm>
          <a:off x="0" y="0"/>
          <a:ext cx="3923809" cy="5047619"/>
        </a:xfrm>
        <a:prstGeom prst="rect">
          <a:avLst/>
        </a:prstGeom>
      </xdr:spPr>
    </xdr:pic>
    <xdr:clientData/>
  </xdr:twoCellAnchor>
  <xdr:twoCellAnchor editAs="oneCell">
    <xdr:from>
      <xdr:col>6</xdr:col>
      <xdr:colOff>0</xdr:colOff>
      <xdr:row>0</xdr:row>
      <xdr:rowOff>0</xdr:rowOff>
    </xdr:from>
    <xdr:to>
      <xdr:col>11</xdr:col>
      <xdr:colOff>559583</xdr:colOff>
      <xdr:row>30</xdr:row>
      <xdr:rowOff>0</xdr:rowOff>
    </xdr:to>
    <xdr:pic>
      <xdr:nvPicPr>
        <xdr:cNvPr id="5" name="Picture 4">
          <a:extLst>
            <a:ext uri="{FF2B5EF4-FFF2-40B4-BE49-F238E27FC236}">
              <a16:creationId xmlns:a16="http://schemas.microsoft.com/office/drawing/2014/main" id="{0DDDC127-6A05-47B9-B95E-77118A91B329}"/>
            </a:ext>
          </a:extLst>
        </xdr:cNvPr>
        <xdr:cNvPicPr>
          <a:picLocks noChangeAspect="1"/>
        </xdr:cNvPicPr>
      </xdr:nvPicPr>
      <xdr:blipFill>
        <a:blip xmlns:r="http://schemas.openxmlformats.org/officeDocument/2006/relationships" r:embed="rId2"/>
        <a:stretch>
          <a:fillRect/>
        </a:stretch>
      </xdr:blipFill>
      <xdr:spPr>
        <a:xfrm>
          <a:off x="4000500" y="0"/>
          <a:ext cx="3893333" cy="52387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805295</xdr:colOff>
      <xdr:row>1</xdr:row>
      <xdr:rowOff>15341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B895B368-ACED-4B8E-AE11-35EB48A9861F}"/>
            </a:ext>
          </a:extLst>
        </xdr:cNvPr>
        <xdr:cNvSpPr>
          <a:spLocks noChangeArrowheads="1"/>
        </xdr:cNvSpPr>
      </xdr:nvSpPr>
      <xdr:spPr bwMode="auto">
        <a:xfrm>
          <a:off x="0" y="0"/>
          <a:ext cx="805295" cy="27511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4002" name="Group 1">
          <a:extLst>
            <a:ext uri="{FF2B5EF4-FFF2-40B4-BE49-F238E27FC236}">
              <a16:creationId xmlns:a16="http://schemas.microsoft.com/office/drawing/2014/main" id="{DEB94867-2CA8-4978-99B8-AB5778892411}"/>
            </a:ext>
          </a:extLst>
        </xdr:cNvPr>
        <xdr:cNvGrpSpPr>
          <a:grpSpLocks/>
        </xdr:cNvGrpSpPr>
      </xdr:nvGrpSpPr>
      <xdr:grpSpPr bwMode="auto">
        <a:xfrm>
          <a:off x="0" y="0"/>
          <a:ext cx="904875"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312A2D71-3F38-47F1-AB79-AD297B774FB1}"/>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8" name="Picture 3">
            <a:extLst>
              <a:ext uri="{FF2B5EF4-FFF2-40B4-BE49-F238E27FC236}">
                <a16:creationId xmlns:a16="http://schemas.microsoft.com/office/drawing/2014/main" id="{DE72B6AF-D172-4023-A042-7B00752C7C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4003" name="Group 7">
          <a:extLst>
            <a:ext uri="{FF2B5EF4-FFF2-40B4-BE49-F238E27FC236}">
              <a16:creationId xmlns:a16="http://schemas.microsoft.com/office/drawing/2014/main" id="{01B67A2F-0E19-412E-9791-3F4DB11C20C4}"/>
            </a:ext>
          </a:extLst>
        </xdr:cNvPr>
        <xdr:cNvGrpSpPr>
          <a:grpSpLocks/>
        </xdr:cNvGrpSpPr>
      </xdr:nvGrpSpPr>
      <xdr:grpSpPr bwMode="auto">
        <a:xfrm>
          <a:off x="0" y="0"/>
          <a:ext cx="904875"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41DF5943-B345-4EC3-B0C5-CE870F7221C6}"/>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4006" name="Picture 9">
            <a:extLst>
              <a:ext uri="{FF2B5EF4-FFF2-40B4-BE49-F238E27FC236}">
                <a16:creationId xmlns:a16="http://schemas.microsoft.com/office/drawing/2014/main" id="{DB3AD005-6ED3-4B8E-89B7-43A623A564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2036</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F57A4F3F-4B99-4992-8ACC-97E2ABDF2651}"/>
            </a:ext>
          </a:extLst>
        </xdr:cNvPr>
        <xdr:cNvSpPr>
          <a:spLocks noChangeArrowheads="1"/>
        </xdr:cNvSpPr>
      </xdr:nvSpPr>
      <xdr:spPr bwMode="auto">
        <a:xfrm>
          <a:off x="0" y="0"/>
          <a:ext cx="771524"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6521" name="Group 1">
          <a:extLst>
            <a:ext uri="{FF2B5EF4-FFF2-40B4-BE49-F238E27FC236}">
              <a16:creationId xmlns:a16="http://schemas.microsoft.com/office/drawing/2014/main" id="{0451A897-D434-4083-AD8B-26248C4A4E44}"/>
            </a:ext>
          </a:extLst>
        </xdr:cNvPr>
        <xdr:cNvGrpSpPr>
          <a:grpSpLocks/>
        </xdr:cNvGrpSpPr>
      </xdr:nvGrpSpPr>
      <xdr:grpSpPr bwMode="auto">
        <a:xfrm>
          <a:off x="0" y="0"/>
          <a:ext cx="928688"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AAA0275-6893-4854-BB68-DD30C3697F88}"/>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7" name="Picture 3">
            <a:extLst>
              <a:ext uri="{FF2B5EF4-FFF2-40B4-BE49-F238E27FC236}">
                <a16:creationId xmlns:a16="http://schemas.microsoft.com/office/drawing/2014/main" id="{C394CA95-FF46-4BD2-970F-8B2F954E2B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6522" name="Group 7">
          <a:extLst>
            <a:ext uri="{FF2B5EF4-FFF2-40B4-BE49-F238E27FC236}">
              <a16:creationId xmlns:a16="http://schemas.microsoft.com/office/drawing/2014/main" id="{7E4BE384-BE31-42F2-93D1-689873EF8777}"/>
            </a:ext>
          </a:extLst>
        </xdr:cNvPr>
        <xdr:cNvGrpSpPr>
          <a:grpSpLocks/>
        </xdr:cNvGrpSpPr>
      </xdr:nvGrpSpPr>
      <xdr:grpSpPr bwMode="auto">
        <a:xfrm>
          <a:off x="0" y="0"/>
          <a:ext cx="928688"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EEFD2915-67D1-4806-A1DB-F055748C7D0D}"/>
              </a:ext>
            </a:extLst>
          </xdr:cNvPr>
          <xdr:cNvSpPr>
            <a:spLocks noChangeArrowheads="1"/>
          </xdr:cNvSpPr>
        </xdr:nvSpPr>
        <xdr:spPr bwMode="auto">
          <a:xfrm>
            <a:off x="-14024181451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6525" name="Picture 9">
            <a:extLst>
              <a:ext uri="{FF2B5EF4-FFF2-40B4-BE49-F238E27FC236}">
                <a16:creationId xmlns:a16="http://schemas.microsoft.com/office/drawing/2014/main" id="{CBAECCE3-9DE7-4D74-8294-00563242D0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1</xdr:row>
      <xdr:rowOff>0</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93BFBAA4-F7E1-42AD-AD8C-6A7B10922DFA}"/>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597678</xdr:colOff>
      <xdr:row>30</xdr:row>
      <xdr:rowOff>86994</xdr:rowOff>
    </xdr:to>
    <xdr:pic>
      <xdr:nvPicPr>
        <xdr:cNvPr id="2" name="Picture 1">
          <a:extLst>
            <a:ext uri="{FF2B5EF4-FFF2-40B4-BE49-F238E27FC236}">
              <a16:creationId xmlns:a16="http://schemas.microsoft.com/office/drawing/2014/main" id="{B2491F45-A2E8-49E3-856D-DA5114EEF26F}"/>
            </a:ext>
          </a:extLst>
        </xdr:cNvPr>
        <xdr:cNvPicPr>
          <a:picLocks noChangeAspect="1"/>
        </xdr:cNvPicPr>
      </xdr:nvPicPr>
      <xdr:blipFill>
        <a:blip xmlns:r="http://schemas.openxmlformats.org/officeDocument/2006/relationships" r:embed="rId1"/>
        <a:stretch>
          <a:fillRect/>
        </a:stretch>
      </xdr:blipFill>
      <xdr:spPr>
        <a:xfrm>
          <a:off x="0" y="0"/>
          <a:ext cx="3931428" cy="5087619"/>
        </a:xfrm>
        <a:prstGeom prst="rect">
          <a:avLst/>
        </a:prstGeom>
      </xdr:spPr>
    </xdr:pic>
    <xdr:clientData/>
  </xdr:twoCellAnchor>
  <xdr:twoCellAnchor editAs="oneCell">
    <xdr:from>
      <xdr:col>7</xdr:col>
      <xdr:colOff>0</xdr:colOff>
      <xdr:row>0</xdr:row>
      <xdr:rowOff>0</xdr:rowOff>
    </xdr:from>
    <xdr:to>
      <xdr:col>12</xdr:col>
      <xdr:colOff>609107</xdr:colOff>
      <xdr:row>30</xdr:row>
      <xdr:rowOff>56518</xdr:rowOff>
    </xdr:to>
    <xdr:pic>
      <xdr:nvPicPr>
        <xdr:cNvPr id="3" name="Picture 2">
          <a:extLst>
            <a:ext uri="{FF2B5EF4-FFF2-40B4-BE49-F238E27FC236}">
              <a16:creationId xmlns:a16="http://schemas.microsoft.com/office/drawing/2014/main" id="{2D7659F4-F5C8-4804-B1D2-083E1A771BFB}"/>
            </a:ext>
          </a:extLst>
        </xdr:cNvPr>
        <xdr:cNvPicPr>
          <a:picLocks noChangeAspect="1"/>
        </xdr:cNvPicPr>
      </xdr:nvPicPr>
      <xdr:blipFill>
        <a:blip xmlns:r="http://schemas.openxmlformats.org/officeDocument/2006/relationships" r:embed="rId2"/>
        <a:stretch>
          <a:fillRect/>
        </a:stretch>
      </xdr:blipFill>
      <xdr:spPr>
        <a:xfrm>
          <a:off x="4667250" y="0"/>
          <a:ext cx="3942857" cy="505714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18522</xdr:colOff>
      <xdr:row>0</xdr:row>
      <xdr:rowOff>219075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8EE88053-CC92-4754-B236-99102BFFEC8D}"/>
            </a:ext>
          </a:extLst>
        </xdr:cNvPr>
        <xdr:cNvSpPr>
          <a:spLocks noChangeArrowheads="1"/>
        </xdr:cNvSpPr>
      </xdr:nvSpPr>
      <xdr:spPr bwMode="auto">
        <a:xfrm>
          <a:off x="0" y="0"/>
          <a:ext cx="828147" cy="2190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C17C7613-15AA-4B45-8553-B6789C2ABBB0}"/>
            </a:ext>
          </a:extLst>
        </xdr:cNvPr>
        <xdr:cNvSpPr>
          <a:spLocks noChangeArrowheads="1"/>
        </xdr:cNvSpPr>
      </xdr:nvSpPr>
      <xdr:spPr bwMode="auto">
        <a:xfrm>
          <a:off x="0" y="0"/>
          <a:ext cx="847725" cy="2571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efreshError="1">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0" totalsRowShown="0" headerRowDxfId="8" dataDxfId="7">
  <autoFilter ref="A2:G90" xr:uid="{00000000-0009-0000-0100-000001000000}"/>
  <tableColumns count="7">
    <tableColumn id="1" xr3:uid="{00000000-0010-0000-0000-000001000000}" name="Date" dataDxfId="6"/>
    <tableColumn id="2" xr3:uid="{00000000-0010-0000-0000-000002000000}" name="ERA amendment#" dataDxfId="5"/>
    <tableColumn id="3" xr3:uid="{00000000-0010-0000-0000-000003000000}" name="Worksheet" dataDxfId="4"/>
    <tableColumn id="4" xr3:uid="{00000000-0010-0000-0000-000004000000}" name="Table" dataDxfId="3"/>
    <tableColumn id="5" xr3:uid="{00000000-0010-0000-0000-000005000000}" name="Cell" dataDxfId="2"/>
    <tableColumn id="6" xr3:uid="{00000000-0010-0000-0000-000006000000}" name="Change" dataDxfId="1"/>
    <tableColumn id="7" xr3:uid="{00000000-0010-0000-0000-000007000000}" name="Reason" dataDxfId="0"/>
  </tableColumns>
  <tableStyleInfo name="TableStyleLight9" showFirstColumn="0" showLastColumn="0" showRowStripes="1" showColumnStripes="0"/>
</table>
</file>

<file path=xl/theme/theme1.xml><?xml version="1.0" encoding="utf-8"?>
<a:theme xmlns:a="http://schemas.openxmlformats.org/drawingml/2006/main" name="ERA WA">
  <a:themeElements>
    <a:clrScheme name="ERA WA">
      <a:dk1>
        <a:srgbClr val="191919"/>
      </a:dk1>
      <a:lt1>
        <a:srgbClr val="FFFFFF"/>
      </a:lt1>
      <a:dk2>
        <a:srgbClr val="00A0B3"/>
      </a:dk2>
      <a:lt2>
        <a:srgbClr val="F2F0EE"/>
      </a:lt2>
      <a:accent1>
        <a:srgbClr val="00A0B3"/>
      </a:accent1>
      <a:accent2>
        <a:srgbClr val="B1DFDC"/>
      </a:accent2>
      <a:accent3>
        <a:srgbClr val="BFB6AC"/>
      </a:accent3>
      <a:accent4>
        <a:srgbClr val="EAEA54"/>
      </a:accent4>
      <a:accent5>
        <a:srgbClr val="82AA82"/>
      </a:accent5>
      <a:accent6>
        <a:srgbClr val="FFC896"/>
      </a:accent6>
      <a:hlink>
        <a:srgbClr val="0000FF"/>
      </a:hlink>
      <a:folHlink>
        <a:srgbClr val="800080"/>
      </a:folHlink>
    </a:clrScheme>
    <a:fontScheme name="Arial">
      <a:majorFont>
        <a:latin typeface="Arial"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Primary Teal">
      <a:srgbClr val="00A0B3"/>
    </a:custClr>
    <a:custClr name="Primary Teal tint">
      <a:srgbClr val="00ABBA"/>
    </a:custClr>
    <a:custClr name="Primary Grey">
      <a:srgbClr val="BFB6AC"/>
    </a:custClr>
    <a:custClr name="Primary Grey Tint">
      <a:srgbClr val="C9C1B9"/>
    </a:custClr>
    <a:custClr name="Secondary Yellow">
      <a:srgbClr val="F9F7C6"/>
    </a:custClr>
    <a:custClr name="Secondary Green">
      <a:srgbClr val="BADBD9"/>
    </a:custClr>
    <a:custClr name="Secondary blue">
      <a:srgbClr val="B1DFDC"/>
    </a:custClr>
    <a:custClr name="Chart Yellow">
      <a:srgbClr val="EAEA54"/>
    </a:custClr>
    <a:custClr name="Chart Green">
      <a:srgbClr val="82AA82"/>
    </a:custClr>
    <a:custClr name="Chart Orange">
      <a:srgbClr val="FFC896"/>
    </a:custClr>
    <a:custClr name="Chart Dark Teal">
      <a:srgbClr val="006E78"/>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46"/>
  <sheetViews>
    <sheetView tabSelected="1" zoomScale="80" zoomScaleNormal="80" workbookViewId="0"/>
  </sheetViews>
  <sheetFormatPr defaultColWidth="9" defaultRowHeight="13.2" x14ac:dyDescent="0.25"/>
  <cols>
    <col min="1" max="1" width="26.5" style="2" customWidth="1"/>
    <col min="2" max="2" width="23.5" style="2" customWidth="1"/>
    <col min="3" max="4" width="12.69921875" style="2" customWidth="1"/>
    <col min="5" max="5" width="31.69921875" style="2" customWidth="1"/>
    <col min="6" max="11" width="12.69921875" style="2" customWidth="1"/>
    <col min="12" max="16384" width="9" style="2"/>
  </cols>
  <sheetData>
    <row r="1" spans="1:9" ht="21" x14ac:dyDescent="0.4">
      <c r="A1" s="1" t="s">
        <v>24</v>
      </c>
    </row>
    <row r="2" spans="1:9" ht="21" x14ac:dyDescent="0.4">
      <c r="A2" s="1" t="s">
        <v>141</v>
      </c>
    </row>
    <row r="4" spans="1:9" x14ac:dyDescent="0.25">
      <c r="A4" s="3" t="s">
        <v>25</v>
      </c>
    </row>
    <row r="5" spans="1:9" ht="13.8" thickBot="1" x14ac:dyDescent="0.3"/>
    <row r="6" spans="1:9" ht="15.6" x14ac:dyDescent="0.3">
      <c r="A6" s="475" t="s">
        <v>1</v>
      </c>
      <c r="B6" s="476"/>
      <c r="C6" s="476"/>
      <c r="D6" s="476"/>
      <c r="E6" s="476"/>
      <c r="F6" s="476"/>
      <c r="G6" s="476"/>
      <c r="H6" s="477"/>
    </row>
    <row r="7" spans="1:9" x14ac:dyDescent="0.25">
      <c r="A7" s="85" t="s">
        <v>317</v>
      </c>
      <c r="B7" s="86"/>
      <c r="C7" s="86"/>
      <c r="D7" s="86"/>
      <c r="E7" s="86"/>
      <c r="F7" s="86"/>
      <c r="G7" s="86"/>
      <c r="H7" s="87"/>
    </row>
    <row r="8" spans="1:9" x14ac:dyDescent="0.25">
      <c r="A8" s="88" t="s">
        <v>2</v>
      </c>
      <c r="B8" s="89"/>
      <c r="C8" s="89"/>
      <c r="D8" s="89"/>
      <c r="E8" s="89"/>
      <c r="F8" s="89"/>
      <c r="G8" s="89"/>
      <c r="H8" s="90"/>
    </row>
    <row r="9" spans="1:9" ht="13.8" thickBot="1" x14ac:dyDescent="0.3">
      <c r="A9" s="91" t="s">
        <v>3</v>
      </c>
      <c r="B9" s="92"/>
      <c r="C9" s="92"/>
      <c r="D9" s="92"/>
      <c r="E9" s="92"/>
      <c r="F9" s="92"/>
      <c r="G9" s="92"/>
      <c r="H9" s="93"/>
    </row>
    <row r="10" spans="1:9" x14ac:dyDescent="0.25">
      <c r="A10" s="500"/>
      <c r="B10" s="501"/>
      <c r="C10" s="501"/>
      <c r="D10" s="501"/>
      <c r="E10" s="501"/>
      <c r="F10" s="501"/>
      <c r="G10" s="501"/>
      <c r="H10" s="501"/>
    </row>
    <row r="11" spans="1:9" x14ac:dyDescent="0.25">
      <c r="A11" s="4" t="s">
        <v>4</v>
      </c>
      <c r="B11" s="5"/>
      <c r="C11" s="5"/>
      <c r="D11" s="6"/>
      <c r="E11" s="6"/>
      <c r="F11" s="6"/>
    </row>
    <row r="12" spans="1:9" x14ac:dyDescent="0.25">
      <c r="A12" s="7" t="s">
        <v>5</v>
      </c>
    </row>
    <row r="14" spans="1:9" x14ac:dyDescent="0.25">
      <c r="I14" s="8"/>
    </row>
    <row r="15" spans="1:9" ht="17.399999999999999" x14ac:dyDescent="0.3">
      <c r="A15" s="94" t="s">
        <v>186</v>
      </c>
      <c r="B15" s="95"/>
      <c r="C15" s="507" t="s">
        <v>536</v>
      </c>
      <c r="D15" s="481"/>
      <c r="E15" s="481"/>
    </row>
    <row r="16" spans="1:9" ht="17.399999999999999" x14ac:dyDescent="0.3">
      <c r="A16" s="96"/>
      <c r="B16" s="97"/>
    </row>
    <row r="17" spans="1:11" ht="17.399999999999999" x14ac:dyDescent="0.3">
      <c r="A17" s="94" t="s">
        <v>26</v>
      </c>
      <c r="B17" s="95"/>
      <c r="C17" s="480" t="s">
        <v>537</v>
      </c>
      <c r="D17" s="481"/>
      <c r="E17" s="481"/>
    </row>
    <row r="18" spans="1:11" ht="17.399999999999999" x14ac:dyDescent="0.3">
      <c r="A18" s="96"/>
      <c r="B18" s="97"/>
      <c r="C18" s="502"/>
      <c r="D18" s="503"/>
      <c r="E18" s="503"/>
    </row>
    <row r="19" spans="1:11" ht="17.399999999999999" x14ac:dyDescent="0.3">
      <c r="A19" s="94" t="s">
        <v>187</v>
      </c>
      <c r="B19" s="95"/>
      <c r="C19" s="504" t="s">
        <v>546</v>
      </c>
      <c r="D19" s="505"/>
      <c r="E19" s="506"/>
      <c r="G19" s="45"/>
    </row>
    <row r="20" spans="1:11" x14ac:dyDescent="0.25">
      <c r="A20" s="98"/>
      <c r="B20" s="99"/>
    </row>
    <row r="21" spans="1:11" ht="17.399999999999999" x14ac:dyDescent="0.3">
      <c r="A21" s="94" t="s">
        <v>142</v>
      </c>
      <c r="B21" s="95"/>
      <c r="C21" s="482">
        <v>44378</v>
      </c>
      <c r="D21" s="483"/>
      <c r="E21" s="484"/>
    </row>
    <row r="22" spans="1:11" x14ac:dyDescent="0.25">
      <c r="A22" s="98"/>
      <c r="B22" s="99"/>
    </row>
    <row r="23" spans="1:11" ht="17.399999999999999" x14ac:dyDescent="0.3">
      <c r="A23" s="94" t="s">
        <v>143</v>
      </c>
      <c r="B23" s="95"/>
      <c r="C23" s="482">
        <v>44742</v>
      </c>
      <c r="D23" s="483"/>
      <c r="E23" s="484"/>
    </row>
    <row r="25" spans="1:11" ht="17.399999999999999" x14ac:dyDescent="0.3">
      <c r="A25" s="94" t="s">
        <v>215</v>
      </c>
      <c r="B25" s="95"/>
      <c r="C25" s="485">
        <v>35247</v>
      </c>
      <c r="D25" s="482"/>
      <c r="E25" s="486"/>
    </row>
    <row r="27" spans="1:11" ht="17.399999999999999" x14ac:dyDescent="0.3">
      <c r="A27" s="94" t="s">
        <v>346</v>
      </c>
      <c r="B27" s="95"/>
      <c r="C27" s="485">
        <v>44865</v>
      </c>
      <c r="D27" s="482"/>
      <c r="E27" s="486"/>
    </row>
    <row r="28" spans="1:11" ht="13.5" customHeight="1" x14ac:dyDescent="0.3">
      <c r="A28" s="332"/>
      <c r="B28" s="333"/>
      <c r="C28" s="258"/>
      <c r="D28" s="258"/>
      <c r="E28" s="258"/>
    </row>
    <row r="29" spans="1:11" ht="17.399999999999999" x14ac:dyDescent="0.3">
      <c r="A29" s="94" t="s">
        <v>347</v>
      </c>
      <c r="B29" s="95"/>
      <c r="C29" s="485">
        <v>44742</v>
      </c>
      <c r="D29" s="482"/>
      <c r="E29" s="486"/>
    </row>
    <row r="30" spans="1:11" ht="17.399999999999999" x14ac:dyDescent="0.3">
      <c r="A30" s="334"/>
      <c r="B30" s="334"/>
    </row>
    <row r="31" spans="1:11" ht="58.5" customHeight="1" x14ac:dyDescent="0.3">
      <c r="A31" s="493" t="s">
        <v>348</v>
      </c>
      <c r="B31" s="494"/>
      <c r="C31" s="487" t="s">
        <v>438</v>
      </c>
      <c r="D31" s="488"/>
      <c r="E31" s="489"/>
      <c r="F31" s="490" t="s">
        <v>358</v>
      </c>
      <c r="G31" s="491"/>
      <c r="H31" s="492"/>
      <c r="I31" s="487"/>
      <c r="J31" s="488"/>
      <c r="K31" s="489"/>
    </row>
    <row r="32" spans="1:11" ht="13.8" thickBot="1" x14ac:dyDescent="0.3"/>
    <row r="33" spans="1:7" x14ac:dyDescent="0.25">
      <c r="A33" s="100"/>
      <c r="B33" s="101"/>
      <c r="C33" s="101"/>
      <c r="D33" s="101"/>
      <c r="E33" s="102"/>
      <c r="F33" s="102"/>
      <c r="G33" s="103"/>
    </row>
    <row r="34" spans="1:7" ht="15.6" x14ac:dyDescent="0.3">
      <c r="A34" s="104" t="s">
        <v>6</v>
      </c>
      <c r="B34" s="473" t="s">
        <v>7</v>
      </c>
      <c r="C34" s="474"/>
      <c r="D34" s="478" t="s">
        <v>547</v>
      </c>
      <c r="E34" s="479"/>
      <c r="F34" s="479"/>
      <c r="G34" s="105"/>
    </row>
    <row r="35" spans="1:7" x14ac:dyDescent="0.25">
      <c r="A35" s="106"/>
      <c r="B35" s="473" t="s">
        <v>8</v>
      </c>
      <c r="C35" s="474"/>
      <c r="D35" s="478" t="s">
        <v>548</v>
      </c>
      <c r="E35" s="479"/>
      <c r="F35" s="479"/>
      <c r="G35" s="105"/>
    </row>
    <row r="36" spans="1:7" x14ac:dyDescent="0.25">
      <c r="A36" s="106"/>
      <c r="B36" s="107"/>
      <c r="C36" s="108" t="s">
        <v>9</v>
      </c>
      <c r="D36" s="109" t="s">
        <v>549</v>
      </c>
      <c r="E36" s="108" t="s">
        <v>10</v>
      </c>
      <c r="F36" s="109">
        <v>2000</v>
      </c>
      <c r="G36" s="110"/>
    </row>
    <row r="37" spans="1:7" x14ac:dyDescent="0.25">
      <c r="A37" s="106"/>
      <c r="B37" s="107"/>
      <c r="C37" s="107"/>
      <c r="D37" s="107"/>
      <c r="E37" s="111"/>
      <c r="F37" s="107"/>
      <c r="G37" s="112"/>
    </row>
    <row r="38" spans="1:7" ht="15.6" x14ac:dyDescent="0.3">
      <c r="A38" s="104" t="s">
        <v>11</v>
      </c>
      <c r="B38" s="473" t="s">
        <v>7</v>
      </c>
      <c r="C38" s="474"/>
      <c r="D38" s="472" t="s">
        <v>550</v>
      </c>
      <c r="E38" s="472"/>
      <c r="F38" s="472"/>
      <c r="G38" s="113"/>
    </row>
    <row r="39" spans="1:7" x14ac:dyDescent="0.25">
      <c r="A39" s="106"/>
      <c r="B39" s="473" t="s">
        <v>8</v>
      </c>
      <c r="C39" s="474"/>
      <c r="D39" s="472" t="s">
        <v>548</v>
      </c>
      <c r="E39" s="472"/>
      <c r="F39" s="472"/>
      <c r="G39" s="113"/>
    </row>
    <row r="40" spans="1:7" x14ac:dyDescent="0.25">
      <c r="A40" s="114"/>
      <c r="B40" s="107"/>
      <c r="C40" s="108" t="s">
        <v>9</v>
      </c>
      <c r="D40" s="109" t="s">
        <v>549</v>
      </c>
      <c r="E40" s="108" t="s">
        <v>10</v>
      </c>
      <c r="F40" s="109">
        <v>1225</v>
      </c>
      <c r="G40" s="110"/>
    </row>
    <row r="41" spans="1:7" ht="13.8" thickBot="1" x14ac:dyDescent="0.3">
      <c r="A41" s="115"/>
      <c r="B41" s="116"/>
      <c r="C41" s="116"/>
      <c r="D41" s="116"/>
      <c r="E41" s="117"/>
      <c r="F41" s="117"/>
      <c r="G41" s="118"/>
    </row>
    <row r="42" spans="1:7" x14ac:dyDescent="0.25">
      <c r="A42" s="100"/>
      <c r="B42" s="101"/>
      <c r="C42" s="101"/>
      <c r="D42" s="101"/>
      <c r="E42" s="102"/>
      <c r="F42" s="102"/>
      <c r="G42" s="103"/>
    </row>
    <row r="43" spans="1:7" x14ac:dyDescent="0.25">
      <c r="A43" s="114" t="s">
        <v>12</v>
      </c>
      <c r="B43" s="478" t="s">
        <v>588</v>
      </c>
      <c r="C43" s="479"/>
      <c r="D43" s="497"/>
      <c r="E43" s="497"/>
      <c r="F43" s="498"/>
      <c r="G43" s="112"/>
    </row>
    <row r="44" spans="1:7" x14ac:dyDescent="0.25">
      <c r="A44" s="114" t="s">
        <v>13</v>
      </c>
      <c r="B44" s="499" t="s">
        <v>592</v>
      </c>
      <c r="C44" s="479"/>
      <c r="D44" s="479"/>
      <c r="E44" s="479"/>
      <c r="F44" s="496"/>
      <c r="G44" s="112"/>
    </row>
    <row r="45" spans="1:7" x14ac:dyDescent="0.25">
      <c r="A45" s="114" t="s">
        <v>14</v>
      </c>
      <c r="B45" s="495" t="s">
        <v>566</v>
      </c>
      <c r="C45" s="479"/>
      <c r="D45" s="479"/>
      <c r="E45" s="479"/>
      <c r="F45" s="496"/>
      <c r="G45" s="112"/>
    </row>
    <row r="46" spans="1:7" ht="13.8" thickBot="1" x14ac:dyDescent="0.3">
      <c r="A46" s="115"/>
      <c r="B46" s="116"/>
      <c r="C46" s="116"/>
      <c r="D46" s="116"/>
      <c r="E46" s="117"/>
      <c r="F46" s="117"/>
      <c r="G46" s="118"/>
    </row>
  </sheetData>
  <mergeCells count="26">
    <mergeCell ref="I31:K31"/>
    <mergeCell ref="B35:C35"/>
    <mergeCell ref="A10:H10"/>
    <mergeCell ref="D35:F35"/>
    <mergeCell ref="C18:E18"/>
    <mergeCell ref="C19:E19"/>
    <mergeCell ref="C15:E15"/>
    <mergeCell ref="C23:E23"/>
    <mergeCell ref="C27:E27"/>
    <mergeCell ref="C29:E29"/>
    <mergeCell ref="B45:F45"/>
    <mergeCell ref="B39:C39"/>
    <mergeCell ref="D39:F39"/>
    <mergeCell ref="B43:F43"/>
    <mergeCell ref="B44:F44"/>
    <mergeCell ref="D38:F38"/>
    <mergeCell ref="B38:C38"/>
    <mergeCell ref="A6:H6"/>
    <mergeCell ref="B34:C34"/>
    <mergeCell ref="D34:F34"/>
    <mergeCell ref="C17:E17"/>
    <mergeCell ref="C21:E21"/>
    <mergeCell ref="C25:E25"/>
    <mergeCell ref="C31:E31"/>
    <mergeCell ref="F31:H31"/>
    <mergeCell ref="A31:B31"/>
  </mergeCells>
  <phoneticPr fontId="7" type="noConversion"/>
  <hyperlinks>
    <hyperlink ref="B45" r:id="rId1" xr:uid="{1C71D740-5763-4865-B764-DAF0641BC312}"/>
  </hyperlinks>
  <pageMargins left="0.23622047244094491" right="0.23622047244094491" top="0.74803149606299213" bottom="0.74803149606299213" header="0.31496062992125984" footer="0.31496062992125984"/>
  <pageSetup paperSize="9" scale="83" orientation="landscape" r:id="rId2"/>
  <headerFooter alignWithMargins="0">
    <oddFooter>&amp;A&amp;RPage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6" tint="-0.499984740745262"/>
    <pageSetUpPr fitToPage="1"/>
  </sheetPr>
  <dimension ref="A1:P40"/>
  <sheetViews>
    <sheetView zoomScale="80" zoomScaleNormal="80" workbookViewId="0"/>
  </sheetViews>
  <sheetFormatPr defaultColWidth="9" defaultRowHeight="22.8" x14ac:dyDescent="0.4"/>
  <cols>
    <col min="1" max="1" width="6" style="9" customWidth="1"/>
    <col min="2" max="2" width="5.59765625" style="9" customWidth="1"/>
    <col min="3" max="4" width="16.59765625" style="9" customWidth="1"/>
    <col min="5" max="5" width="14.8984375" style="9" customWidth="1"/>
    <col min="6" max="6" width="4.69921875" style="9" customWidth="1"/>
    <col min="7" max="8" width="16.59765625" style="9" customWidth="1"/>
    <col min="9" max="14" width="10.59765625" style="9" customWidth="1"/>
    <col min="15" max="15" width="3.8984375" style="9" customWidth="1"/>
    <col min="16" max="16384" width="9" style="9"/>
  </cols>
  <sheetData>
    <row r="1" spans="1:16" ht="23.25" customHeight="1" thickBot="1" x14ac:dyDescent="0.45">
      <c r="A1" s="9" t="s">
        <v>15</v>
      </c>
    </row>
    <row r="2" spans="1:16" ht="15" customHeight="1" x14ac:dyDescent="0.4">
      <c r="B2" s="119"/>
      <c r="C2" s="120"/>
      <c r="D2" s="120"/>
      <c r="E2" s="120"/>
      <c r="F2" s="120"/>
      <c r="G2" s="120"/>
      <c r="H2" s="120"/>
      <c r="I2" s="121"/>
      <c r="J2" s="10"/>
      <c r="K2" s="10"/>
      <c r="L2" s="10"/>
      <c r="M2" s="10"/>
      <c r="N2" s="10"/>
      <c r="O2" s="10"/>
      <c r="P2" s="11"/>
    </row>
    <row r="3" spans="1:16" ht="21" customHeight="1" x14ac:dyDescent="0.4">
      <c r="B3" s="122"/>
      <c r="C3" s="123"/>
      <c r="D3" s="124"/>
      <c r="E3" s="123" t="s">
        <v>16</v>
      </c>
      <c r="F3" s="124"/>
      <c r="G3" s="123"/>
      <c r="H3" s="124"/>
      <c r="I3" s="125"/>
      <c r="J3" s="12"/>
      <c r="K3" s="12"/>
      <c r="L3" s="12"/>
      <c r="M3" s="12"/>
      <c r="N3" s="12"/>
      <c r="O3" s="13"/>
      <c r="P3" s="11"/>
    </row>
    <row r="4" spans="1:16" ht="15" customHeight="1" thickBot="1" x14ac:dyDescent="0.45">
      <c r="B4" s="122"/>
      <c r="C4" s="126"/>
      <c r="D4" s="127"/>
      <c r="E4" s="126"/>
      <c r="F4" s="126"/>
      <c r="G4" s="126"/>
      <c r="H4" s="128"/>
      <c r="I4" s="125"/>
      <c r="J4" s="14"/>
      <c r="K4" s="14"/>
      <c r="L4" s="14"/>
      <c r="M4" s="14"/>
      <c r="N4" s="14"/>
      <c r="O4" s="10"/>
      <c r="P4" s="11"/>
    </row>
    <row r="5" spans="1:16" s="15" customFormat="1" ht="15" customHeight="1" x14ac:dyDescent="0.25">
      <c r="B5" s="129"/>
      <c r="C5" s="130"/>
      <c r="D5" s="130"/>
      <c r="E5" s="130"/>
      <c r="F5" s="130"/>
      <c r="G5" s="130"/>
      <c r="H5" s="130"/>
      <c r="I5" s="131"/>
      <c r="J5" s="14"/>
      <c r="K5" s="14"/>
      <c r="L5" s="14"/>
      <c r="M5" s="14"/>
      <c r="N5" s="14"/>
      <c r="O5" s="12"/>
      <c r="P5" s="16"/>
    </row>
    <row r="6" spans="1:16" s="44" customFormat="1" ht="15" customHeight="1" x14ac:dyDescent="0.25">
      <c r="B6" s="132"/>
      <c r="C6" s="133"/>
      <c r="D6" s="133"/>
      <c r="E6" s="133"/>
      <c r="F6" s="133"/>
      <c r="G6" s="133"/>
      <c r="H6" s="133"/>
      <c r="I6" s="134"/>
      <c r="J6" s="14"/>
      <c r="K6" s="14"/>
      <c r="L6" s="14"/>
      <c r="M6" s="14"/>
      <c r="N6" s="14"/>
      <c r="O6" s="12"/>
      <c r="P6" s="14"/>
    </row>
    <row r="7" spans="1:16" s="44" customFormat="1" ht="15" customHeight="1" x14ac:dyDescent="0.25">
      <c r="B7" s="132"/>
      <c r="C7" s="133"/>
      <c r="D7" s="133"/>
      <c r="E7" s="133"/>
      <c r="F7" s="133"/>
      <c r="G7" s="133"/>
      <c r="H7" s="133"/>
      <c r="I7" s="134"/>
      <c r="J7" s="14"/>
      <c r="K7" s="14"/>
      <c r="L7" s="14"/>
      <c r="M7" s="14"/>
      <c r="N7" s="14"/>
      <c r="O7" s="12"/>
      <c r="P7" s="14"/>
    </row>
    <row r="8" spans="1:16" s="44" customFormat="1" ht="15" customHeight="1" x14ac:dyDescent="0.25">
      <c r="B8" s="132"/>
      <c r="C8" s="133"/>
      <c r="D8" s="133"/>
      <c r="E8" s="133"/>
      <c r="F8" s="133"/>
      <c r="G8" s="133"/>
      <c r="H8" s="133"/>
      <c r="I8" s="134"/>
      <c r="J8" s="14"/>
      <c r="K8" s="14"/>
      <c r="L8" s="14"/>
      <c r="M8" s="14"/>
      <c r="N8" s="14"/>
      <c r="O8" s="12"/>
      <c r="P8" s="14"/>
    </row>
    <row r="9" spans="1:16" s="44" customFormat="1" ht="15" customHeight="1" x14ac:dyDescent="0.25">
      <c r="B9" s="132"/>
      <c r="C9" s="133"/>
      <c r="D9" s="133"/>
      <c r="E9" s="133"/>
      <c r="F9" s="133"/>
      <c r="G9" s="133"/>
      <c r="H9" s="133"/>
      <c r="I9" s="134"/>
      <c r="J9" s="14"/>
      <c r="K9" s="14"/>
      <c r="L9" s="14"/>
      <c r="M9" s="14"/>
      <c r="N9" s="14"/>
      <c r="O9" s="12"/>
      <c r="P9" s="14"/>
    </row>
    <row r="10" spans="1:16" s="44" customFormat="1" ht="15" customHeight="1" x14ac:dyDescent="0.25">
      <c r="B10" s="132"/>
      <c r="C10" s="133"/>
      <c r="D10" s="133"/>
      <c r="E10" s="133"/>
      <c r="F10" s="133"/>
      <c r="G10" s="133"/>
      <c r="H10" s="133"/>
      <c r="I10" s="134"/>
      <c r="J10" s="14"/>
      <c r="K10" s="14"/>
      <c r="L10" s="14"/>
      <c r="M10" s="14"/>
      <c r="N10" s="14"/>
      <c r="O10" s="12"/>
      <c r="P10" s="14"/>
    </row>
    <row r="11" spans="1:16" s="44" customFormat="1" ht="15" customHeight="1" x14ac:dyDescent="0.25">
      <c r="B11" s="132"/>
      <c r="C11" s="133"/>
      <c r="D11" s="133"/>
      <c r="E11" s="133"/>
      <c r="F11" s="133"/>
      <c r="G11" s="133"/>
      <c r="H11" s="133"/>
      <c r="I11" s="134"/>
      <c r="J11" s="14"/>
      <c r="K11" s="14"/>
      <c r="L11" s="14"/>
      <c r="M11" s="14"/>
      <c r="N11" s="14"/>
      <c r="O11" s="12"/>
      <c r="P11" s="14"/>
    </row>
    <row r="12" spans="1:16" s="44" customFormat="1" ht="15" customHeight="1" x14ac:dyDescent="0.25">
      <c r="B12" s="132"/>
      <c r="C12" s="133"/>
      <c r="D12" s="133"/>
      <c r="E12" s="133"/>
      <c r="F12" s="133"/>
      <c r="G12" s="133"/>
      <c r="H12" s="133"/>
      <c r="I12" s="134"/>
      <c r="J12" s="14"/>
      <c r="K12" s="14"/>
      <c r="L12" s="14"/>
      <c r="M12" s="14"/>
      <c r="N12" s="14"/>
      <c r="O12" s="12"/>
      <c r="P12" s="14"/>
    </row>
    <row r="13" spans="1:16" s="44" customFormat="1" ht="15" customHeight="1" x14ac:dyDescent="0.25">
      <c r="B13" s="132"/>
      <c r="C13" s="133"/>
      <c r="D13" s="133"/>
      <c r="E13" s="133"/>
      <c r="F13" s="133"/>
      <c r="G13" s="133"/>
      <c r="H13" s="133"/>
      <c r="I13" s="134"/>
      <c r="J13" s="14"/>
      <c r="K13" s="14"/>
      <c r="L13" s="14"/>
      <c r="M13" s="14"/>
      <c r="N13" s="14"/>
      <c r="O13" s="12"/>
      <c r="P13" s="14"/>
    </row>
    <row r="14" spans="1:16" s="44" customFormat="1" ht="15" customHeight="1" x14ac:dyDescent="0.25">
      <c r="B14" s="132"/>
      <c r="C14" s="508"/>
      <c r="D14" s="508"/>
      <c r="E14" s="508"/>
      <c r="F14" s="133"/>
      <c r="G14" s="133"/>
      <c r="H14" s="133"/>
      <c r="I14" s="134"/>
      <c r="J14" s="14"/>
      <c r="K14" s="14"/>
      <c r="L14" s="14"/>
      <c r="M14" s="14"/>
      <c r="N14" s="14"/>
      <c r="O14" s="12"/>
      <c r="P14" s="14"/>
    </row>
    <row r="15" spans="1:16" s="44" customFormat="1" ht="15" customHeight="1" x14ac:dyDescent="0.25">
      <c r="B15" s="132"/>
      <c r="C15" s="133"/>
      <c r="D15" s="133"/>
      <c r="E15" s="133"/>
      <c r="F15" s="133"/>
      <c r="G15" s="133"/>
      <c r="H15" s="133"/>
      <c r="I15" s="134"/>
      <c r="J15" s="14"/>
      <c r="K15" s="14"/>
      <c r="L15" s="14"/>
      <c r="M15" s="14"/>
      <c r="N15" s="14"/>
      <c r="O15" s="12"/>
      <c r="P15" s="14"/>
    </row>
    <row r="16" spans="1:16" s="44" customFormat="1" ht="15" customHeight="1" x14ac:dyDescent="0.25">
      <c r="B16" s="132"/>
      <c r="C16" s="133"/>
      <c r="D16" s="133"/>
      <c r="E16" s="133"/>
      <c r="F16" s="133"/>
      <c r="G16" s="133"/>
      <c r="H16" s="133"/>
      <c r="I16" s="134"/>
      <c r="J16" s="14"/>
      <c r="K16" s="14"/>
      <c r="L16" s="14"/>
      <c r="M16" s="14"/>
      <c r="N16" s="14"/>
      <c r="O16" s="12"/>
      <c r="P16" s="14"/>
    </row>
    <row r="17" spans="1:16" s="44" customFormat="1" ht="15" customHeight="1" x14ac:dyDescent="0.25">
      <c r="B17" s="132"/>
      <c r="C17" s="133"/>
      <c r="D17" s="133"/>
      <c r="E17" s="133"/>
      <c r="F17" s="133"/>
      <c r="G17" s="133"/>
      <c r="H17" s="133"/>
      <c r="I17" s="134"/>
      <c r="J17" s="14"/>
      <c r="K17" s="14"/>
      <c r="L17" s="14"/>
      <c r="M17" s="14"/>
      <c r="N17" s="14"/>
      <c r="O17" s="12"/>
      <c r="P17" s="14"/>
    </row>
    <row r="18" spans="1:16" s="44" customFormat="1" ht="15" customHeight="1" x14ac:dyDescent="0.25">
      <c r="B18" s="132"/>
      <c r="C18" s="133"/>
      <c r="D18" s="133"/>
      <c r="E18" s="133"/>
      <c r="F18" s="133"/>
      <c r="G18" s="133"/>
      <c r="H18" s="133"/>
      <c r="I18" s="134"/>
      <c r="J18" s="14"/>
      <c r="K18" s="14"/>
      <c r="L18" s="14"/>
      <c r="M18" s="14"/>
      <c r="N18" s="14"/>
      <c r="O18" s="12"/>
      <c r="P18" s="14"/>
    </row>
    <row r="19" spans="1:16" s="44" customFormat="1" ht="15" customHeight="1" x14ac:dyDescent="0.25">
      <c r="B19" s="132"/>
      <c r="C19" s="133"/>
      <c r="D19" s="133"/>
      <c r="E19" s="133"/>
      <c r="F19" s="133"/>
      <c r="G19" s="133"/>
      <c r="H19" s="133"/>
      <c r="I19" s="134"/>
      <c r="J19" s="14"/>
      <c r="K19" s="14"/>
      <c r="L19" s="14"/>
      <c r="M19" s="14"/>
      <c r="N19" s="14"/>
      <c r="O19" s="12"/>
      <c r="P19" s="14"/>
    </row>
    <row r="20" spans="1:16" s="44" customFormat="1" ht="15" customHeight="1" x14ac:dyDescent="0.25">
      <c r="B20" s="132"/>
      <c r="C20" s="133"/>
      <c r="D20" s="133"/>
      <c r="E20" s="133"/>
      <c r="F20" s="133"/>
      <c r="G20" s="133"/>
      <c r="H20" s="133"/>
      <c r="I20" s="134"/>
      <c r="J20" s="14"/>
      <c r="K20" s="14"/>
      <c r="L20" s="14"/>
      <c r="M20" s="14"/>
      <c r="N20" s="14"/>
      <c r="O20" s="12"/>
      <c r="P20" s="14"/>
    </row>
    <row r="21" spans="1:16" s="44" customFormat="1" ht="15.75" customHeight="1" x14ac:dyDescent="0.25">
      <c r="B21" s="132"/>
      <c r="C21" s="133"/>
      <c r="D21" s="133"/>
      <c r="E21" s="133"/>
      <c r="F21" s="133"/>
      <c r="G21" s="133"/>
      <c r="H21" s="133"/>
      <c r="I21" s="134"/>
      <c r="J21" s="14"/>
      <c r="K21" s="14"/>
      <c r="L21" s="14"/>
      <c r="M21" s="14"/>
      <c r="N21" s="14"/>
      <c r="O21" s="12"/>
      <c r="P21" s="14"/>
    </row>
    <row r="22" spans="1:16" s="44" customFormat="1" ht="15.75" customHeight="1" x14ac:dyDescent="0.25">
      <c r="B22" s="132"/>
      <c r="C22" s="133"/>
      <c r="D22" s="133"/>
      <c r="E22" s="133"/>
      <c r="F22" s="133"/>
      <c r="G22" s="133"/>
      <c r="H22" s="133"/>
      <c r="I22" s="134"/>
      <c r="J22" s="14"/>
      <c r="K22" s="14"/>
      <c r="L22" s="14"/>
      <c r="M22" s="14"/>
      <c r="N22" s="14"/>
      <c r="O22" s="12"/>
      <c r="P22" s="14"/>
    </row>
    <row r="23" spans="1:16" s="44" customFormat="1" ht="15" customHeight="1" x14ac:dyDescent="0.25">
      <c r="B23" s="132"/>
      <c r="C23" s="133"/>
      <c r="D23" s="133"/>
      <c r="E23" s="133"/>
      <c r="F23" s="133"/>
      <c r="G23" s="133"/>
      <c r="H23" s="133"/>
      <c r="I23" s="134"/>
      <c r="J23" s="14"/>
      <c r="K23" s="14"/>
      <c r="L23" s="14"/>
      <c r="M23" s="14"/>
      <c r="N23" s="14"/>
      <c r="O23" s="12"/>
      <c r="P23" s="14"/>
    </row>
    <row r="24" spans="1:16" s="44" customFormat="1" ht="15" customHeight="1" x14ac:dyDescent="0.25">
      <c r="B24" s="132"/>
      <c r="C24" s="133"/>
      <c r="D24" s="133"/>
      <c r="E24" s="133"/>
      <c r="F24" s="133"/>
      <c r="G24" s="133"/>
      <c r="H24" s="133"/>
      <c r="I24" s="134"/>
      <c r="J24" s="14"/>
      <c r="K24" s="14"/>
      <c r="L24" s="14"/>
      <c r="M24" s="14"/>
      <c r="N24" s="14"/>
      <c r="O24" s="12"/>
      <c r="P24" s="14"/>
    </row>
    <row r="25" spans="1:16" s="44" customFormat="1" ht="15" customHeight="1" x14ac:dyDescent="0.25">
      <c r="B25" s="132"/>
      <c r="C25" s="133"/>
      <c r="D25" s="133"/>
      <c r="E25" s="133"/>
      <c r="F25" s="133"/>
      <c r="G25" s="133"/>
      <c r="H25" s="133"/>
      <c r="I25" s="134"/>
      <c r="J25" s="14"/>
      <c r="K25" s="14"/>
      <c r="L25" s="14"/>
      <c r="M25" s="14"/>
      <c r="N25" s="14"/>
      <c r="O25" s="12"/>
      <c r="P25" s="14"/>
    </row>
    <row r="26" spans="1:16" s="44" customFormat="1" ht="15" customHeight="1" x14ac:dyDescent="0.25">
      <c r="B26" s="132"/>
      <c r="C26" s="133"/>
      <c r="D26" s="135"/>
      <c r="E26" s="133"/>
      <c r="F26" s="133"/>
      <c r="G26" s="133"/>
      <c r="H26" s="133"/>
      <c r="I26" s="134"/>
      <c r="J26" s="14"/>
      <c r="K26" s="14"/>
      <c r="L26" s="14"/>
      <c r="M26" s="14"/>
      <c r="N26" s="14"/>
      <c r="O26" s="12"/>
      <c r="P26" s="14"/>
    </row>
    <row r="27" spans="1:16" s="44" customFormat="1" ht="15" customHeight="1" x14ac:dyDescent="0.25">
      <c r="A27" s="14"/>
      <c r="B27" s="132"/>
      <c r="C27" s="135"/>
      <c r="D27" s="135"/>
      <c r="E27" s="133"/>
      <c r="F27" s="133"/>
      <c r="G27" s="133"/>
      <c r="H27" s="133"/>
      <c r="I27" s="134"/>
      <c r="J27" s="14"/>
      <c r="K27" s="14"/>
      <c r="L27" s="14"/>
      <c r="M27" s="14"/>
      <c r="N27" s="14"/>
      <c r="O27" s="12"/>
      <c r="P27" s="14"/>
    </row>
    <row r="28" spans="1:16" s="44" customFormat="1" ht="15" customHeight="1" x14ac:dyDescent="0.25">
      <c r="A28" s="14"/>
      <c r="B28" s="132"/>
      <c r="C28" s="135"/>
      <c r="D28" s="135"/>
      <c r="E28" s="133"/>
      <c r="F28" s="133"/>
      <c r="G28" s="133"/>
      <c r="H28" s="133"/>
      <c r="I28" s="134"/>
      <c r="J28" s="14"/>
      <c r="K28" s="14"/>
      <c r="L28" s="14"/>
      <c r="M28" s="14"/>
      <c r="N28" s="14"/>
      <c r="O28" s="12"/>
      <c r="P28" s="14"/>
    </row>
    <row r="29" spans="1:16" s="44" customFormat="1" ht="15" customHeight="1" x14ac:dyDescent="0.25">
      <c r="A29" s="14"/>
      <c r="B29" s="132"/>
      <c r="C29" s="135"/>
      <c r="D29" s="135"/>
      <c r="E29" s="133"/>
      <c r="F29" s="133"/>
      <c r="G29" s="133"/>
      <c r="H29" s="133"/>
      <c r="I29" s="134"/>
      <c r="J29" s="14"/>
      <c r="K29" s="14"/>
      <c r="L29" s="14"/>
      <c r="M29" s="14"/>
      <c r="N29" s="14"/>
      <c r="O29" s="12"/>
      <c r="P29" s="14"/>
    </row>
    <row r="30" spans="1:16" s="44" customFormat="1" ht="15" customHeight="1" x14ac:dyDescent="0.25">
      <c r="A30" s="14"/>
      <c r="B30" s="132"/>
      <c r="C30" s="133"/>
      <c r="D30" s="133"/>
      <c r="E30" s="133"/>
      <c r="F30" s="133"/>
      <c r="G30" s="133"/>
      <c r="H30" s="133"/>
      <c r="I30" s="134"/>
      <c r="J30" s="14"/>
      <c r="K30" s="14"/>
      <c r="L30" s="14"/>
      <c r="M30" s="14"/>
      <c r="N30" s="14"/>
      <c r="O30" s="12"/>
      <c r="P30" s="14"/>
    </row>
    <row r="31" spans="1:16" s="44" customFormat="1" ht="15" customHeight="1" x14ac:dyDescent="0.25">
      <c r="A31" s="14"/>
      <c r="B31" s="132"/>
      <c r="C31" s="133"/>
      <c r="D31" s="133"/>
      <c r="E31" s="133"/>
      <c r="F31" s="133"/>
      <c r="G31" s="133"/>
      <c r="H31" s="133"/>
      <c r="I31" s="134"/>
      <c r="J31" s="12"/>
      <c r="K31" s="12"/>
      <c r="L31" s="12"/>
      <c r="M31" s="12"/>
      <c r="N31" s="12"/>
      <c r="O31" s="12"/>
      <c r="P31" s="14"/>
    </row>
    <row r="32" spans="1:16" s="44" customFormat="1" ht="15" customHeight="1" x14ac:dyDescent="0.25">
      <c r="A32" s="14"/>
      <c r="B32" s="132"/>
      <c r="C32" s="133"/>
      <c r="D32" s="133"/>
      <c r="E32" s="133"/>
      <c r="F32" s="133"/>
      <c r="G32" s="133"/>
      <c r="H32" s="133"/>
      <c r="I32" s="134"/>
      <c r="J32" s="12"/>
      <c r="K32" s="12"/>
      <c r="L32" s="12"/>
      <c r="M32" s="12"/>
      <c r="N32" s="12"/>
      <c r="O32" s="12"/>
      <c r="P32" s="14"/>
    </row>
    <row r="33" spans="1:16" s="44" customFormat="1" ht="15" customHeight="1" x14ac:dyDescent="0.25">
      <c r="A33" s="14"/>
      <c r="B33" s="132"/>
      <c r="C33" s="133"/>
      <c r="D33" s="133"/>
      <c r="E33" s="133"/>
      <c r="F33" s="133"/>
      <c r="G33" s="133"/>
      <c r="H33" s="133"/>
      <c r="I33" s="134"/>
      <c r="J33" s="12"/>
      <c r="K33" s="12"/>
      <c r="L33" s="12"/>
      <c r="M33" s="12"/>
      <c r="N33" s="12"/>
      <c r="O33" s="12"/>
      <c r="P33" s="14"/>
    </row>
    <row r="34" spans="1:16" s="44" customFormat="1" ht="15" customHeight="1" x14ac:dyDescent="0.25">
      <c r="A34" s="14"/>
      <c r="B34" s="132"/>
      <c r="C34" s="133"/>
      <c r="D34" s="133"/>
      <c r="E34" s="133"/>
      <c r="F34" s="133"/>
      <c r="G34" s="133"/>
      <c r="H34" s="133"/>
      <c r="I34" s="134"/>
      <c r="J34" s="12"/>
      <c r="K34" s="12"/>
      <c r="L34" s="12"/>
      <c r="M34" s="12"/>
      <c r="N34" s="12"/>
      <c r="O34" s="12"/>
      <c r="P34" s="14"/>
    </row>
    <row r="35" spans="1:16" s="44" customFormat="1" ht="15" customHeight="1" x14ac:dyDescent="0.25">
      <c r="A35" s="14"/>
      <c r="B35" s="132"/>
      <c r="C35" s="133"/>
      <c r="D35" s="133"/>
      <c r="E35" s="133"/>
      <c r="F35" s="136"/>
      <c r="G35" s="133"/>
      <c r="H35" s="133"/>
      <c r="I35" s="134"/>
      <c r="J35" s="12"/>
      <c r="K35" s="12"/>
      <c r="L35" s="12"/>
      <c r="M35" s="12"/>
      <c r="N35" s="12"/>
      <c r="O35" s="12"/>
      <c r="P35" s="14"/>
    </row>
    <row r="36" spans="1:16" s="44" customFormat="1" ht="15" customHeight="1" x14ac:dyDescent="0.25">
      <c r="A36" s="14"/>
      <c r="B36" s="132"/>
      <c r="C36" s="133"/>
      <c r="D36" s="133"/>
      <c r="E36" s="133"/>
      <c r="F36" s="136"/>
      <c r="G36" s="133"/>
      <c r="H36" s="137"/>
      <c r="I36" s="134"/>
      <c r="J36" s="12"/>
      <c r="K36" s="12"/>
      <c r="L36" s="12"/>
      <c r="M36" s="12"/>
      <c r="N36" s="12"/>
      <c r="O36" s="12"/>
      <c r="P36" s="14"/>
    </row>
    <row r="37" spans="1:16" s="44" customFormat="1" ht="15" customHeight="1" x14ac:dyDescent="0.25">
      <c r="A37" s="14"/>
      <c r="B37" s="132"/>
      <c r="C37" s="133"/>
      <c r="D37" s="133"/>
      <c r="E37" s="133"/>
      <c r="F37" s="136"/>
      <c r="G37" s="133"/>
      <c r="H37" s="133"/>
      <c r="I37" s="134"/>
      <c r="J37" s="12"/>
      <c r="K37" s="12"/>
      <c r="L37" s="12"/>
      <c r="M37" s="12"/>
      <c r="N37" s="12"/>
      <c r="O37" s="12"/>
      <c r="P37" s="14"/>
    </row>
    <row r="38" spans="1:16" s="44" customFormat="1" ht="15" customHeight="1" x14ac:dyDescent="0.25">
      <c r="A38" s="14"/>
      <c r="B38" s="132"/>
      <c r="C38" s="133"/>
      <c r="D38" s="133"/>
      <c r="E38" s="133"/>
      <c r="F38" s="136"/>
      <c r="G38" s="133"/>
      <c r="H38" s="133"/>
      <c r="I38" s="134"/>
      <c r="J38" s="12"/>
      <c r="K38" s="12"/>
      <c r="L38" s="12"/>
      <c r="M38" s="12"/>
      <c r="N38" s="12"/>
      <c r="O38" s="12"/>
      <c r="P38" s="14"/>
    </row>
    <row r="39" spans="1:16" s="44" customFormat="1" ht="15" customHeight="1" x14ac:dyDescent="0.25">
      <c r="A39" s="14"/>
      <c r="B39" s="132"/>
      <c r="C39" s="133"/>
      <c r="D39" s="133"/>
      <c r="E39" s="133"/>
      <c r="F39" s="136"/>
      <c r="G39" s="133"/>
      <c r="H39" s="133"/>
      <c r="I39" s="134"/>
      <c r="J39" s="12"/>
      <c r="K39" s="12"/>
      <c r="L39" s="12"/>
      <c r="M39" s="12"/>
      <c r="N39" s="12"/>
      <c r="O39" s="12"/>
      <c r="P39" s="14"/>
    </row>
    <row r="40" spans="1:16" ht="23.4" thickBot="1" x14ac:dyDescent="0.45">
      <c r="B40" s="138"/>
      <c r="C40" s="139"/>
      <c r="D40" s="139"/>
      <c r="E40" s="140"/>
      <c r="F40" s="140"/>
      <c r="G40" s="140"/>
      <c r="H40" s="140"/>
      <c r="I40" s="141"/>
    </row>
  </sheetData>
  <mergeCells count="1">
    <mergeCell ref="C14:E1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999"/>
    <pageSetUpPr fitToPage="1"/>
  </sheetPr>
  <dimension ref="B1:H36"/>
  <sheetViews>
    <sheetView zoomScale="80" zoomScaleNormal="80" workbookViewId="0"/>
  </sheetViews>
  <sheetFormatPr defaultColWidth="9" defaultRowHeight="13.2" x14ac:dyDescent="0.25"/>
  <cols>
    <col min="1" max="1" width="11.8984375" style="19" customWidth="1"/>
    <col min="2" max="2" width="47.3984375" style="19" customWidth="1"/>
    <col min="3" max="4" width="42.69921875" style="19" customWidth="1"/>
    <col min="5" max="5" width="6.59765625" style="19" customWidth="1"/>
    <col min="6" max="8" width="19.69921875" style="19" customWidth="1"/>
    <col min="9" max="9" width="18.19921875" style="19" customWidth="1"/>
    <col min="10" max="16384" width="9" style="19"/>
  </cols>
  <sheetData>
    <row r="1" spans="2:8" ht="29.25" customHeight="1" x14ac:dyDescent="0.55000000000000004">
      <c r="B1" s="20" t="s">
        <v>88</v>
      </c>
      <c r="D1" s="42"/>
    </row>
    <row r="2" spans="2:8" ht="13.8" x14ac:dyDescent="0.25">
      <c r="B2" s="46" t="str">
        <f>Tradingname</f>
        <v>Southern Cross Pipelines Australia Pty Limited</v>
      </c>
      <c r="C2" s="47"/>
    </row>
    <row r="3" spans="2:8" ht="13.8" x14ac:dyDescent="0.25">
      <c r="B3" s="48" t="s">
        <v>157</v>
      </c>
      <c r="C3" s="49">
        <f>Yearending</f>
        <v>44742</v>
      </c>
    </row>
    <row r="4" spans="2:8" ht="21" x14ac:dyDescent="0.4">
      <c r="B4" s="17"/>
    </row>
    <row r="5" spans="2:8" ht="15.6" x14ac:dyDescent="0.3">
      <c r="B5" s="28" t="s">
        <v>160</v>
      </c>
    </row>
    <row r="6" spans="2:8" x14ac:dyDescent="0.25">
      <c r="B6" s="21"/>
      <c r="C6" s="24"/>
      <c r="D6" s="24"/>
      <c r="E6" s="25"/>
      <c r="F6" s="29"/>
      <c r="G6" s="26"/>
      <c r="H6" s="26"/>
    </row>
    <row r="7" spans="2:8" ht="13.5" customHeight="1" x14ac:dyDescent="0.25">
      <c r="B7" s="142" t="s">
        <v>27</v>
      </c>
      <c r="C7" s="143" t="s">
        <v>534</v>
      </c>
      <c r="D7" s="144"/>
    </row>
    <row r="8" spans="2:8" ht="13.5" customHeight="1" x14ac:dyDescent="0.25">
      <c r="B8" s="142" t="s">
        <v>156</v>
      </c>
      <c r="C8" s="408">
        <v>44</v>
      </c>
      <c r="D8" s="144"/>
    </row>
    <row r="9" spans="2:8" ht="13.5" customHeight="1" x14ac:dyDescent="0.25">
      <c r="B9" s="142" t="s">
        <v>28</v>
      </c>
      <c r="C9" s="408">
        <v>2</v>
      </c>
      <c r="D9" s="144"/>
    </row>
    <row r="10" spans="2:8" ht="13.5" customHeight="1" x14ac:dyDescent="0.25">
      <c r="B10" s="142" t="s">
        <v>29</v>
      </c>
      <c r="C10" s="145" t="s">
        <v>535</v>
      </c>
      <c r="D10" s="144"/>
    </row>
    <row r="11" spans="2:8" x14ac:dyDescent="0.25">
      <c r="B11" s="144"/>
      <c r="C11" s="144"/>
      <c r="D11" s="144"/>
    </row>
    <row r="12" spans="2:8" ht="15.6" x14ac:dyDescent="0.3">
      <c r="B12" s="146" t="s">
        <v>161</v>
      </c>
      <c r="C12" s="144"/>
      <c r="D12" s="144"/>
    </row>
    <row r="13" spans="2:8" x14ac:dyDescent="0.25">
      <c r="B13" s="144"/>
      <c r="C13" s="144"/>
      <c r="D13" s="144"/>
    </row>
    <row r="14" spans="2:8" ht="51" customHeight="1" x14ac:dyDescent="0.25">
      <c r="B14" s="147" t="s">
        <v>30</v>
      </c>
      <c r="C14" s="148" t="s">
        <v>116</v>
      </c>
      <c r="D14" s="148" t="s">
        <v>41</v>
      </c>
    </row>
    <row r="15" spans="2:8" ht="13.8" x14ac:dyDescent="0.25">
      <c r="B15" s="151" t="s">
        <v>31</v>
      </c>
      <c r="C15" s="152"/>
      <c r="D15" s="153"/>
    </row>
    <row r="16" spans="2:8" x14ac:dyDescent="0.25">
      <c r="B16" s="335" t="s">
        <v>349</v>
      </c>
      <c r="C16" s="149" t="s">
        <v>551</v>
      </c>
      <c r="D16" s="149" t="s">
        <v>438</v>
      </c>
    </row>
    <row r="17" spans="2:4" ht="17.25" customHeight="1" x14ac:dyDescent="0.25">
      <c r="B17" s="142" t="s">
        <v>32</v>
      </c>
      <c r="C17" s="149" t="s">
        <v>551</v>
      </c>
      <c r="D17" s="149" t="s">
        <v>438</v>
      </c>
    </row>
    <row r="18" spans="2:4" x14ac:dyDescent="0.25">
      <c r="B18" s="142" t="s">
        <v>33</v>
      </c>
      <c r="C18" s="149" t="s">
        <v>438</v>
      </c>
      <c r="D18" s="149" t="s">
        <v>438</v>
      </c>
    </row>
    <row r="19" spans="2:4" ht="13.8" x14ac:dyDescent="0.25">
      <c r="B19" s="151" t="s">
        <v>207</v>
      </c>
      <c r="C19" s="152"/>
      <c r="D19" s="153"/>
    </row>
    <row r="20" spans="2:4" x14ac:dyDescent="0.25">
      <c r="B20" s="335" t="s">
        <v>350</v>
      </c>
      <c r="C20" s="149" t="s">
        <v>438</v>
      </c>
      <c r="D20" s="149" t="s">
        <v>438</v>
      </c>
    </row>
    <row r="21" spans="2:4" ht="26.4" x14ac:dyDescent="0.25">
      <c r="B21" s="335" t="s">
        <v>351</v>
      </c>
      <c r="C21" s="149" t="s">
        <v>438</v>
      </c>
      <c r="D21" s="149" t="s">
        <v>438</v>
      </c>
    </row>
    <row r="22" spans="2:4" ht="13.8" x14ac:dyDescent="0.25">
      <c r="B22" s="151" t="s">
        <v>34</v>
      </c>
      <c r="C22" s="152"/>
      <c r="D22" s="153"/>
    </row>
    <row r="23" spans="2:4" x14ac:dyDescent="0.25">
      <c r="B23" s="142" t="s">
        <v>35</v>
      </c>
      <c r="C23" s="149" t="s">
        <v>438</v>
      </c>
      <c r="D23" s="149" t="s">
        <v>438</v>
      </c>
    </row>
    <row r="24" spans="2:4" x14ac:dyDescent="0.25">
      <c r="B24" s="142" t="s">
        <v>36</v>
      </c>
      <c r="C24" s="149" t="s">
        <v>438</v>
      </c>
      <c r="D24" s="149" t="s">
        <v>438</v>
      </c>
    </row>
    <row r="25" spans="2:4" ht="13.8" x14ac:dyDescent="0.25">
      <c r="B25" s="151" t="s">
        <v>37</v>
      </c>
      <c r="C25" s="152"/>
      <c r="D25" s="153"/>
    </row>
    <row r="26" spans="2:4" x14ac:dyDescent="0.25">
      <c r="B26" s="142" t="s">
        <v>38</v>
      </c>
      <c r="C26" s="149" t="s">
        <v>438</v>
      </c>
      <c r="D26" s="149" t="s">
        <v>438</v>
      </c>
    </row>
    <row r="27" spans="2:4" x14ac:dyDescent="0.25">
      <c r="B27" s="142" t="s">
        <v>39</v>
      </c>
      <c r="C27" s="149" t="s">
        <v>438</v>
      </c>
      <c r="D27" s="149" t="s">
        <v>438</v>
      </c>
    </row>
    <row r="28" spans="2:4" ht="13.8" x14ac:dyDescent="0.25">
      <c r="B28" s="151" t="s">
        <v>40</v>
      </c>
      <c r="C28" s="152"/>
      <c r="D28" s="153"/>
    </row>
    <row r="29" spans="2:4" x14ac:dyDescent="0.25">
      <c r="B29" s="150" t="s">
        <v>158</v>
      </c>
      <c r="C29" s="149"/>
      <c r="D29" s="149"/>
    </row>
    <row r="30" spans="2:4" x14ac:dyDescent="0.25">
      <c r="B30" s="150" t="s">
        <v>158</v>
      </c>
      <c r="C30" s="149"/>
      <c r="D30" s="149"/>
    </row>
    <row r="31" spans="2:4" x14ac:dyDescent="0.25">
      <c r="B31" s="150" t="s">
        <v>158</v>
      </c>
      <c r="C31" s="149"/>
      <c r="D31" s="149"/>
    </row>
    <row r="32" spans="2:4" x14ac:dyDescent="0.25">
      <c r="B32" s="150" t="s">
        <v>158</v>
      </c>
      <c r="C32" s="149"/>
      <c r="D32" s="149"/>
    </row>
    <row r="33" spans="2:4" x14ac:dyDescent="0.25">
      <c r="B33" s="150" t="s">
        <v>158</v>
      </c>
      <c r="C33" s="149"/>
      <c r="D33" s="149"/>
    </row>
    <row r="34" spans="2:4" x14ac:dyDescent="0.25">
      <c r="B34" s="150" t="s">
        <v>158</v>
      </c>
      <c r="C34" s="149"/>
      <c r="D34" s="149"/>
    </row>
    <row r="35" spans="2:4" x14ac:dyDescent="0.25">
      <c r="B35" s="150" t="s">
        <v>158</v>
      </c>
      <c r="C35" s="149"/>
      <c r="D35" s="149"/>
    </row>
    <row r="36" spans="2:4" x14ac:dyDescent="0.25">
      <c r="B36" s="150" t="s">
        <v>158</v>
      </c>
      <c r="C36" s="149"/>
      <c r="D36" s="149"/>
    </row>
  </sheetData>
  <dataValidations count="2">
    <dataValidation type="list" allowBlank="1" showInputMessage="1" showErrorMessage="1" sqref="C10" xr:uid="{00000000-0002-0000-0200-000000000000}">
      <formula1>"Distribution,Transmission"</formula1>
    </dataValidation>
    <dataValidation type="list" allowBlank="1" showInputMessage="1" showErrorMessage="1" sqref="C16:D18 C20:D21 C23:D24 C26:D27 C29:D36" xr:uid="{00000000-0002-0000-0200-000001000000}">
      <formula1>"Yes,No"</formula1>
    </dataValidation>
  </dataValidations>
  <pageMargins left="0.23622047244094491" right="0.23622047244094491" top="0.74803149606299213" bottom="0.74803149606299213" header="0.31496062992125984" footer="0.31496062992125984"/>
  <pageSetup paperSize="9" scale="91" orientation="landscape" r:id="rId1"/>
  <headerFooter alignWithMargins="0">
    <oddFooter>&amp;A&amp;RPage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CC05C-D1F2-495F-ABCE-E47903E0D6F8}">
  <sheetPr>
    <tabColor theme="5" tint="-0.499984740745262"/>
    <pageSetUpPr fitToPage="1"/>
  </sheetPr>
  <dimension ref="A1:BR74"/>
  <sheetViews>
    <sheetView showGridLines="0" zoomScale="80" zoomScaleNormal="80" workbookViewId="0">
      <pane xSplit="3" ySplit="8" topLeftCell="D9" activePane="bottomRight" state="frozen"/>
      <selection pane="topRight"/>
      <selection pane="bottomLeft"/>
      <selection pane="bottomRight" activeCell="D9" sqref="D9"/>
    </sheetView>
  </sheetViews>
  <sheetFormatPr defaultRowHeight="13.8" x14ac:dyDescent="0.25"/>
  <cols>
    <col min="1" max="1" width="14.5" customWidth="1"/>
    <col min="2" max="2" width="47" customWidth="1"/>
    <col min="3" max="3" width="22.59765625" customWidth="1"/>
    <col min="4" max="30" width="17.3984375" customWidth="1"/>
    <col min="31" max="36" width="10.8984375" customWidth="1"/>
    <col min="38" max="38" width="9" style="76" customWidth="1"/>
  </cols>
  <sheetData>
    <row r="1" spans="1:70" ht="21" x14ac:dyDescent="0.4">
      <c r="B1" s="509" t="s">
        <v>352</v>
      </c>
      <c r="C1" s="509"/>
      <c r="D1" s="509"/>
    </row>
    <row r="2" spans="1:70" x14ac:dyDescent="0.25">
      <c r="B2" s="46" t="str">
        <f>Tradingname</f>
        <v>Southern Cross Pipelines Australia Pty Limited</v>
      </c>
      <c r="C2" s="47"/>
      <c r="D2" s="19"/>
    </row>
    <row r="3" spans="1:70" x14ac:dyDescent="0.25">
      <c r="B3" s="48" t="s">
        <v>157</v>
      </c>
      <c r="C3" s="49">
        <f>Yearending</f>
        <v>44742</v>
      </c>
      <c r="D3" s="19"/>
    </row>
    <row r="4" spans="1:70" ht="16.95" customHeight="1" x14ac:dyDescent="0.4">
      <c r="B4" s="17"/>
      <c r="C4" s="19"/>
      <c r="D4" s="40"/>
    </row>
    <row r="5" spans="1:70" ht="15.6" x14ac:dyDescent="0.3">
      <c r="A5" s="54"/>
      <c r="B5" s="56" t="s">
        <v>233</v>
      </c>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7"/>
      <c r="AE5" s="54"/>
      <c r="AF5" s="54"/>
      <c r="AG5" s="54"/>
      <c r="AH5" s="54"/>
      <c r="AI5" s="54"/>
      <c r="AJ5" s="54"/>
      <c r="AK5" s="54"/>
      <c r="AL5" s="55"/>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row>
    <row r="6" spans="1:70" x14ac:dyDescent="0.25">
      <c r="A6" s="54"/>
      <c r="B6" s="54"/>
      <c r="C6" s="54"/>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9"/>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4"/>
      <c r="BP6" s="54"/>
      <c r="BQ6" s="54"/>
      <c r="BR6" s="54"/>
    </row>
    <row r="7" spans="1:70" s="84" customFormat="1" ht="15.6" x14ac:dyDescent="0.25">
      <c r="A7" s="387"/>
      <c r="B7" s="81" t="s">
        <v>76</v>
      </c>
      <c r="C7" s="80"/>
      <c r="D7" s="386" t="str">
        <f>YEAR(Cover!$C$25)-1&amp;"-"&amp;RIGHT(YEAR(Cover!$C$25),2)</f>
        <v>1995-96</v>
      </c>
      <c r="E7" s="386" t="str">
        <f>YEAR(Cover!$C$25)&amp;"-"&amp;RIGHT(YEAR(Cover!$C$25)+1,2)</f>
        <v>1996-97</v>
      </c>
      <c r="F7" s="386" t="str">
        <f>YEAR(Cover!$C$25)+1&amp;"-"&amp;RIGHT(YEAR(Cover!$C$25)+2,2)</f>
        <v>1997-98</v>
      </c>
      <c r="G7" s="386" t="str">
        <f>YEAR(Cover!$C$25)+2&amp;"-"&amp;RIGHT(YEAR(Cover!$C$25)+3,2)</f>
        <v>1998-99</v>
      </c>
      <c r="H7" s="386" t="str">
        <f>YEAR(Cover!$C$25)+3&amp;"-"&amp;RIGHT(YEAR(Cover!$C$25)+4,2)</f>
        <v>1999-00</v>
      </c>
      <c r="I7" s="386" t="str">
        <f>YEAR(Cover!$C$25)+4&amp;"-"&amp;RIGHT(YEAR(Cover!$C$25)+5,2)</f>
        <v>2000-01</v>
      </c>
      <c r="J7" s="386" t="str">
        <f>YEAR(Cover!$C$25)+5&amp;"-"&amp;RIGHT(YEAR(Cover!$C$25)+6,2)</f>
        <v>2001-02</v>
      </c>
      <c r="K7" s="386" t="str">
        <f>YEAR(Cover!$C$25)+6&amp;"-"&amp;RIGHT(YEAR(Cover!$C$25)+7,2)</f>
        <v>2002-03</v>
      </c>
      <c r="L7" s="386" t="str">
        <f>YEAR(Cover!$C$25)+7&amp;"-"&amp;RIGHT(YEAR(Cover!$C$25)+8,2)</f>
        <v>2003-04</v>
      </c>
      <c r="M7" s="386" t="str">
        <f>YEAR(Cover!$C$25)+8&amp;"-"&amp;RIGHT(YEAR(Cover!$C$25)+9,2)</f>
        <v>2004-05</v>
      </c>
      <c r="N7" s="386" t="str">
        <f>YEAR(Cover!$C$25)+9&amp;"-"&amp;RIGHT(YEAR(Cover!$C$25)+10,2)</f>
        <v>2005-06</v>
      </c>
      <c r="O7" s="386" t="str">
        <f>YEAR(Cover!$C$25)+10&amp;"-"&amp;RIGHT(YEAR(Cover!$C$25)+11,2)</f>
        <v>2006-07</v>
      </c>
      <c r="P7" s="386" t="str">
        <f>YEAR(Cover!$C$25)+11&amp;"-"&amp;RIGHT(YEAR(Cover!$C$25)+12,2)</f>
        <v>2007-08</v>
      </c>
      <c r="Q7" s="386" t="str">
        <f>YEAR(Cover!$C$25)+12&amp;"-"&amp;RIGHT(YEAR(Cover!$C$25)+13,2)</f>
        <v>2008-09</v>
      </c>
      <c r="R7" s="386" t="str">
        <f>YEAR(Cover!$C$25)+13&amp;"-"&amp;RIGHT(YEAR(Cover!$C$25)+14,2)</f>
        <v>2009-10</v>
      </c>
      <c r="S7" s="386" t="str">
        <f>YEAR(Cover!$C$25)+14&amp;"-"&amp;RIGHT(YEAR(Cover!$C$25)+15,2)</f>
        <v>2010-11</v>
      </c>
      <c r="T7" s="386" t="str">
        <f>YEAR(Cover!$C$25)+15&amp;"-"&amp;RIGHT(YEAR(Cover!$C$25)+16,2)</f>
        <v>2011-12</v>
      </c>
      <c r="U7" s="386" t="str">
        <f>YEAR(Cover!$C$25)+16&amp;"-"&amp;RIGHT(YEAR(Cover!$C$25)+17,2)</f>
        <v>2012-13</v>
      </c>
      <c r="V7" s="386" t="str">
        <f>YEAR(Cover!$C$25)+17&amp;"-"&amp;RIGHT(YEAR(Cover!$C$25)+18,2)</f>
        <v>2013-14</v>
      </c>
      <c r="W7" s="386" t="str">
        <f>YEAR(Cover!$C$25)+18&amp;"-"&amp;RIGHT(YEAR(Cover!$C$25)+19,2)</f>
        <v>2014-15</v>
      </c>
      <c r="X7" s="386" t="str">
        <f>YEAR(Cover!$C$25)+19&amp;"-"&amp;RIGHT(YEAR(Cover!$C$25)+20,2)</f>
        <v>2015-16</v>
      </c>
      <c r="Y7" s="386" t="str">
        <f>YEAR(Cover!$C$25)+20&amp;"-"&amp;RIGHT(YEAR(Cover!$C$25)+21,2)</f>
        <v>2016-17</v>
      </c>
      <c r="Z7" s="386" t="str">
        <f>YEAR(Cover!$C$25)+21&amp;"-"&amp;RIGHT(YEAR(Cover!$C$25)+22,2)</f>
        <v>2017-18</v>
      </c>
      <c r="AA7" s="386" t="str">
        <f>YEAR(Cover!$C$25)+22&amp;"-"&amp;RIGHT(YEAR(Cover!$C$25)+23,2)</f>
        <v>2018-19</v>
      </c>
      <c r="AB7" s="386" t="str">
        <f>YEAR(Cover!$C$25)+23&amp;"-"&amp;RIGHT(YEAR(Cover!$C$25)+24,2)</f>
        <v>2019-20</v>
      </c>
      <c r="AC7" s="386" t="str">
        <f>YEAR(Cover!$C$25)+24&amp;"-"&amp;RIGHT(YEAR(Cover!$C$25)+25,2)</f>
        <v>2020-21</v>
      </c>
      <c r="AD7" s="396" t="str">
        <f>YEAR(Cover!$C$21)&amp;"-"&amp;RIGHT(YEAR(Cover!$C$23),2)</f>
        <v>2021-22</v>
      </c>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3"/>
      <c r="BK7" s="83"/>
      <c r="BL7" s="83"/>
    </row>
    <row r="8" spans="1:70" x14ac:dyDescent="0.25">
      <c r="A8" s="78"/>
      <c r="B8" s="389" t="s">
        <v>227</v>
      </c>
      <c r="C8" s="399" t="s">
        <v>223</v>
      </c>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3"/>
      <c r="BJ8" s="61"/>
      <c r="BK8" s="61"/>
      <c r="BL8" s="61"/>
    </row>
    <row r="9" spans="1:70" x14ac:dyDescent="0.25">
      <c r="A9" s="62"/>
      <c r="B9" s="388" t="s">
        <v>231</v>
      </c>
      <c r="C9" s="390" t="s">
        <v>243</v>
      </c>
      <c r="D9" s="378">
        <f>'3. Statement of pipeline assets'!D93</f>
        <v>0</v>
      </c>
      <c r="E9" s="409">
        <f>'3. Statement of pipeline assets'!E93</f>
        <v>3.3388981636059967E-3</v>
      </c>
      <c r="F9" s="409">
        <f>'3. Statement of pipeline assets'!F93</f>
        <v>6.6555740432612254E-3</v>
      </c>
      <c r="G9" s="409">
        <f>'3. Statement of pipeline assets'!G93</f>
        <v>1.074380165289246E-2</v>
      </c>
      <c r="H9" s="409">
        <f>'3. Statement of pipeline assets'!H93</f>
        <v>3.1888798037612576E-2</v>
      </c>
      <c r="I9" s="409">
        <f>'3. Statement of pipeline assets'!I93</f>
        <v>6.0221870047543646E-2</v>
      </c>
      <c r="J9" s="409">
        <f>'3. Statement of pipeline assets'!J93</f>
        <v>2.8400597907324299E-2</v>
      </c>
      <c r="K9" s="409">
        <f>'3. Statement of pipeline assets'!K93</f>
        <v>2.6889534883721034E-2</v>
      </c>
      <c r="L9" s="409">
        <f>'3. Statement of pipeline assets'!L93</f>
        <v>2.4769992922859085E-2</v>
      </c>
      <c r="M9" s="409">
        <f>'3. Statement of pipeline assets'!M93</f>
        <v>2.4861878453038555E-2</v>
      </c>
      <c r="N9" s="409">
        <f>'3. Statement of pipeline assets'!N93</f>
        <v>3.9757412398921943E-2</v>
      </c>
      <c r="O9" s="409">
        <f>'3. Statement of pipeline assets'!O93</f>
        <v>2.0738820479585085E-2</v>
      </c>
      <c r="P9" s="409">
        <f>'3. Statement of pipeline assets'!P93</f>
        <v>4.5079365079365052E-2</v>
      </c>
      <c r="Q9" s="409">
        <f>'3. Statement of pipeline assets'!Q93</f>
        <v>1.4580801944106936E-2</v>
      </c>
      <c r="R9" s="409">
        <f>'3. Statement of pipeline assets'!R93</f>
        <v>3.0538922155688653E-2</v>
      </c>
      <c r="S9" s="409">
        <f>'3. Statement of pipeline assets'!S93</f>
        <v>3.6025566531086683E-2</v>
      </c>
      <c r="T9" s="409">
        <f>'3. Statement of pipeline assets'!T93</f>
        <v>1.1777902411665764E-2</v>
      </c>
      <c r="U9" s="409">
        <f>'3. Statement of pipeline assets'!U93</f>
        <v>2.3904382470119501E-2</v>
      </c>
      <c r="V9" s="409">
        <f>'3. Statement of pipeline assets'!V93</f>
        <v>3.0155642023346418E-2</v>
      </c>
      <c r="W9" s="409">
        <f>'3. Statement of pipeline assets'!W93</f>
        <v>1.5108593012275628E-2</v>
      </c>
      <c r="X9" s="409">
        <f>'3. Statement of pipeline assets'!X93</f>
        <v>1.0232558139534831E-2</v>
      </c>
      <c r="Y9" s="409">
        <f>'3. Statement of pipeline assets'!Y93</f>
        <v>1.9337016574585641E-2</v>
      </c>
      <c r="Z9" s="409">
        <f>'3. Statement of pipeline assets'!Z93</f>
        <v>2.0776874435411097E-2</v>
      </c>
      <c r="AA9" s="409">
        <f>'3. Statement of pipeline assets'!AA93</f>
        <v>1.5929203539823078E-2</v>
      </c>
      <c r="AB9" s="409">
        <f>'3. Statement of pipeline assets'!AB93</f>
        <v>-3.4843205574912606E-3</v>
      </c>
      <c r="AC9" s="409">
        <f>'3. Statement of pipeline assets'!AC93</f>
        <v>3.8461538461538325E-2</v>
      </c>
      <c r="AD9" s="409">
        <f>'3. Statement of pipeline assets'!AD93</f>
        <v>6.1447811447811418E-2</v>
      </c>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3"/>
      <c r="BJ9" s="61"/>
      <c r="BK9" s="61"/>
      <c r="BL9" s="61"/>
    </row>
    <row r="10" spans="1:70" x14ac:dyDescent="0.25">
      <c r="A10" s="62"/>
      <c r="B10" s="388" t="s">
        <v>229</v>
      </c>
      <c r="C10" s="390" t="s">
        <v>245</v>
      </c>
      <c r="D10" s="368"/>
      <c r="E10" s="421">
        <v>0.14277500000000001</v>
      </c>
      <c r="F10" s="421">
        <v>0.12501000000000001</v>
      </c>
      <c r="G10" s="421">
        <v>0.10939499999999999</v>
      </c>
      <c r="H10" s="421">
        <v>0.10675999999999999</v>
      </c>
      <c r="I10" s="421">
        <v>0.106345</v>
      </c>
      <c r="J10" s="421">
        <v>9.3867499999999993E-2</v>
      </c>
      <c r="K10" s="421">
        <v>8.967E-2</v>
      </c>
      <c r="L10" s="421">
        <v>7.7527499999999999E-2</v>
      </c>
      <c r="M10" s="421">
        <v>9.2044999999999988E-2</v>
      </c>
      <c r="N10" s="421">
        <v>8.5012500000000005E-2</v>
      </c>
      <c r="O10" s="421">
        <v>8.8777500000000009E-2</v>
      </c>
      <c r="P10" s="421">
        <v>0.1046475</v>
      </c>
      <c r="Q10" s="421">
        <v>0.10846749999999999</v>
      </c>
      <c r="R10" s="421">
        <v>9.8267500000000008E-2</v>
      </c>
      <c r="S10" s="421">
        <v>9.5862499999999989E-2</v>
      </c>
      <c r="T10" s="421">
        <v>9.3549999999999994E-2</v>
      </c>
      <c r="U10" s="421">
        <v>7.3539999999999994E-2</v>
      </c>
      <c r="V10" s="421">
        <v>7.5312500000000004E-2</v>
      </c>
      <c r="W10" s="421">
        <v>7.702500000000001E-2</v>
      </c>
      <c r="X10" s="421">
        <v>6.9877500000000009E-2</v>
      </c>
      <c r="Y10" s="421">
        <v>5.7187499999999995E-2</v>
      </c>
      <c r="Z10" s="421">
        <v>5.5494415609722993E-2</v>
      </c>
      <c r="AA10" s="421">
        <v>5.7169949621930977E-2</v>
      </c>
      <c r="AB10" s="421">
        <v>4.5769999999999998E-2</v>
      </c>
      <c r="AC10" s="421">
        <v>3.5444000000000003E-2</v>
      </c>
      <c r="AD10" s="421">
        <v>4.7310773823327712E-2</v>
      </c>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3"/>
      <c r="BJ10" s="61"/>
      <c r="BK10" s="61"/>
      <c r="BL10" s="61"/>
    </row>
    <row r="11" spans="1:70" x14ac:dyDescent="0.25">
      <c r="A11" s="62"/>
      <c r="B11" s="388" t="s">
        <v>248</v>
      </c>
      <c r="C11" s="390" t="s">
        <v>244</v>
      </c>
      <c r="D11" s="378">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assets'!D62+'3. Statement of pipeline assets'!D68+'3. Statement of pipeline assets'!D76+'3. Statement of pipeline assets'!D82+'3. Statement of pipeline assets'!D88)/1000000</f>
        <v>0</v>
      </c>
      <c r="E11" s="378">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assets'!E76+'3. Statement of pipeline assets'!E82+'3. Statement of pipeline assets'!E88)/1000000</f>
        <v>0</v>
      </c>
      <c r="F11" s="378">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assets'!F76+'3. Statement of pipeline assets'!F82+'3. Statement of pipeline assets'!F88)/1000000</f>
        <v>12.709612786901509</v>
      </c>
      <c r="G11" s="378">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assets'!G76+'3. Statement of pipeline assets'!G82+'3. Statement of pipeline assets'!G88)/1000000</f>
        <v>12.634801944744714</v>
      </c>
      <c r="H11" s="378">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assets'!H76+'3. Statement of pipeline assets'!H82+'3. Statement of pipeline assets'!H88)/1000000</f>
        <v>12.610086237071574</v>
      </c>
      <c r="I11" s="378">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assets'!I76+'3. Statement of pipeline assets'!I82+'3. Statement of pipeline assets'!I88)/1000000</f>
        <v>12.855127484274568</v>
      </c>
      <c r="J11" s="378">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assets'!J76+'3. Statement of pipeline assets'!J82+'3. Statement of pipeline assets'!J88)/1000000</f>
        <v>13.462703795742094</v>
      </c>
      <c r="K11" s="378">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assets'!K76+'3. Statement of pipeline assets'!K82+'3. Statement of pipeline assets'!K88)/1000000</f>
        <v>13.713364760320211</v>
      </c>
      <c r="L11" s="378">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assets'!L76+'3. Statement of pipeline assets'!L82+'3. Statement of pipeline assets'!L88)/1000000</f>
        <v>13.906063083004872</v>
      </c>
      <c r="M11" s="378">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assets'!M76+'3. Statement of pipeline assets'!M82+'3. Statement of pipeline assets'!M88)/1000000</f>
        <v>14.065861011732386</v>
      </c>
      <c r="N11" s="378">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assets'!N76+'3. Statement of pipeline assets'!N82+'3. Statement of pipeline assets'!N88)/1000000</f>
        <v>14.40713654620831</v>
      </c>
      <c r="O11" s="378">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assets'!O76+'3. Statement of pipeline assets'!O82+'3. Statement of pipeline assets'!O88)/1000000</f>
        <v>14.778429724106289</v>
      </c>
      <c r="P11" s="378">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assets'!P76+'3. Statement of pipeline assets'!P82+'3. Statement of pipeline assets'!P88)/1000000</f>
        <v>14.867306790152279</v>
      </c>
      <c r="Q11" s="378">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assets'!Q76+'3. Statement of pipeline assets'!Q82+'3. Statement of pipeline assets'!Q88)/1000000</f>
        <v>15.73899800982003</v>
      </c>
      <c r="R11" s="378">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assets'!R76+'3. Statement of pipeline assets'!R82+'3. Statement of pipeline assets'!R88)/1000000</f>
        <v>15.727100530059467</v>
      </c>
      <c r="S11" s="378">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assets'!S76+'3. Statement of pipeline assets'!S82+'3. Statement of pipeline assets'!S88)/1000000</f>
        <v>15.963275818850919</v>
      </c>
      <c r="T11" s="378">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assets'!T76+'3. Statement of pipeline assets'!T82+'3. Statement of pipeline assets'!T88)/1000000</f>
        <v>16.286793503460213</v>
      </c>
      <c r="U11" s="378">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assets'!U76+'3. Statement of pipeline assets'!U82+'3. Statement of pipeline assets'!U88)/1000000</f>
        <v>16.217986504419095</v>
      </c>
      <c r="V11" s="378">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assets'!V76+'3. Statement of pipeline assets'!V82+'3. Statement of pipeline assets'!V88)/1000000</f>
        <v>16.541014527064597</v>
      </c>
      <c r="W11" s="378">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assets'!W76+'3. Statement of pipeline assets'!W82+'3. Statement of pipeline assets'!W88)/1000000</f>
        <v>16.730100939588439</v>
      </c>
      <c r="X11" s="378">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assets'!X76+'3. Statement of pipeline assets'!X82+'3. Statement of pipeline assets'!X88)/1000000</f>
        <v>16.699144116663238</v>
      </c>
      <c r="Y11" s="378">
        <f>('3. Statement of pipeline assets'!Y13+'3. Statement of pipeline assets'!Y20+'3. Statement of pipeline assets'!Y26+'3. Statement of pipeline assets'!Y32+'3. Statement of pipeline assets'!Y38+'3. Statement of pipeline assets'!Y44+'3. Statement of pipeline assets'!Y50+'3. Statement of pipeline assets'!Y56+'3. Statement of pipeline assets'!Y62+'3. Statement of pipeline assets'!Y68+'3. Statement of pipeline assets'!Y76+'3. Statement of pipeline assets'!Y82+'3. Statement of pipeline assets'!Y88)/1000000</f>
        <v>16.570385827996617</v>
      </c>
      <c r="Z11" s="378">
        <f>('3. Statement of pipeline assets'!Z13+'3. Statement of pipeline assets'!Z20+'3. Statement of pipeline assets'!Z26+'3. Statement of pipeline assets'!Z32+'3. Statement of pipeline assets'!Z38+'3. Statement of pipeline assets'!Z44+'3. Statement of pipeline assets'!Z50+'3. Statement of pipeline assets'!Z56+'3. Statement of pipeline assets'!Z62+'3. Statement of pipeline assets'!Z68+'3. Statement of pipeline assets'!Z76+'3. Statement of pipeline assets'!Z82+'3. Statement of pipeline assets'!Z88)/1000000</f>
        <v>16.832988572076715</v>
      </c>
      <c r="AA11" s="378">
        <f>('3. Statement of pipeline assets'!AA13+'3. Statement of pipeline assets'!AA20+'3. Statement of pipeline assets'!AA26+'3. Statement of pipeline assets'!AA32+'3. Statement of pipeline assets'!AA38+'3. Statement of pipeline assets'!AA44+'3. Statement of pipeline assets'!AA50+'3. Statement of pipeline assets'!AA56+'3. Statement of pipeline assets'!AA62+'3. Statement of pipeline assets'!AA68+'3. Statement of pipeline assets'!AA76+'3. Statement of pipeline assets'!AA82+'3. Statement of pipeline assets'!AA88)/1000000</f>
        <v>16.857311128097635</v>
      </c>
      <c r="AB11" s="378">
        <f>('3. Statement of pipeline assets'!AB13+'3. Statement of pipeline assets'!AB20+'3. Statement of pipeline assets'!AB26+'3. Statement of pipeline assets'!AB32+'3. Statement of pipeline assets'!AB38+'3. Statement of pipeline assets'!AB44+'3. Statement of pipeline assets'!AB50+'3. Statement of pipeline assets'!AB56+'3. Statement of pipeline assets'!AB62+'3. Statement of pipeline assets'!AB68+'3. Statement of pipeline assets'!AB76+'3. Statement of pipeline assets'!AB82+'3. Statement of pipeline assets'!AB88)/1000000</f>
        <v>16.895912965399628</v>
      </c>
      <c r="AC11" s="378">
        <f>('3. Statement of pipeline assets'!AC13+'3. Statement of pipeline assets'!AC20+'3. Statement of pipeline assets'!AC26+'3. Statement of pipeline assets'!AC32+'3. Statement of pipeline assets'!AC38+'3. Statement of pipeline assets'!AC44+'3. Statement of pipeline assets'!AC50+'3. Statement of pipeline assets'!AC56+'3. Statement of pipeline assets'!AC62+'3. Statement of pipeline assets'!AC68+'3. Statement of pipeline assets'!AC76+'3. Statement of pipeline assets'!AC82+'3. Statement of pipeline assets'!AC88)/1000000</f>
        <v>16.645411213394564</v>
      </c>
      <c r="AD11" s="378">
        <f>('3. Statement of pipeline assets'!AD13+'3. Statement of pipeline assets'!AD20+'3. Statement of pipeline assets'!AD26+'3. Statement of pipeline assets'!AD32+'3. Statement of pipeline assets'!AD38+'3. Statement of pipeline assets'!AD44+'3. Statement of pipeline assets'!AD50+'3. Statement of pipeline assets'!AD56+'3. Statement of pipeline assets'!AD62+'3. Statement of pipeline assets'!AD68+'3. Statement of pipeline assets'!AD76+'3. Statement of pipeline assets'!AD82+'3. Statement of pipeline assets'!AD88)/1000000</f>
        <v>17.005282089108345</v>
      </c>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3"/>
      <c r="BJ11" s="61"/>
      <c r="BK11" s="61"/>
      <c r="BL11" s="61"/>
    </row>
    <row r="12" spans="1:70" x14ac:dyDescent="0.25">
      <c r="A12" s="62"/>
      <c r="B12" s="388" t="s">
        <v>224</v>
      </c>
      <c r="C12" s="390" t="s">
        <v>246</v>
      </c>
      <c r="D12" s="378">
        <f>('3. Statement of pipeline assets'!D14+'3.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assets'!D77+'3. Statement of pipeline assets'!D83+'3. Statement of pipeline assets'!D89)/1000000</f>
        <v>0</v>
      </c>
      <c r="E12" s="378">
        <f>('3. Statement of pipeline assets'!E14+'3.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assets'!E77+'3. Statement of pipeline assets'!E83+'3. Statement of pipeline assets'!E89)/1000000</f>
        <v>12.709612786901509</v>
      </c>
      <c r="F12" s="378">
        <f>('3. Statement of pipeline assets'!F14+'3.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assets'!F77+'3. Statement of pipeline assets'!F83+'3. Statement of pipeline assets'!F89)/1000000</f>
        <v>0</v>
      </c>
      <c r="G12" s="378">
        <f>('3. Statement of pipeline assets'!G14+'3.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assets'!G77+'3. Statement of pipeline assets'!G83+'3. Statement of pipeline assets'!G89)/1000000</f>
        <v>0</v>
      </c>
      <c r="H12" s="378">
        <f>('3. Statement of pipeline assets'!H14+'3.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assets'!H77+'3. Statement of pipeline assets'!H83+'3. Statement of pipeline assets'!H89)/1000000</f>
        <v>5.1062343192166031E-3</v>
      </c>
      <c r="I12" s="378">
        <f>('3. Statement of pipeline assets'!I14+'3.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assets'!I77+'3. Statement of pipeline assets'!I83+'3. Statement of pipeline assets'!I89)/1000000</f>
        <v>8.3973838499987912E-4</v>
      </c>
      <c r="J12" s="378">
        <f>('3. Statement of pipeline assets'!J14+'3.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assets'!J77+'3. Statement of pipeline assets'!J83+'3. Statement of pipeline assets'!J89)/1000000</f>
        <v>4.5835718056161899E-2</v>
      </c>
      <c r="K12" s="378">
        <f>('3. Statement of pipeline assets'!K14+'3.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assets'!K77+'3. Statement of pipeline assets'!K83+'3. Statement of pipeline assets'!K89)/1000000</f>
        <v>7.7620062357725735E-3</v>
      </c>
      <c r="L12" s="378">
        <f>('3. Statement of pipeline assets'!L14+'3.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assets'!L77+'3. Statement of pipeline assets'!L83+'3. Statement of pipeline assets'!L89)/1000000</f>
        <v>4.2588186355909064E-3</v>
      </c>
      <c r="M12" s="378">
        <f>('3. Statement of pipeline assets'!M14+'3.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assets'!M77+'3. Statement of pipeline assets'!M83+'3. Statement of pipeline assets'!M89)/1000000</f>
        <v>0.18585780194678669</v>
      </c>
      <c r="N12" s="378">
        <f>('3. Statement of pipeline assets'!N14+'3.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assets'!N77+'3. Statement of pipeline assets'!N83+'3. Statement of pipeline assets'!N89)/1000000</f>
        <v>0</v>
      </c>
      <c r="O12" s="378">
        <f>('3. Statement of pipeline assets'!O14+'3.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assets'!O77+'3. Statement of pipeline assets'!O83+'3. Statement of pipeline assets'!O89)/1000000</f>
        <v>0</v>
      </c>
      <c r="P12" s="378">
        <f>('3. Statement of pipeline assets'!P14+'3.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assets'!P77+'3. Statement of pipeline assets'!P83+'3. Statement of pipeline assets'!P89)/1000000</f>
        <v>0.42360558162369516</v>
      </c>
      <c r="Q12" s="378">
        <f>('3. Statement of pipeline assets'!Q14+'3.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assets'!Q77+'3. Statement of pipeline assets'!Q83+'3. Statement of pipeline assets'!Q89)/1000000</f>
        <v>0</v>
      </c>
      <c r="R12" s="378">
        <f>('3. Statement of pipeline assets'!R14+'3.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assets'!R77+'3. Statement of pipeline assets'!R83+'3. Statement of pipeline assets'!R89)/1000000</f>
        <v>0</v>
      </c>
      <c r="S12" s="378">
        <f>('3. Statement of pipeline assets'!S14+'3.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assets'!S77+'3. Statement of pipeline assets'!S83+'3. Statement of pipeline assets'!S89)/1000000</f>
        <v>0</v>
      </c>
      <c r="T12" s="378">
        <f>('3. Statement of pipeline assets'!T14+'3.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assets'!T77+'3. Statement of pipeline assets'!T83+'3. Statement of pipeline assets'!T89)/1000000</f>
        <v>0</v>
      </c>
      <c r="U12" s="378">
        <f>('3. Statement of pipeline assets'!U14+'3.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assets'!U77+'3. Statement of pipeline assets'!U83+'3. Statement of pipeline assets'!U89)/1000000</f>
        <v>0.19904802345965997</v>
      </c>
      <c r="V12" s="378">
        <f>('3. Statement of pipeline assets'!V14+'3.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assets'!V77+'3. Statement of pipeline assets'!V83+'3. Statement of pipeline assets'!V89)/1000000</f>
        <v>0</v>
      </c>
      <c r="W12" s="378">
        <f>('3. Statement of pipeline assets'!W14+'3.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assets'!W77+'3. Statement of pipeline assets'!W83+'3. Statement of pipeline assets'!W89)/1000000</f>
        <v>3.5333151403327649E-2</v>
      </c>
      <c r="X12" s="378">
        <f>('3. Statement of pipeline assets'!X14+'3.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assets'!X77+'3. Statement of pipeline assets'!X83+'3. Statement of pipeline assets'!X89)/1000000</f>
        <v>2.6656201117737872E-2</v>
      </c>
      <c r="Y12" s="378">
        <f>('3. Statement of pipeline assets'!Y14+'3. Statement of pipeline assets'!Y21+'3. Statement of pipeline assets'!Y27+'3. Statement of pipeline assets'!Y33+'3. Statement of pipeline assets'!Y39+'3. Statement of pipeline assets'!Y45+'3. Statement of pipeline assets'!Y51+'3. Statement of pipeline assets'!Y57+'3. Statement of pipeline assets'!Y63+'3. Statement of pipeline assets'!Y69+'3. Statement of pipeline assets'!Y77+'3. Statement of pipeline assets'!Y83+'3. Statement of pipeline assets'!Y89)/1000000</f>
        <v>0.26277283955869413</v>
      </c>
      <c r="Z12" s="378">
        <f>('3. Statement of pipeline assets'!Z14+'3. Statement of pipeline assets'!Z21+'3. Statement of pipeline assets'!Z27+'3. Statement of pipeline assets'!Z33+'3. Statement of pipeline assets'!Z39+'3. Statement of pipeline assets'!Z45+'3. Statement of pipeline assets'!Z51+'3. Statement of pipeline assets'!Z57+'3. Statement of pipeline assets'!Z63+'3. Statement of pipeline assets'!Z69+'3. Statement of pipeline assets'!Z77+'3. Statement of pipeline assets'!Z83+'3. Statement of pipeline assets'!Z89)/1000000</f>
        <v>5.8092998034070279E-3</v>
      </c>
      <c r="AA12" s="378">
        <f>('3. Statement of pipeline assets'!AA14+'3. Statement of pipeline assets'!AA21+'3. Statement of pipeline assets'!AA27+'3. Statement of pipeline assets'!AA33+'3. Statement of pipeline assets'!AA39+'3. Statement of pipeline assets'!AA45+'3. Statement of pipeline assets'!AA51+'3. Statement of pipeline assets'!AA57+'3. Statement of pipeline assets'!AA63+'3. Statement of pipeline assets'!AA69+'3. Statement of pipeline assets'!AA77+'3. Statement of pipeline assets'!AA83+'3. Statement of pipeline assets'!AA89)/1000000</f>
        <v>6.5505815079092811E-2</v>
      </c>
      <c r="AB12" s="378">
        <f>('3. Statement of pipeline assets'!AB14+'3. Statement of pipeline assets'!AB21+'3. Statement of pipeline assets'!AB27+'3. Statement of pipeline assets'!AB33+'3. Statement of pipeline assets'!AB39+'3. Statement of pipeline assets'!AB45+'3. Statement of pipeline assets'!AB51+'3. Statement of pipeline assets'!AB57+'3. Statement of pipeline assets'!AB63+'3. Statement of pipeline assets'!AB69+'3. Statement of pipeline assets'!AB77+'3. Statement of pipeline assets'!AB83+'3. Statement of pipeline assets'!AB89)/1000000</f>
        <v>0.12183419171636982</v>
      </c>
      <c r="AC12" s="378">
        <f>('3. Statement of pipeline assets'!AC14+'3. Statement of pipeline assets'!AC21+'3. Statement of pipeline assets'!AC27+'3. Statement of pipeline assets'!AC33+'3. Statement of pipeline assets'!AC39+'3. Statement of pipeline assets'!AC45+'3. Statement of pipeline assets'!AC51+'3. Statement of pipeline assets'!AC57+'3. Statement of pipeline assets'!AC63+'3. Statement of pipeline assets'!AC69+'3. Statement of pipeline assets'!AC77+'3. Statement of pipeline assets'!AC83+'3. Statement of pipeline assets'!AC89)/1000000</f>
        <v>5.6705892008926673E-2</v>
      </c>
      <c r="AD12" s="378">
        <f>('3. Statement of pipeline assets'!AD14+'3. Statement of pipeline assets'!AD21+'3. Statement of pipeline assets'!AD27+'3. Statement of pipeline assets'!AD33+'3. Statement of pipeline assets'!AD39+'3. Statement of pipeline assets'!AD45+'3. Statement of pipeline assets'!AD51+'3. Statement of pipeline assets'!AD57+'3. Statement of pipeline assets'!AD63+'3. Statement of pipeline assets'!AD69+'3. Statement of pipeline assets'!AD77+'3. Statement of pipeline assets'!AD83+'3. Statement of pipeline assets'!AD89)/1000000</f>
        <v>0.20781574211287779</v>
      </c>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3"/>
      <c r="BJ12" s="61"/>
      <c r="BK12" s="61"/>
      <c r="BL12" s="61"/>
    </row>
    <row r="13" spans="1:70" x14ac:dyDescent="0.25">
      <c r="A13" s="62"/>
      <c r="B13" s="388" t="s">
        <v>238</v>
      </c>
      <c r="C13" s="390" t="s">
        <v>246</v>
      </c>
      <c r="D13" s="380">
        <v>0</v>
      </c>
      <c r="E13" s="380">
        <v>0</v>
      </c>
      <c r="F13" s="380">
        <v>0</v>
      </c>
      <c r="G13" s="380">
        <v>0</v>
      </c>
      <c r="H13" s="380">
        <v>0</v>
      </c>
      <c r="I13" s="380">
        <v>0</v>
      </c>
      <c r="J13" s="380">
        <v>0</v>
      </c>
      <c r="K13" s="380">
        <v>0</v>
      </c>
      <c r="L13" s="380">
        <v>0</v>
      </c>
      <c r="M13" s="380">
        <v>0</v>
      </c>
      <c r="N13" s="380">
        <v>0</v>
      </c>
      <c r="O13" s="380">
        <v>0</v>
      </c>
      <c r="P13" s="380">
        <v>0</v>
      </c>
      <c r="Q13" s="380">
        <v>0</v>
      </c>
      <c r="R13" s="380">
        <v>0</v>
      </c>
      <c r="S13" s="380">
        <v>0</v>
      </c>
      <c r="T13" s="380">
        <v>0</v>
      </c>
      <c r="U13" s="380">
        <v>0</v>
      </c>
      <c r="V13" s="380">
        <v>0</v>
      </c>
      <c r="W13" s="380">
        <v>0</v>
      </c>
      <c r="X13" s="380">
        <v>0</v>
      </c>
      <c r="Y13" s="380">
        <v>0</v>
      </c>
      <c r="Z13" s="380">
        <v>0</v>
      </c>
      <c r="AA13" s="380">
        <v>0</v>
      </c>
      <c r="AB13" s="380">
        <v>0</v>
      </c>
      <c r="AC13" s="380">
        <v>0</v>
      </c>
      <c r="AD13" s="369">
        <f>('2.2 Revenue contributions '!E15+'2.2 Revenue contributions '!D27)/1000000</f>
        <v>0</v>
      </c>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3"/>
      <c r="BJ13" s="61"/>
      <c r="BK13" s="61"/>
      <c r="BL13" s="61"/>
    </row>
    <row r="14" spans="1:70" x14ac:dyDescent="0.25">
      <c r="A14" s="62"/>
      <c r="B14" s="388" t="s">
        <v>573</v>
      </c>
      <c r="C14" s="390" t="s">
        <v>246</v>
      </c>
      <c r="D14" s="378">
        <f>-('3. Statement of pipeline assets'!D16+'3. Statement of pipeline assets'!D23+'3. Statement of pipeline assets'!D29+'3. Statement of pipeline assets'!D35+'3. Statement of pipeline assets'!D41+'3. Statement of pipeline assets'!D47+'3. Statement of pipeline assets'!D53+'3. Statement of pipeline assets'!D59+'3. Statement of pipeline assets'!D65+'3. Statement of pipeline assets'!D71+'3. Statement of pipeline assets'!D79+'3. Statement of pipeline assets'!D85)/1000000</f>
        <v>0</v>
      </c>
      <c r="E14" s="378">
        <f>-('3. Statement of pipeline assets'!E16+'3. Statement of pipeline assets'!E23+'3. Statement of pipeline assets'!E29+'3. Statement of pipeline assets'!E35+'3. Statement of pipeline assets'!E41+'3. Statement of pipeline assets'!E47+'3. Statement of pipeline assets'!E53+'3. Statement of pipeline assets'!E59+'3. Statement of pipeline assets'!E65+'3. Statement of pipeline assets'!E71+'3. Statement of pipeline assets'!E79+'3. Statement of pipeline assets'!E85)/1000000</f>
        <v>0</v>
      </c>
      <c r="F14" s="378">
        <f>-('3. Statement of pipeline assets'!F16+'3. Statement of pipeline assets'!F23+'3. Statement of pipeline assets'!F29+'3. Statement of pipeline assets'!F35+'3. Statement of pipeline assets'!F41+'3. Statement of pipeline assets'!F47+'3. Statement of pipeline assets'!F53+'3. Statement of pipeline assets'!F59+'3. Statement of pipeline assets'!F65+'3. Statement of pipeline assets'!F71+'3. Statement of pipeline assets'!F79+'3. Statement of pipeline assets'!F85)/1000000</f>
        <v>0</v>
      </c>
      <c r="G14" s="378">
        <f>-('3. Statement of pipeline assets'!G16+'3. Statement of pipeline assets'!G23+'3. Statement of pipeline assets'!G29+'3. Statement of pipeline assets'!G35+'3. Statement of pipeline assets'!G41+'3. Statement of pipeline assets'!G47+'3. Statement of pipeline assets'!G53+'3. Statement of pipeline assets'!G59+'3. Statement of pipeline assets'!G65+'3. Statement of pipeline assets'!G71+'3. Statement of pipeline assets'!G79+'3. Statement of pipeline assets'!G85)/1000000</f>
        <v>0</v>
      </c>
      <c r="H14" s="378">
        <f>-('3. Statement of pipeline assets'!H16+'3. Statement of pipeline assets'!H23+'3. Statement of pipeline assets'!H29+'3. Statement of pipeline assets'!H35+'3. Statement of pipeline assets'!H41+'3. Statement of pipeline assets'!H47+'3. Statement of pipeline assets'!H53+'3. Statement of pipeline assets'!H59+'3. Statement of pipeline assets'!H65+'3. Statement of pipeline assets'!H71+'3. Statement of pipeline assets'!H79+'3. Statement of pipeline assets'!H85)/1000000</f>
        <v>0</v>
      </c>
      <c r="I14" s="378">
        <f>-('3. Statement of pipeline assets'!I16+'3. Statement of pipeline assets'!I23+'3. Statement of pipeline assets'!I29+'3. Statement of pipeline assets'!I35+'3. Statement of pipeline assets'!I41+'3. Statement of pipeline assets'!I47+'3. Statement of pipeline assets'!I53+'3. Statement of pipeline assets'!I59+'3. Statement of pipeline assets'!I65+'3. Statement of pipeline assets'!I71+'3. Statement of pipeline assets'!I79+'3. Statement of pipeline assets'!I85)/1000000</f>
        <v>0</v>
      </c>
      <c r="J14" s="378">
        <f>-('3. Statement of pipeline assets'!J16+'3. Statement of pipeline assets'!J23+'3. Statement of pipeline assets'!J29+'3. Statement of pipeline assets'!J35+'3. Statement of pipeline assets'!J41+'3. Statement of pipeline assets'!J47+'3. Statement of pipeline assets'!J53+'3. Statement of pipeline assets'!J59+'3. Statement of pipeline assets'!J65+'3. Statement of pipeline assets'!J71+'3. Statement of pipeline assets'!J79+'3. Statement of pipeline assets'!J85)/1000000</f>
        <v>0</v>
      </c>
      <c r="K14" s="378">
        <f>-('3. Statement of pipeline assets'!K16+'3. Statement of pipeline assets'!K23+'3. Statement of pipeline assets'!K29+'3. Statement of pipeline assets'!K35+'3. Statement of pipeline assets'!K41+'3. Statement of pipeline assets'!K47+'3. Statement of pipeline assets'!K53+'3. Statement of pipeline assets'!K59+'3. Statement of pipeline assets'!K65+'3. Statement of pipeline assets'!K71+'3. Statement of pipeline assets'!K79+'3. Statement of pipeline assets'!K85)/1000000</f>
        <v>0</v>
      </c>
      <c r="L14" s="378">
        <f>-('3. Statement of pipeline assets'!L16+'3. Statement of pipeline assets'!L23+'3. Statement of pipeline assets'!L29+'3. Statement of pipeline assets'!L35+'3. Statement of pipeline assets'!L41+'3. Statement of pipeline assets'!L47+'3. Statement of pipeline assets'!L53+'3. Statement of pipeline assets'!L59+'3. Statement of pipeline assets'!L65+'3. Statement of pipeline assets'!L71+'3. Statement of pipeline assets'!L79+'3. Statement of pipeline assets'!L85)/1000000</f>
        <v>0</v>
      </c>
      <c r="M14" s="378">
        <f>-('3. Statement of pipeline assets'!M16+'3. Statement of pipeline assets'!M23+'3. Statement of pipeline assets'!M29+'3. Statement of pipeline assets'!M35+'3. Statement of pipeline assets'!M41+'3. Statement of pipeline assets'!M47+'3. Statement of pipeline assets'!M53+'3. Statement of pipeline assets'!M59+'3. Statement of pipeline assets'!M65+'3. Statement of pipeline assets'!M71+'3. Statement of pipeline assets'!M79+'3. Statement of pipeline assets'!M85)/1000000</f>
        <v>0</v>
      </c>
      <c r="N14" s="378">
        <f>-('3. Statement of pipeline assets'!N16+'3. Statement of pipeline assets'!N23+'3. Statement of pipeline assets'!N29+'3. Statement of pipeline assets'!N35+'3. Statement of pipeline assets'!N41+'3. Statement of pipeline assets'!N47+'3. Statement of pipeline assets'!N53+'3. Statement of pipeline assets'!N59+'3. Statement of pipeline assets'!N65+'3. Statement of pipeline assets'!N71+'3. Statement of pipeline assets'!N79+'3. Statement of pipeline assets'!N85)/1000000</f>
        <v>0</v>
      </c>
      <c r="O14" s="378">
        <f>-('3. Statement of pipeline assets'!O16+'3. Statement of pipeline assets'!O23+'3. Statement of pipeline assets'!O29+'3. Statement of pipeline assets'!O35+'3. Statement of pipeline assets'!O41+'3. Statement of pipeline assets'!O47+'3. Statement of pipeline assets'!O53+'3. Statement of pipeline assets'!O59+'3. Statement of pipeline assets'!O65+'3. Statement of pipeline assets'!O71+'3. Statement of pipeline assets'!O79+'3. Statement of pipeline assets'!O85)/1000000</f>
        <v>0</v>
      </c>
      <c r="P14" s="378">
        <f>-('3. Statement of pipeline assets'!P16+'3. Statement of pipeline assets'!P23+'3. Statement of pipeline assets'!P29+'3. Statement of pipeline assets'!P35+'3. Statement of pipeline assets'!P41+'3. Statement of pipeline assets'!P47+'3. Statement of pipeline assets'!P53+'3. Statement of pipeline assets'!P59+'3. Statement of pipeline assets'!P65+'3. Statement of pipeline assets'!P71+'3. Statement of pipeline assets'!P79+'3. Statement of pipeline assets'!P85)/1000000</f>
        <v>0</v>
      </c>
      <c r="Q14" s="378">
        <f>-('3. Statement of pipeline assets'!Q16+'3. Statement of pipeline assets'!Q23+'3. Statement of pipeline assets'!Q29+'3. Statement of pipeline assets'!Q35+'3. Statement of pipeline assets'!Q41+'3. Statement of pipeline assets'!Q47+'3. Statement of pipeline assets'!Q53+'3. Statement of pipeline assets'!Q59+'3. Statement of pipeline assets'!Q65+'3. Statement of pipeline assets'!Q71+'3. Statement of pipeline assets'!Q79+'3. Statement of pipeline assets'!Q85)/1000000</f>
        <v>0</v>
      </c>
      <c r="R14" s="378">
        <f>-('3. Statement of pipeline assets'!R16+'3. Statement of pipeline assets'!R23+'3. Statement of pipeline assets'!R29+'3. Statement of pipeline assets'!R35+'3. Statement of pipeline assets'!R41+'3. Statement of pipeline assets'!R47+'3. Statement of pipeline assets'!R53+'3. Statement of pipeline assets'!R59+'3. Statement of pipeline assets'!R65+'3. Statement of pipeline assets'!R71+'3. Statement of pipeline assets'!R79+'3. Statement of pipeline assets'!R85)/1000000</f>
        <v>0</v>
      </c>
      <c r="S14" s="378">
        <f>-('3. Statement of pipeline assets'!S16+'3. Statement of pipeline assets'!S23+'3. Statement of pipeline assets'!S29+'3. Statement of pipeline assets'!S35+'3. Statement of pipeline assets'!S41+'3. Statement of pipeline assets'!S47+'3. Statement of pipeline assets'!S53+'3. Statement of pipeline assets'!S59+'3. Statement of pipeline assets'!S65+'3. Statement of pipeline assets'!S71+'3. Statement of pipeline assets'!S79+'3. Statement of pipeline assets'!S85)/1000000</f>
        <v>0</v>
      </c>
      <c r="T14" s="378">
        <f>-('3. Statement of pipeline assets'!T16+'3. Statement of pipeline assets'!T23+'3. Statement of pipeline assets'!T29+'3. Statement of pipeline assets'!T35+'3. Statement of pipeline assets'!T41+'3. Statement of pipeline assets'!T47+'3. Statement of pipeline assets'!T53+'3. Statement of pipeline assets'!T59+'3. Statement of pipeline assets'!T65+'3. Statement of pipeline assets'!T71+'3. Statement of pipeline assets'!T79+'3. Statement of pipeline assets'!T85)/1000000</f>
        <v>0</v>
      </c>
      <c r="U14" s="378">
        <f>-('3. Statement of pipeline assets'!U16+'3. Statement of pipeline assets'!U23+'3. Statement of pipeline assets'!U29+'3. Statement of pipeline assets'!U35+'3. Statement of pipeline assets'!U41+'3. Statement of pipeline assets'!U47+'3. Statement of pipeline assets'!U53+'3. Statement of pipeline assets'!U59+'3. Statement of pipeline assets'!U65+'3. Statement of pipeline assets'!U71+'3. Statement of pipeline assets'!U79+'3. Statement of pipeline assets'!U85)/1000000</f>
        <v>0</v>
      </c>
      <c r="V14" s="378">
        <f>-('3. Statement of pipeline assets'!V16+'3. Statement of pipeline assets'!V23+'3. Statement of pipeline assets'!V29+'3. Statement of pipeline assets'!V35+'3. Statement of pipeline assets'!V41+'3. Statement of pipeline assets'!V47+'3. Statement of pipeline assets'!V53+'3. Statement of pipeline assets'!V59+'3. Statement of pipeline assets'!V65+'3. Statement of pipeline assets'!V71+'3. Statement of pipeline assets'!V79+'3. Statement of pipeline assets'!V85)/1000000</f>
        <v>0</v>
      </c>
      <c r="W14" s="378">
        <f>-('3. Statement of pipeline assets'!W16+'3. Statement of pipeline assets'!W23+'3. Statement of pipeline assets'!W29+'3. Statement of pipeline assets'!W35+'3. Statement of pipeline assets'!W41+'3. Statement of pipeline assets'!W47+'3. Statement of pipeline assets'!W53+'3. Statement of pipeline assets'!W59+'3. Statement of pipeline assets'!W65+'3. Statement of pipeline assets'!W71+'3. Statement of pipeline assets'!W79+'3. Statement of pipeline assets'!W85)/1000000</f>
        <v>0</v>
      </c>
      <c r="X14" s="378">
        <f>-('3. Statement of pipeline assets'!X16+'3. Statement of pipeline assets'!X23+'3. Statement of pipeline assets'!X29+'3. Statement of pipeline assets'!X35+'3. Statement of pipeline assets'!X41+'3. Statement of pipeline assets'!X47+'3. Statement of pipeline assets'!X53+'3. Statement of pipeline assets'!X59+'3. Statement of pipeline assets'!X65+'3. Statement of pipeline assets'!X71+'3. Statement of pipeline assets'!X79+'3. Statement of pipeline assets'!X85)/1000000</f>
        <v>1.9538580895326092E-5</v>
      </c>
      <c r="Y14" s="378">
        <f>-('3. Statement of pipeline assets'!Y16+'3. Statement of pipeline assets'!Y23+'3. Statement of pipeline assets'!Y29+'3. Statement of pipeline assets'!Y35+'3. Statement of pipeline assets'!Y41+'3. Statement of pipeline assets'!Y47+'3. Statement of pipeline assets'!Y53+'3. Statement of pipeline assets'!Y59+'3. Statement of pipeline assets'!Y65+'3. Statement of pipeline assets'!Y71+'3. Statement of pipeline assets'!Y79+'3. Statement of pipeline assets'!Y85)/1000000</f>
        <v>2.0700888358172799E-5</v>
      </c>
      <c r="Z14" s="378">
        <f>-('3. Statement of pipeline assets'!Z16+'3. Statement of pipeline assets'!Z23+'3. Statement of pipeline assets'!Z29+'3. Statement of pipeline assets'!Z35+'3. Statement of pipeline assets'!Z41+'3. Statement of pipeline assets'!Z47+'3. Statement of pipeline assets'!Z53+'3. Statement of pipeline assets'!Z59+'3. Statement of pipeline assets'!Z65+'3. Statement of pipeline assets'!Z71+'3. Statement of pipeline assets'!Z79+'3. Statement of pipeline assets'!Z85)/1000000</f>
        <v>6.4937252649540203E-6</v>
      </c>
      <c r="AA14" s="378">
        <f>-('3. Statement of pipeline assets'!AA16+'3. Statement of pipeline assets'!AA23+'3. Statement of pipeline assets'!AA29+'3. Statement of pipeline assets'!AA35+'3. Statement of pipeline assets'!AA41+'3. Statement of pipeline assets'!AA47+'3. Statement of pipeline assets'!AA53+'3. Statement of pipeline assets'!AA59+'3. Statement of pipeline assets'!AA65+'3. Statement of pipeline assets'!AA71+'3. Statement of pipeline assets'!AA79+'3. Statement of pipeline assets'!AA85)/1000000</f>
        <v>2.8009938717675308E-4</v>
      </c>
      <c r="AB14" s="378">
        <f>-('3. Statement of pipeline assets'!AB16+'3. Statement of pipeline assets'!AB23+'3. Statement of pipeline assets'!AB29+'3. Statement of pipeline assets'!AB35+'3. Statement of pipeline assets'!AB41+'3. Statement of pipeline assets'!AB47+'3. Statement of pipeline assets'!AB53+'3. Statement of pipeline assets'!AB59+'3. Statement of pipeline assets'!AB65+'3. Statement of pipeline assets'!AB71+'3. Statement of pipeline assets'!AB79+'3. Statement of pipeline assets'!AB85)/1000000</f>
        <v>3.6334317307914116E-4</v>
      </c>
      <c r="AC14" s="378">
        <f>-('3. Statement of pipeline assets'!AC16+'3. Statement of pipeline assets'!AC23+'3. Statement of pipeline assets'!AC29+'3. Statement of pipeline assets'!AC35+'3. Statement of pipeline assets'!AC41+'3. Statement of pipeline assets'!AC47+'3. Statement of pipeline assets'!AC53+'3. Statement of pipeline assets'!AC59+'3. Statement of pipeline assets'!AC65+'3. Statement of pipeline assets'!AC71+'3. Statement of pipeline assets'!AC79+'3. Statement of pipeline assets'!AC85)/1000000</f>
        <v>8.2274230888529235E-4</v>
      </c>
      <c r="AD14" s="378">
        <f>-('3. Statement of pipeline assets'!AD16+'3. Statement of pipeline assets'!AD23+'3. Statement of pipeline assets'!AD29+'3. Statement of pipeline assets'!AD35+'3. Statement of pipeline assets'!AD41+'3. Statement of pipeline assets'!AD47+'3. Statement of pipeline assets'!AD53+'3. Statement of pipeline assets'!AD59+'3. Statement of pipeline assets'!AD65+'3. Statement of pipeline assets'!AD71+'3. Statement of pipeline assets'!AD79+'3. Statement of pipeline assets'!AD85)/1000000</f>
        <v>5.103277176252112E-5</v>
      </c>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3"/>
      <c r="BJ14" s="61"/>
      <c r="BK14" s="61"/>
      <c r="BL14" s="61"/>
    </row>
    <row r="15" spans="1:70" x14ac:dyDescent="0.25">
      <c r="A15" s="62"/>
      <c r="B15" s="388" t="s">
        <v>230</v>
      </c>
      <c r="C15" s="390" t="s">
        <v>246</v>
      </c>
      <c r="D15" s="380">
        <v>0</v>
      </c>
      <c r="E15" s="380">
        <v>7.8831575908372933E-2</v>
      </c>
      <c r="F15" s="380">
        <v>9.6837193588287587E-2</v>
      </c>
      <c r="G15" s="380">
        <v>9.8081272285800644E-2</v>
      </c>
      <c r="H15" s="380">
        <v>0.10039855372234527</v>
      </c>
      <c r="I15" s="380">
        <v>0.10055355034024177</v>
      </c>
      <c r="J15" s="380">
        <v>0.110205232</v>
      </c>
      <c r="K15" s="380">
        <v>0.10550781449999999</v>
      </c>
      <c r="L15" s="380">
        <v>0.13301957850000001</v>
      </c>
      <c r="M15" s="380">
        <v>0.1177210055</v>
      </c>
      <c r="N15" s="380">
        <v>0.12625323497279278</v>
      </c>
      <c r="O15" s="380">
        <v>0.13521964730990493</v>
      </c>
      <c r="P15" s="380">
        <v>0.13908789469398358</v>
      </c>
      <c r="Q15" s="380">
        <v>0.12872786450617862</v>
      </c>
      <c r="R15" s="380">
        <v>0.13978677292086006</v>
      </c>
      <c r="S15" s="380">
        <v>0.14263437912856106</v>
      </c>
      <c r="T15" s="380">
        <v>0.16211830656257656</v>
      </c>
      <c r="U15" s="380">
        <v>0.17943023383729517</v>
      </c>
      <c r="V15" s="380">
        <v>0.17018319710079605</v>
      </c>
      <c r="W15" s="380">
        <v>0.19101387731136926</v>
      </c>
      <c r="X15" s="380">
        <v>0.1823799060943207</v>
      </c>
      <c r="Y15" s="380">
        <v>0.18114453785215842</v>
      </c>
      <c r="Z15" s="380">
        <v>0.18676397483322446</v>
      </c>
      <c r="AA15" s="380">
        <v>0.25688072437546039</v>
      </c>
      <c r="AB15" s="380">
        <v>0.37766276903512003</v>
      </c>
      <c r="AC15" s="380">
        <v>0.52045232760746141</v>
      </c>
      <c r="AD15" s="380">
        <v>0.52736214311347251</v>
      </c>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3"/>
      <c r="BJ15" s="61"/>
      <c r="BK15" s="61"/>
      <c r="BL15" s="61"/>
    </row>
    <row r="16" spans="1:70" x14ac:dyDescent="0.25">
      <c r="A16" s="62"/>
      <c r="B16" s="388" t="s">
        <v>247</v>
      </c>
      <c r="C16" s="390" t="s">
        <v>246</v>
      </c>
      <c r="D16" s="380">
        <v>0</v>
      </c>
      <c r="E16" s="380">
        <v>0</v>
      </c>
      <c r="F16" s="380">
        <v>4.1752367262711844E-2</v>
      </c>
      <c r="G16" s="380">
        <v>1.819335716801038E-2</v>
      </c>
      <c r="H16" s="380">
        <v>0</v>
      </c>
      <c r="I16" s="380">
        <v>0</v>
      </c>
      <c r="J16" s="380">
        <v>0</v>
      </c>
      <c r="K16" s="380">
        <v>0</v>
      </c>
      <c r="L16" s="380">
        <v>0</v>
      </c>
      <c r="M16" s="380">
        <v>0</v>
      </c>
      <c r="N16" s="380">
        <v>0</v>
      </c>
      <c r="O16" s="380">
        <v>0</v>
      </c>
      <c r="P16" s="380">
        <v>0</v>
      </c>
      <c r="Q16" s="380">
        <v>3.0482961102588441E-2</v>
      </c>
      <c r="R16" s="380">
        <v>0</v>
      </c>
      <c r="S16" s="380">
        <v>0</v>
      </c>
      <c r="T16" s="380">
        <v>2.4902443558817898E-2</v>
      </c>
      <c r="U16" s="380">
        <v>0</v>
      </c>
      <c r="V16" s="380">
        <v>0</v>
      </c>
      <c r="W16" s="380">
        <v>0</v>
      </c>
      <c r="X16" s="380">
        <v>0</v>
      </c>
      <c r="Y16" s="380">
        <v>2.5453571262328206E-2</v>
      </c>
      <c r="Z16" s="380">
        <v>3.5463960932483073E-2</v>
      </c>
      <c r="AA16" s="380">
        <v>4.9757538346475526E-2</v>
      </c>
      <c r="AB16" s="380">
        <v>7.7529661391772101E-2</v>
      </c>
      <c r="AC16" s="380">
        <v>0</v>
      </c>
      <c r="AD16" s="380">
        <v>0</v>
      </c>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3"/>
      <c r="BJ16" s="61"/>
      <c r="BK16" s="61"/>
      <c r="BL16" s="61"/>
    </row>
    <row r="17" spans="1:64" x14ac:dyDescent="0.25">
      <c r="A17" s="62"/>
      <c r="B17" s="157"/>
      <c r="C17" s="391"/>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3"/>
      <c r="BJ17" s="61"/>
      <c r="BK17" s="61"/>
      <c r="BL17" s="61"/>
    </row>
    <row r="18" spans="1:64" x14ac:dyDescent="0.25">
      <c r="A18" s="62"/>
      <c r="B18" s="158"/>
      <c r="C18" s="391"/>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3"/>
      <c r="BJ18" s="61"/>
      <c r="BK18" s="61"/>
      <c r="BL18" s="61"/>
    </row>
    <row r="19" spans="1:64" x14ac:dyDescent="0.25">
      <c r="A19" s="78"/>
      <c r="B19" s="389" t="s">
        <v>251</v>
      </c>
      <c r="C19" s="155" t="s">
        <v>121</v>
      </c>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3"/>
      <c r="BJ19" s="61"/>
      <c r="BK19" s="61"/>
      <c r="BL19" s="61"/>
    </row>
    <row r="20" spans="1:64" x14ac:dyDescent="0.25">
      <c r="A20" s="79"/>
      <c r="B20" s="388" t="s">
        <v>221</v>
      </c>
      <c r="C20" s="390" t="s">
        <v>226</v>
      </c>
      <c r="D20" s="378">
        <f>(D11-D13-D14)*D10</f>
        <v>0</v>
      </c>
      <c r="E20" s="378">
        <f>(E11-E13-E14)*E10</f>
        <v>0</v>
      </c>
      <c r="F20" s="378">
        <f>(F11-F13-F14)*F10</f>
        <v>1.5888286944905579</v>
      </c>
      <c r="G20" s="378">
        <f>(G11-G13-G14)*G10</f>
        <v>1.3821841587453478</v>
      </c>
      <c r="H20" s="378">
        <f t="shared" ref="H20:AB20" si="0">(H11-H13-H14)*H10</f>
        <v>1.3462528066697612</v>
      </c>
      <c r="I20" s="378">
        <f t="shared" si="0"/>
        <v>1.3670785323151788</v>
      </c>
      <c r="J20" s="378">
        <f t="shared" si="0"/>
        <v>1.2637103485468208</v>
      </c>
      <c r="K20" s="378">
        <f t="shared" si="0"/>
        <v>1.2296774180579133</v>
      </c>
      <c r="L20" s="378">
        <f t="shared" si="0"/>
        <v>1.0781023056676602</v>
      </c>
      <c r="M20" s="378">
        <f t="shared" si="0"/>
        <v>1.2946921768249073</v>
      </c>
      <c r="N20" s="378">
        <f t="shared" si="0"/>
        <v>1.2247866956345341</v>
      </c>
      <c r="O20" s="378">
        <f t="shared" si="0"/>
        <v>1.3119920448318463</v>
      </c>
      <c r="P20" s="378">
        <f t="shared" si="0"/>
        <v>1.5558264873224608</v>
      </c>
      <c r="Q20" s="378">
        <f t="shared" si="0"/>
        <v>1.707169766630154</v>
      </c>
      <c r="R20" s="378">
        <f t="shared" si="0"/>
        <v>1.5454628513376187</v>
      </c>
      <c r="S20" s="378">
        <f t="shared" si="0"/>
        <v>1.530279528184596</v>
      </c>
      <c r="T20" s="378">
        <f t="shared" si="0"/>
        <v>1.5236295322487028</v>
      </c>
      <c r="U20" s="378">
        <f t="shared" si="0"/>
        <v>1.1926707275349802</v>
      </c>
      <c r="V20" s="378">
        <f t="shared" si="0"/>
        <v>1.2457451565695525</v>
      </c>
      <c r="W20" s="378">
        <f t="shared" si="0"/>
        <v>1.2886360248717996</v>
      </c>
      <c r="X20" s="378">
        <f t="shared" si="0"/>
        <v>1.1668930777049491</v>
      </c>
      <c r="Y20" s="378">
        <f t="shared" si="0"/>
        <v>0.94761775570650342</v>
      </c>
      <c r="Z20" s="378">
        <f t="shared" si="0"/>
        <v>0.93413650340705401</v>
      </c>
      <c r="AA20" s="378">
        <f t="shared" si="0"/>
        <v>0.9637156146867043</v>
      </c>
      <c r="AB20" s="378">
        <f t="shared" si="0"/>
        <v>0.77330930620930916</v>
      </c>
      <c r="AC20" s="378">
        <f>(AC11-AC13-AC14)*AC10</f>
        <v>0.58995079376916093</v>
      </c>
      <c r="AD20" s="378">
        <f>(AD11-AD13-AD14)*AD10</f>
        <v>0.80453064031976829</v>
      </c>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3"/>
      <c r="BJ20" s="61"/>
      <c r="BK20" s="61"/>
      <c r="BL20" s="61"/>
    </row>
    <row r="21" spans="1:64" x14ac:dyDescent="0.25">
      <c r="A21" s="79"/>
      <c r="B21" s="388" t="s">
        <v>249</v>
      </c>
      <c r="C21" s="390" t="s">
        <v>254</v>
      </c>
      <c r="D21" s="378">
        <f>-('3. Statement of pipeline assets'!D17+'3.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assets'!D70+'3. Statement of pipeline assets'!D78+'3. Statement of pipeline assets'!D84)/1000000</f>
        <v>0</v>
      </c>
      <c r="E21" s="378">
        <f>-('3. Statement of pipeline assets'!E17+'3.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assets'!E70+'3. Statement of pipeline assets'!E78+'3. Statement of pipeline assets'!E84)/1000000</f>
        <v>0</v>
      </c>
      <c r="F21" s="378">
        <f>-('3. Statement of pipeline assets'!F17+'3.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assets'!F70+'3. Statement of pipeline assets'!F78+'3. Statement of pipeline assets'!F84)/1000000</f>
        <v>7.4810842156795315E-2</v>
      </c>
      <c r="G21" s="378">
        <f>-('3. Statement of pipeline assets'!G17+'3.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assets'!G70+'3. Statement of pipeline assets'!G78+'3. Statement of pipeline assets'!G84)/1000000</f>
        <v>2.4715707673139076E-2</v>
      </c>
      <c r="H21" s="378">
        <f>-('3. Statement of pipeline assets'!H17+'3.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assets'!H70+'3. Statement of pipeline assets'!H78+'3. Statement of pipeline assets'!H84)/1000000</f>
        <v>-0.23993501288377764</v>
      </c>
      <c r="I21" s="378">
        <f>-('3. Statement of pipeline assets'!I17+'3.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assets'!I70+'3. Statement of pipeline assets'!I78+'3. Statement of pipeline assets'!I84)/1000000</f>
        <v>-0.60673657308252826</v>
      </c>
      <c r="J21" s="378">
        <f>-('3. Statement of pipeline assets'!J17+'3.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assets'!J70+'3. Statement of pipeline assets'!J78+'3. Statement of pipeline assets'!J84)/1000000</f>
        <v>-0.20482524652195272</v>
      </c>
      <c r="K21" s="378">
        <f>-('3. Statement of pipeline assets'!K17+'3.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assets'!K70+'3. Statement of pipeline assets'!K78+'3. Statement of pipeline assets'!K84)/1000000</f>
        <v>-0.18493631644889127</v>
      </c>
      <c r="L21" s="378">
        <f>-('3. Statement of pipeline assets'!L17+'3.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assets'!L70+'3. Statement of pipeline assets'!L78+'3. Statement of pipeline assets'!L84)/1000000</f>
        <v>-0.15553911009192276</v>
      </c>
      <c r="M21" s="378">
        <f>-('3. Statement of pipeline assets'!M17+'3.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assets'!M70+'3. Statement of pipeline assets'!M78+'3. Statement of pipeline assets'!M84)/1000000</f>
        <v>-0.1554177325291371</v>
      </c>
      <c r="N21" s="378">
        <f>-('3. Statement of pipeline assets'!N17+'3.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assets'!N70+'3. Statement of pipeline assets'!N78+'3. Statement of pipeline assets'!N84)/1000000</f>
        <v>-0.37129317789797811</v>
      </c>
      <c r="O21" s="378">
        <f>-('3. Statement of pipeline assets'!O17+'3.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assets'!O70+'3. Statement of pipeline assets'!O78+'3. Statement of pipeline assets'!O84)/1000000</f>
        <v>-8.8877066045990591E-2</v>
      </c>
      <c r="P21" s="378">
        <f>-('3. Statement of pipeline assets'!P17+'3.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assets'!P70+'3. Statement of pipeline assets'!P78+'3. Statement of pipeline assets'!P84)/1000000</f>
        <v>-0.44808563804405277</v>
      </c>
      <c r="Q21" s="378">
        <f>-('3. Statement of pipeline assets'!Q17+'3.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assets'!Q70+'3. Statement of pipeline assets'!Q78+'3. Statement of pipeline assets'!Q84)/1000000</f>
        <v>1.1897479760562085E-2</v>
      </c>
      <c r="R21" s="378">
        <f>-('3. Statement of pipeline assets'!R17+'3.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assets'!R70+'3. Statement of pipeline assets'!R78+'3. Statement of pipeline assets'!R84)/1000000</f>
        <v>-0.23617528879145369</v>
      </c>
      <c r="S21" s="378">
        <f>-('3. Statement of pipeline assets'!S17+'3.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assets'!S70+'3. Statement of pipeline assets'!S78+'3. Statement of pipeline assets'!S84)/1000000</f>
        <v>-0.32351768460929092</v>
      </c>
      <c r="T21" s="378">
        <f>-('3. Statement of pipeline assets'!T17+'3.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assets'!T70+'3. Statement of pipeline assets'!T78+'3. Statement of pipeline assets'!T84)/1000000</f>
        <v>6.8806999041112663E-2</v>
      </c>
      <c r="U21" s="378">
        <f>-('3. Statement of pipeline assets'!U17+'3.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assets'!U70+'3. Statement of pipeline assets'!U78+'3. Statement of pipeline assets'!U84)/1000000</f>
        <v>-0.12397999918583893</v>
      </c>
      <c r="V21" s="378">
        <f>-('3. Statement of pipeline assets'!V17+'3.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assets'!V70+'3. Statement of pipeline assets'!V78+'3. Statement of pipeline assets'!V84)/1000000</f>
        <v>-0.18908641252384056</v>
      </c>
      <c r="W21" s="378">
        <f>-('3. Statement of pipeline assets'!W17+'3.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assets'!W70+'3. Statement of pipeline assets'!W78+'3. Statement of pipeline assets'!W84)/1000000</f>
        <v>6.6289974328527027E-2</v>
      </c>
      <c r="X21" s="378">
        <f>-('3. Statement of pipeline assets'!X17+'3.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assets'!X70+'3. Statement of pipeline assets'!X78+'3. Statement of pipeline assets'!X84)/1000000</f>
        <v>0.15539495120346211</v>
      </c>
      <c r="Y21" s="378">
        <f>-('3. Statement of pipeline assets'!Y17+'3. Statement of pipeline assets'!Y22+'3. Statement of pipeline assets'!Y28+'3. Statement of pipeline assets'!Y34+'3. Statement of pipeline assets'!Y40+'3. Statement of pipeline assets'!Y46+'3. Statement of pipeline assets'!Y52+'3. Statement of pipeline assets'!Y58+'3. Statement of pipeline assets'!Y64+'3. Statement of pipeline assets'!Y70+'3. Statement of pipeline assets'!Y78+'3. Statement of pipeline assets'!Y84)/1000000</f>
        <v>1.493945902391182E-4</v>
      </c>
      <c r="Z21" s="378">
        <f>-('3. Statement of pipeline assets'!Z17+'3. Statement of pipeline assets'!Z22+'3. Statement of pipeline assets'!Z28+'3. Statement of pipeline assets'!Z34+'3. Statement of pipeline assets'!Z40+'3. Statement of pipeline assets'!Z46+'3. Statement of pipeline assets'!Z52+'3. Statement of pipeline assets'!Z58+'3. Statement of pipeline assets'!Z64+'3. Statement of pipeline assets'!Z70+'3. Statement of pipeline assets'!Z78+'3. Statement of pipeline assets'!Z84)/1000000</f>
        <v>-1.8519749942780946E-2</v>
      </c>
      <c r="AA21" s="378">
        <f>-('3. Statement of pipeline assets'!AA17+'3. Statement of pipeline assets'!AA22+'3. Statement of pipeline assets'!AA28+'3. Statement of pipeline assets'!AA34+'3. Statement of pipeline assets'!AA40+'3. Statement of pipeline assets'!AA46+'3. Statement of pipeline assets'!AA52+'3. Statement of pipeline assets'!AA58+'3. Statement of pipeline assets'!AA64+'3. Statement of pipeline assets'!AA70+'3. Statement of pipeline assets'!AA78+'3. Statement of pipeline assets'!AA84)/1000000</f>
        <v>2.6623878389922601E-2</v>
      </c>
      <c r="AB21" s="378">
        <f>-('3. Statement of pipeline assets'!AB17+'3. Statement of pipeline assets'!AB22+'3. Statement of pipeline assets'!AB28+'3. Statement of pipeline assets'!AB34+'3. Statement of pipeline assets'!AB40+'3. Statement of pipeline assets'!AB46+'3. Statement of pipeline assets'!AB52+'3. Statement of pipeline assets'!AB58+'3. Statement of pipeline assets'!AB64+'3. Statement of pipeline assets'!AB70+'3. Statement of pipeline assets'!AB78+'3. Statement of pipeline assets'!AB84)/1000000</f>
        <v>0.37197260054835735</v>
      </c>
      <c r="AC21" s="378">
        <f>-('3. Statement of pipeline assets'!AC17+'3. Statement of pipeline assets'!AC22+'3. Statement of pipeline assets'!AC28+'3. Statement of pipeline assets'!AC34+'3. Statement of pipeline assets'!AC40+'3. Statement of pipeline assets'!AC46+'3. Statement of pipeline assets'!AC52+'3. Statement of pipeline assets'!AC58+'3. Statement of pipeline assets'!AC64+'3. Statement of pipeline assets'!AC70+'3. Statement of pipeline assets'!AC78+'3. Statement of pipeline assets'!AC84)/1000000</f>
        <v>-0.30398772601373442</v>
      </c>
      <c r="AD21" s="378">
        <f>-('3. Statement of pipeline assets'!AD17+'3. Statement of pipeline assets'!AD22+'3. Statement of pipeline assets'!AD28+'3. Statement of pipeline assets'!AD34+'3. Statement of pipeline assets'!AD40+'3. Statement of pipeline assets'!AD46+'3. Statement of pipeline assets'!AD52+'3. Statement of pipeline assets'!AD58+'3. Statement of pipeline assets'!AD64+'3. Statement of pipeline assets'!AD70+'3. Statement of pipeline assets'!AD78+'3. Statement of pipeline assets'!AD84)/1000000</f>
        <v>-0.68514938059498676</v>
      </c>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3"/>
      <c r="BJ21" s="61"/>
      <c r="BK21" s="61"/>
      <c r="BL21" s="61"/>
    </row>
    <row r="22" spans="1:64" x14ac:dyDescent="0.25">
      <c r="A22" s="79"/>
      <c r="B22" s="388" t="s">
        <v>222</v>
      </c>
      <c r="C22" s="390" t="s">
        <v>225</v>
      </c>
      <c r="D22" s="378">
        <f t="shared" ref="D22:G23" si="1">D15</f>
        <v>0</v>
      </c>
      <c r="E22" s="378">
        <f t="shared" si="1"/>
        <v>7.8831575908372933E-2</v>
      </c>
      <c r="F22" s="378">
        <f t="shared" si="1"/>
        <v>9.6837193588287587E-2</v>
      </c>
      <c r="G22" s="378">
        <f t="shared" si="1"/>
        <v>9.8081272285800644E-2</v>
      </c>
      <c r="H22" s="378">
        <f t="shared" ref="H22:AB22" si="2">H15</f>
        <v>0.10039855372234527</v>
      </c>
      <c r="I22" s="378">
        <f t="shared" si="2"/>
        <v>0.10055355034024177</v>
      </c>
      <c r="J22" s="378">
        <f t="shared" si="2"/>
        <v>0.110205232</v>
      </c>
      <c r="K22" s="378">
        <f t="shared" si="2"/>
        <v>0.10550781449999999</v>
      </c>
      <c r="L22" s="378">
        <f t="shared" si="2"/>
        <v>0.13301957850000001</v>
      </c>
      <c r="M22" s="378">
        <f t="shared" si="2"/>
        <v>0.1177210055</v>
      </c>
      <c r="N22" s="378">
        <f t="shared" si="2"/>
        <v>0.12625323497279278</v>
      </c>
      <c r="O22" s="378">
        <f t="shared" si="2"/>
        <v>0.13521964730990493</v>
      </c>
      <c r="P22" s="378">
        <f t="shared" si="2"/>
        <v>0.13908789469398358</v>
      </c>
      <c r="Q22" s="378">
        <f t="shared" si="2"/>
        <v>0.12872786450617862</v>
      </c>
      <c r="R22" s="378">
        <f t="shared" si="2"/>
        <v>0.13978677292086006</v>
      </c>
      <c r="S22" s="378">
        <f t="shared" si="2"/>
        <v>0.14263437912856106</v>
      </c>
      <c r="T22" s="378">
        <f t="shared" si="2"/>
        <v>0.16211830656257656</v>
      </c>
      <c r="U22" s="378">
        <f t="shared" si="2"/>
        <v>0.17943023383729517</v>
      </c>
      <c r="V22" s="378">
        <f t="shared" si="2"/>
        <v>0.17018319710079605</v>
      </c>
      <c r="W22" s="378">
        <f t="shared" si="2"/>
        <v>0.19101387731136926</v>
      </c>
      <c r="X22" s="378">
        <f t="shared" si="2"/>
        <v>0.1823799060943207</v>
      </c>
      <c r="Y22" s="378">
        <f t="shared" si="2"/>
        <v>0.18114453785215842</v>
      </c>
      <c r="Z22" s="378">
        <f t="shared" si="2"/>
        <v>0.18676397483322446</v>
      </c>
      <c r="AA22" s="378">
        <f t="shared" si="2"/>
        <v>0.25688072437546039</v>
      </c>
      <c r="AB22" s="378">
        <f t="shared" si="2"/>
        <v>0.37766276903512003</v>
      </c>
      <c r="AC22" s="378">
        <f>AC15</f>
        <v>0.52045232760746141</v>
      </c>
      <c r="AD22" s="378">
        <f>AD15</f>
        <v>0.52736214311347251</v>
      </c>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3"/>
      <c r="BJ22" s="61"/>
      <c r="BK22" s="61"/>
      <c r="BL22" s="61"/>
    </row>
    <row r="23" spans="1:64" x14ac:dyDescent="0.25">
      <c r="A23" s="79"/>
      <c r="B23" s="388" t="s">
        <v>228</v>
      </c>
      <c r="C23" s="390" t="s">
        <v>225</v>
      </c>
      <c r="D23" s="378">
        <f t="shared" si="1"/>
        <v>0</v>
      </c>
      <c r="E23" s="378">
        <f t="shared" si="1"/>
        <v>0</v>
      </c>
      <c r="F23" s="378">
        <f t="shared" si="1"/>
        <v>4.1752367262711844E-2</v>
      </c>
      <c r="G23" s="378">
        <f t="shared" si="1"/>
        <v>1.819335716801038E-2</v>
      </c>
      <c r="H23" s="378">
        <f t="shared" ref="H23:AB23" si="3">H16</f>
        <v>0</v>
      </c>
      <c r="I23" s="378">
        <f t="shared" si="3"/>
        <v>0</v>
      </c>
      <c r="J23" s="378">
        <f t="shared" si="3"/>
        <v>0</v>
      </c>
      <c r="K23" s="378">
        <f t="shared" si="3"/>
        <v>0</v>
      </c>
      <c r="L23" s="378">
        <f t="shared" si="3"/>
        <v>0</v>
      </c>
      <c r="M23" s="378">
        <f t="shared" si="3"/>
        <v>0</v>
      </c>
      <c r="N23" s="378">
        <f t="shared" si="3"/>
        <v>0</v>
      </c>
      <c r="O23" s="378">
        <f t="shared" si="3"/>
        <v>0</v>
      </c>
      <c r="P23" s="378">
        <f t="shared" si="3"/>
        <v>0</v>
      </c>
      <c r="Q23" s="378">
        <f t="shared" si="3"/>
        <v>3.0482961102588441E-2</v>
      </c>
      <c r="R23" s="378">
        <f t="shared" si="3"/>
        <v>0</v>
      </c>
      <c r="S23" s="378">
        <f t="shared" si="3"/>
        <v>0</v>
      </c>
      <c r="T23" s="378">
        <f t="shared" si="3"/>
        <v>2.4902443558817898E-2</v>
      </c>
      <c r="U23" s="378">
        <f t="shared" si="3"/>
        <v>0</v>
      </c>
      <c r="V23" s="378">
        <f t="shared" si="3"/>
        <v>0</v>
      </c>
      <c r="W23" s="378">
        <f t="shared" si="3"/>
        <v>0</v>
      </c>
      <c r="X23" s="378">
        <f t="shared" si="3"/>
        <v>0</v>
      </c>
      <c r="Y23" s="378">
        <f t="shared" si="3"/>
        <v>2.5453571262328206E-2</v>
      </c>
      <c r="Z23" s="378">
        <f t="shared" si="3"/>
        <v>3.5463960932483073E-2</v>
      </c>
      <c r="AA23" s="378">
        <f t="shared" si="3"/>
        <v>4.9757538346475526E-2</v>
      </c>
      <c r="AB23" s="378">
        <f t="shared" si="3"/>
        <v>7.7529661391772101E-2</v>
      </c>
      <c r="AC23" s="378">
        <f>AC16</f>
        <v>0</v>
      </c>
      <c r="AD23" s="378">
        <f>AD16</f>
        <v>0</v>
      </c>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3"/>
      <c r="BJ23" s="61"/>
      <c r="BK23" s="61"/>
      <c r="BL23" s="61"/>
    </row>
    <row r="24" spans="1:64" x14ac:dyDescent="0.25">
      <c r="A24" s="79"/>
      <c r="B24" s="156" t="s">
        <v>250</v>
      </c>
      <c r="C24" s="392"/>
      <c r="D24" s="379">
        <f>SUM(D20:D23)</f>
        <v>0</v>
      </c>
      <c r="E24" s="379">
        <f>SUM(E20:E23)</f>
        <v>7.8831575908372933E-2</v>
      </c>
      <c r="F24" s="379">
        <f>SUM(F20:F23)</f>
        <v>1.8022290974983526</v>
      </c>
      <c r="G24" s="379">
        <f>SUM(G20:G23)</f>
        <v>1.5231744958722979</v>
      </c>
      <c r="H24" s="379">
        <f t="shared" ref="H24:AB24" si="4">SUM(H20:H23)</f>
        <v>1.2067163475083289</v>
      </c>
      <c r="I24" s="379">
        <f t="shared" si="4"/>
        <v>0.86089550957289229</v>
      </c>
      <c r="J24" s="379">
        <f t="shared" si="4"/>
        <v>1.1690903340248682</v>
      </c>
      <c r="K24" s="379">
        <f t="shared" si="4"/>
        <v>1.1502489161090219</v>
      </c>
      <c r="L24" s="379">
        <f t="shared" si="4"/>
        <v>1.0555827740757375</v>
      </c>
      <c r="M24" s="379">
        <f t="shared" si="4"/>
        <v>1.2569954497957703</v>
      </c>
      <c r="N24" s="379">
        <f t="shared" si="4"/>
        <v>0.97974675270934886</v>
      </c>
      <c r="O24" s="379">
        <f t="shared" si="4"/>
        <v>1.3583346260957607</v>
      </c>
      <c r="P24" s="379">
        <f t="shared" si="4"/>
        <v>1.2468287439723915</v>
      </c>
      <c r="Q24" s="379">
        <f t="shared" si="4"/>
        <v>1.8782780719994832</v>
      </c>
      <c r="R24" s="379">
        <f t="shared" si="4"/>
        <v>1.4490743354670252</v>
      </c>
      <c r="S24" s="379">
        <f t="shared" si="4"/>
        <v>1.3493962227038663</v>
      </c>
      <c r="T24" s="379">
        <f t="shared" si="4"/>
        <v>1.77945728141121</v>
      </c>
      <c r="U24" s="379">
        <f t="shared" si="4"/>
        <v>1.2481209621864364</v>
      </c>
      <c r="V24" s="379">
        <f t="shared" si="4"/>
        <v>1.2268419411465081</v>
      </c>
      <c r="W24" s="379">
        <f t="shared" si="4"/>
        <v>1.5459398765116958</v>
      </c>
      <c r="X24" s="379">
        <f t="shared" si="4"/>
        <v>1.5046679350027319</v>
      </c>
      <c r="Y24" s="379">
        <f t="shared" si="4"/>
        <v>1.1543652594112292</v>
      </c>
      <c r="Z24" s="379">
        <f t="shared" si="4"/>
        <v>1.1378446892299807</v>
      </c>
      <c r="AA24" s="379">
        <f t="shared" si="4"/>
        <v>1.2969777557985629</v>
      </c>
      <c r="AB24" s="379">
        <f t="shared" si="4"/>
        <v>1.6004743371845587</v>
      </c>
      <c r="AC24" s="379">
        <f>SUM(AC20:AC23)</f>
        <v>0.80641539536288787</v>
      </c>
      <c r="AD24" s="379">
        <f>SUM(AD20:AD23)</f>
        <v>0.64674340283825404</v>
      </c>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3"/>
      <c r="BJ24" s="61"/>
      <c r="BK24" s="61"/>
      <c r="BL24" s="61"/>
    </row>
    <row r="25" spans="1:64" x14ac:dyDescent="0.25">
      <c r="A25" s="79"/>
      <c r="B25" s="157"/>
      <c r="C25" s="157"/>
      <c r="D25" s="378"/>
      <c r="E25" s="378"/>
      <c r="F25" s="378"/>
      <c r="G25" s="378"/>
      <c r="H25" s="378"/>
      <c r="I25" s="378"/>
      <c r="J25" s="378"/>
      <c r="K25" s="378"/>
      <c r="L25" s="378"/>
      <c r="M25" s="378"/>
      <c r="N25" s="378"/>
      <c r="O25" s="378"/>
      <c r="P25" s="378"/>
      <c r="Q25" s="378"/>
      <c r="R25" s="378"/>
      <c r="S25" s="378"/>
      <c r="T25" s="378"/>
      <c r="U25" s="378"/>
      <c r="V25" s="378"/>
      <c r="W25" s="378"/>
      <c r="X25" s="378"/>
      <c r="Y25" s="378"/>
      <c r="Z25" s="378"/>
      <c r="AA25" s="378"/>
      <c r="AB25" s="378"/>
      <c r="AC25" s="378"/>
      <c r="AD25" s="378"/>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3"/>
      <c r="BJ25" s="61"/>
      <c r="BK25" s="61"/>
      <c r="BL25" s="61"/>
    </row>
    <row r="26" spans="1:64" x14ac:dyDescent="0.25">
      <c r="A26" s="79"/>
      <c r="B26" s="157"/>
      <c r="C26" s="157"/>
      <c r="D26" s="378"/>
      <c r="E26" s="378"/>
      <c r="F26" s="378"/>
      <c r="G26" s="378"/>
      <c r="H26" s="378"/>
      <c r="I26" s="378"/>
      <c r="J26" s="378"/>
      <c r="K26" s="378"/>
      <c r="L26" s="378"/>
      <c r="M26" s="378"/>
      <c r="N26" s="378"/>
      <c r="O26" s="378"/>
      <c r="P26" s="378"/>
      <c r="Q26" s="378"/>
      <c r="R26" s="378"/>
      <c r="S26" s="378"/>
      <c r="T26" s="378"/>
      <c r="U26" s="378"/>
      <c r="V26" s="378"/>
      <c r="W26" s="378"/>
      <c r="X26" s="378"/>
      <c r="Y26" s="378"/>
      <c r="Z26" s="378"/>
      <c r="AA26" s="378"/>
      <c r="AB26" s="378"/>
      <c r="AC26" s="378"/>
      <c r="AD26" s="378"/>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3"/>
      <c r="BJ26" s="61"/>
      <c r="BK26" s="61"/>
      <c r="BL26" s="61"/>
    </row>
    <row r="27" spans="1:64" x14ac:dyDescent="0.25">
      <c r="A27" s="67"/>
      <c r="B27" s="385" t="s">
        <v>492</v>
      </c>
      <c r="C27" s="393"/>
      <c r="D27" s="380">
        <v>0</v>
      </c>
      <c r="E27" s="380">
        <f>'4. Recovered capital'!G26/1000000</f>
        <v>1.017049271928169</v>
      </c>
      <c r="F27" s="380">
        <f>'4. Recovered capital'!H26/1000000</f>
        <v>1.2792541391784447</v>
      </c>
      <c r="G27" s="380">
        <f>'4. Recovered capital'!I26/1000000</f>
        <v>1.3114111347660076</v>
      </c>
      <c r="H27" s="380">
        <f>'4. Recovered capital'!J26/1000000</f>
        <v>1.3433210305958903</v>
      </c>
      <c r="I27" s="380">
        <f>'4. Recovered capital'!K26/1000000</f>
        <v>1.3888464015000002</v>
      </c>
      <c r="J27" s="380">
        <f>'4. Recovered capital'!L26/1000000</f>
        <v>1.4396305709999999</v>
      </c>
      <c r="K27" s="380">
        <f>'4. Recovered capital'!M26/1000000</f>
        <v>1.4721913344999999</v>
      </c>
      <c r="L27" s="380">
        <f>'4. Recovered capital'!N26/1000000</f>
        <v>1.7476202549937003</v>
      </c>
      <c r="M27" s="380">
        <f>'4. Recovered capital'!O26/1000000</f>
        <v>2.0070672601015995</v>
      </c>
      <c r="N27" s="380">
        <f>'4. Recovered capital'!P26/1000000</f>
        <v>2.0827813546929002</v>
      </c>
      <c r="O27" s="380">
        <f>'4. Recovered capital'!Q26/1000000</f>
        <v>2.1441312156191437</v>
      </c>
      <c r="P27" s="380">
        <f>'4. Recovered capital'!R26/1000000</f>
        <v>2.083655461125054</v>
      </c>
      <c r="Q27" s="380">
        <f>'4. Recovered capital'!S26/1000000</f>
        <v>2.1842944197297758</v>
      </c>
      <c r="R27" s="380">
        <f>'4. Recovered capital'!T26/1000000</f>
        <v>2.1643287710000001</v>
      </c>
      <c r="S27" s="380">
        <f>'4. Recovered capital'!U26/1000000</f>
        <v>2.2501981689999999</v>
      </c>
      <c r="T27" s="380">
        <f>'4. Recovered capital'!V26/1000000</f>
        <v>2.3992676534999999</v>
      </c>
      <c r="U27" s="380">
        <f>'4. Recovered capital'!W26/1000000</f>
        <v>2.4106558355000001</v>
      </c>
      <c r="V27" s="380">
        <f>'4. Recovered capital'!X26/1000000</f>
        <v>2.4441668234999998</v>
      </c>
      <c r="W27" s="380">
        <f>'4. Recovered capital'!Y26/1000000</f>
        <v>2.4999597430000002</v>
      </c>
      <c r="X27" s="380">
        <f>'4. Recovered capital'!Z26/1000000</f>
        <v>2.7107116920000003</v>
      </c>
      <c r="Y27" s="380">
        <f>'4. Recovered capital'!AA26/1000000</f>
        <v>2.5303602200000004</v>
      </c>
      <c r="Z27" s="380">
        <f>'4. Recovered capital'!AB26/1000000</f>
        <v>2.5712385100000001</v>
      </c>
      <c r="AA27" s="380">
        <f>'4. Recovered capital'!AC26/1000000</f>
        <v>2.5918034600000004</v>
      </c>
      <c r="AB27" s="380">
        <f>'4. Recovered capital'!AD26/1000000</f>
        <v>2.61630758</v>
      </c>
      <c r="AC27" s="380">
        <f>'2. Revenues and expenses'!I20/1000000</f>
        <v>2.6552285900000001</v>
      </c>
      <c r="AD27" s="379">
        <f>'2. Revenues and expenses'!F20/1000000</f>
        <v>2.7288218999999998</v>
      </c>
      <c r="AE27" s="68"/>
      <c r="AF27" s="69"/>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row>
    <row r="28" spans="1:64" x14ac:dyDescent="0.25">
      <c r="A28" s="79"/>
      <c r="B28" s="158"/>
      <c r="C28" s="157"/>
      <c r="D28" s="291"/>
      <c r="E28" s="291"/>
      <c r="F28" s="291"/>
      <c r="G28" s="291"/>
      <c r="H28" s="291"/>
      <c r="I28" s="291"/>
      <c r="J28" s="291"/>
      <c r="K28" s="291"/>
      <c r="L28" s="291"/>
      <c r="M28" s="291"/>
      <c r="N28" s="291"/>
      <c r="O28" s="291"/>
      <c r="P28" s="291"/>
      <c r="Q28" s="291"/>
      <c r="R28" s="291"/>
      <c r="S28" s="291"/>
      <c r="T28" s="291"/>
      <c r="U28" s="291"/>
      <c r="V28" s="291"/>
      <c r="W28" s="291"/>
      <c r="X28" s="291"/>
      <c r="Y28" s="291"/>
      <c r="Z28" s="291"/>
      <c r="AA28" s="291"/>
      <c r="AB28" s="291"/>
      <c r="AC28" s="291"/>
      <c r="AD28" s="291"/>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3"/>
      <c r="BJ28" s="61"/>
      <c r="BK28" s="61"/>
      <c r="BL28" s="61"/>
    </row>
    <row r="29" spans="1:64" ht="15.6" x14ac:dyDescent="0.25">
      <c r="A29" s="79"/>
      <c r="B29" s="81" t="s">
        <v>76</v>
      </c>
      <c r="C29" s="157"/>
      <c r="D29" s="386">
        <f>YEAR(Cover!$C$25)</f>
        <v>1996</v>
      </c>
      <c r="E29" s="386">
        <f>YEAR(Cover!$C$25)+1</f>
        <v>1997</v>
      </c>
      <c r="F29" s="386">
        <f>YEAR(Cover!$C$25)+2</f>
        <v>1998</v>
      </c>
      <c r="G29" s="386">
        <f>YEAR(Cover!$C$25)+3</f>
        <v>1999</v>
      </c>
      <c r="H29" s="386">
        <f>G29+1</f>
        <v>2000</v>
      </c>
      <c r="I29" s="386">
        <f t="shared" ref="I29:AC29" si="5">H29+1</f>
        <v>2001</v>
      </c>
      <c r="J29" s="386">
        <f t="shared" si="5"/>
        <v>2002</v>
      </c>
      <c r="K29" s="386">
        <f t="shared" si="5"/>
        <v>2003</v>
      </c>
      <c r="L29" s="386">
        <f t="shared" si="5"/>
        <v>2004</v>
      </c>
      <c r="M29" s="386">
        <f t="shared" si="5"/>
        <v>2005</v>
      </c>
      <c r="N29" s="386">
        <f t="shared" si="5"/>
        <v>2006</v>
      </c>
      <c r="O29" s="386">
        <f t="shared" si="5"/>
        <v>2007</v>
      </c>
      <c r="P29" s="386">
        <f t="shared" si="5"/>
        <v>2008</v>
      </c>
      <c r="Q29" s="386">
        <f t="shared" si="5"/>
        <v>2009</v>
      </c>
      <c r="R29" s="386">
        <f t="shared" si="5"/>
        <v>2010</v>
      </c>
      <c r="S29" s="386">
        <f t="shared" si="5"/>
        <v>2011</v>
      </c>
      <c r="T29" s="386">
        <f t="shared" si="5"/>
        <v>2012</v>
      </c>
      <c r="U29" s="386">
        <f t="shared" si="5"/>
        <v>2013</v>
      </c>
      <c r="V29" s="386">
        <f t="shared" si="5"/>
        <v>2014</v>
      </c>
      <c r="W29" s="386">
        <f t="shared" si="5"/>
        <v>2015</v>
      </c>
      <c r="X29" s="386">
        <f t="shared" si="5"/>
        <v>2016</v>
      </c>
      <c r="Y29" s="386">
        <f t="shared" si="5"/>
        <v>2017</v>
      </c>
      <c r="Z29" s="386">
        <f t="shared" si="5"/>
        <v>2018</v>
      </c>
      <c r="AA29" s="386">
        <f t="shared" si="5"/>
        <v>2019</v>
      </c>
      <c r="AB29" s="386">
        <f t="shared" si="5"/>
        <v>2020</v>
      </c>
      <c r="AC29" s="386">
        <f t="shared" si="5"/>
        <v>2021</v>
      </c>
      <c r="AD29" s="396">
        <f>YEAR(Cover!$C$23)</f>
        <v>2022</v>
      </c>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3"/>
      <c r="BJ29" s="61"/>
      <c r="BK29" s="61"/>
      <c r="BL29" s="61"/>
    </row>
    <row r="30" spans="1:64" x14ac:dyDescent="0.25">
      <c r="A30" s="384"/>
      <c r="B30" s="389" t="s">
        <v>252</v>
      </c>
      <c r="C30" s="155" t="s">
        <v>121</v>
      </c>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3"/>
      <c r="BJ30" s="61"/>
      <c r="BK30" s="61"/>
      <c r="BL30" s="61"/>
    </row>
    <row r="31" spans="1:64" x14ac:dyDescent="0.25">
      <c r="A31" s="79"/>
      <c r="B31" s="388" t="s">
        <v>106</v>
      </c>
      <c r="C31" s="395" t="s">
        <v>253</v>
      </c>
      <c r="D31" s="378">
        <v>0</v>
      </c>
      <c r="E31" s="378">
        <f>-(INDEX('4. Recovered capital'!$F$8:$BH$33,MATCH('1.1 Financial summary'!$B31,'4. Recovered capital'!$D$8:$D$33,0),MATCH('1.1 Financial summary'!E$29,'4. Recovered capital'!$F$8:$BH$8,0)))/1000000</f>
        <v>7.8831575908372933E-2</v>
      </c>
      <c r="F31" s="378">
        <f>-(INDEX('4. Recovered capital'!$F$8:$BH$33,MATCH('1.1 Financial summary'!$B31,'4. Recovered capital'!$D$8:$D$33,0),MATCH('1.1 Financial summary'!F$29,'4. Recovered capital'!$F$8:$BH$8,0)))/1000000</f>
        <v>9.6837193588287587E-2</v>
      </c>
      <c r="G31" s="378">
        <f>-(INDEX('4. Recovered capital'!$F$8:$BH$33,MATCH('1.1 Financial summary'!$B31,'4. Recovered capital'!$D$8:$D$33,0),MATCH('1.1 Financial summary'!G$29,'4. Recovered capital'!$F$8:$BH$8,0)))/1000000</f>
        <v>9.8081272285800644E-2</v>
      </c>
      <c r="H31" s="378">
        <f>-(INDEX('4. Recovered capital'!$F$8:$BH$33,MATCH('1.1 Financial summary'!$B31,'4. Recovered capital'!$D$8:$D$33,0),MATCH('1.1 Financial summary'!H$29,'4. Recovered capital'!$F$8:$BH$8,0)))/1000000</f>
        <v>0.10039855372234527</v>
      </c>
      <c r="I31" s="378">
        <f>-(INDEX('4. Recovered capital'!$F$8:$BH$33,MATCH('1.1 Financial summary'!$B31,'4. Recovered capital'!$D$8:$D$33,0),MATCH('1.1 Financial summary'!I$29,'4. Recovered capital'!$F$8:$BH$8,0)))/1000000</f>
        <v>0.10055355034024177</v>
      </c>
      <c r="J31" s="378">
        <f>-(INDEX('4. Recovered capital'!$F$8:$BH$33,MATCH('1.1 Financial summary'!$B31,'4. Recovered capital'!$D$8:$D$33,0),MATCH('1.1 Financial summary'!J$29,'4. Recovered capital'!$F$8:$BH$8,0)))/1000000</f>
        <v>0.110205232</v>
      </c>
      <c r="K31" s="378">
        <f>-(INDEX('4. Recovered capital'!$F$8:$BH$33,MATCH('1.1 Financial summary'!$B31,'4. Recovered capital'!$D$8:$D$33,0),MATCH('1.1 Financial summary'!K$29,'4. Recovered capital'!$F$8:$BH$8,0)))/1000000</f>
        <v>0.10550781449999999</v>
      </c>
      <c r="L31" s="378">
        <f>-(INDEX('4. Recovered capital'!$F$8:$BH$33,MATCH('1.1 Financial summary'!$B31,'4. Recovered capital'!$D$8:$D$33,0),MATCH('1.1 Financial summary'!L$29,'4. Recovered capital'!$F$8:$BH$8,0)))/1000000</f>
        <v>0.13301957850000001</v>
      </c>
      <c r="M31" s="378">
        <f>-(INDEX('4. Recovered capital'!$F$8:$BH$33,MATCH('1.1 Financial summary'!$B31,'4. Recovered capital'!$D$8:$D$33,0),MATCH('1.1 Financial summary'!M$29,'4. Recovered capital'!$F$8:$BH$8,0)))/1000000</f>
        <v>0.1177210055</v>
      </c>
      <c r="N31" s="378">
        <f>-(INDEX('4. Recovered capital'!$F$8:$BH$33,MATCH('1.1 Financial summary'!$B31,'4. Recovered capital'!$D$8:$D$33,0),MATCH('1.1 Financial summary'!N$29,'4. Recovered capital'!$F$8:$BH$8,0)))/1000000</f>
        <v>0.12625323497279278</v>
      </c>
      <c r="O31" s="378">
        <f>-(INDEX('4. Recovered capital'!$F$8:$BH$33,MATCH('1.1 Financial summary'!$B31,'4. Recovered capital'!$D$8:$D$33,0),MATCH('1.1 Financial summary'!O$29,'4. Recovered capital'!$F$8:$BH$8,0)))/1000000</f>
        <v>0.12597017751745626</v>
      </c>
      <c r="P31" s="378">
        <f>-(INDEX('4. Recovered capital'!$F$8:$BH$33,MATCH('1.1 Financial summary'!$B31,'4. Recovered capital'!$D$8:$D$33,0),MATCH('1.1 Financial summary'!P$29,'4. Recovered capital'!$F$8:$BH$8,0)))/1000000</f>
        <v>0.12953872759639221</v>
      </c>
      <c r="Q31" s="378">
        <f>-(INDEX('4. Recovered capital'!$F$8:$BH$33,MATCH('1.1 Financial summary'!$B31,'4. Recovered capital'!$D$8:$D$33,0),MATCH('1.1 Financial summary'!Q$29,'4. Recovered capital'!$F$8:$BH$8,0)))/1000000</f>
        <v>0.11891044176173624</v>
      </c>
      <c r="R31" s="378">
        <f>-(INDEX('4. Recovered capital'!$F$8:$BH$33,MATCH('1.1 Financial summary'!$B31,'4. Recovered capital'!$D$8:$D$33,0),MATCH('1.1 Financial summary'!R$29,'4. Recovered capital'!$F$8:$BH$8,0)))/1000000</f>
        <v>0.12989937550000002</v>
      </c>
      <c r="S31" s="378">
        <f>-(INDEX('4. Recovered capital'!$F$8:$BH$33,MATCH('1.1 Financial summary'!$B31,'4. Recovered capital'!$D$8:$D$33,0),MATCH('1.1 Financial summary'!S$29,'4. Recovered capital'!$F$8:$BH$8,0)))/1000000</f>
        <v>0.13257235749999999</v>
      </c>
      <c r="T31" s="378">
        <f>-(INDEX('4. Recovered capital'!$F$8:$BH$33,MATCH('1.1 Financial summary'!$B31,'4. Recovered capital'!$D$8:$D$33,0),MATCH('1.1 Financial summary'!T$29,'4. Recovered capital'!$F$8:$BH$8,0)))/1000000</f>
        <v>0.15148924350000001</v>
      </c>
      <c r="U31" s="378">
        <f>-(INDEX('4. Recovered capital'!$F$8:$BH$33,MATCH('1.1 Financial summary'!$B31,'4. Recovered capital'!$D$8:$D$33,0),MATCH('1.1 Financial summary'!U$29,'4. Recovered capital'!$F$8:$BH$8,0)))/1000000</f>
        <v>0.1687180405</v>
      </c>
      <c r="V31" s="378">
        <f>-(INDEX('4. Recovered capital'!$F$8:$BH$33,MATCH('1.1 Financial summary'!$B31,'4. Recovered capital'!$D$8:$D$33,0),MATCH('1.1 Financial summary'!V$29,'4. Recovered capital'!$F$8:$BH$8,0)))/1000000</f>
        <v>0.1605013025</v>
      </c>
      <c r="W31" s="378">
        <f>-(INDEX('4. Recovered capital'!$F$8:$BH$33,MATCH('1.1 Financial summary'!$B31,'4. Recovered capital'!$D$8:$D$33,0),MATCH('1.1 Financial summary'!W$29,'4. Recovered capital'!$F$8:$BH$8,0)))/1000000</f>
        <v>0.18128596700000002</v>
      </c>
      <c r="X31" s="378">
        <f>-(INDEX('4. Recovered capital'!$F$8:$BH$33,MATCH('1.1 Financial summary'!$B31,'4. Recovered capital'!$D$8:$D$33,0),MATCH('1.1 Financial summary'!X$29,'4. Recovered capital'!$F$8:$BH$8,0)))/1000000</f>
        <v>0.1726984728804247</v>
      </c>
      <c r="Y31" s="378">
        <f>-(INDEX('4. Recovered capital'!$F$8:$BH$33,MATCH('1.1 Financial summary'!$B31,'4. Recovered capital'!$D$8:$D$33,0),MATCH('1.1 Financial summary'!Y$29,'4. Recovered capital'!$F$8:$BH$8,0)))/1000000</f>
        <v>0.17212562676413862</v>
      </c>
      <c r="Z31" s="378">
        <f>-(INDEX('4. Recovered capital'!$F$8:$BH$33,MATCH('1.1 Financial summary'!$B31,'4. Recovered capital'!$D$8:$D$33,0),MATCH('1.1 Financial summary'!Z$29,'4. Recovered capital'!$F$8:$BH$8,0)))/1000000</f>
        <v>0.17766759391417739</v>
      </c>
      <c r="AA31" s="378">
        <f>-(INDEX('4. Recovered capital'!$F$8:$BH$33,MATCH('1.1 Financial summary'!$B31,'4. Recovered capital'!$D$8:$D$33,0),MATCH('1.1 Financial summary'!AA$29,'4. Recovered capital'!$F$8:$BH$8,0)))/1000000</f>
        <v>0.25688072437546039</v>
      </c>
      <c r="AB31" s="378">
        <f>-(INDEX('4. Recovered capital'!$F$8:$BH$33,MATCH('1.1 Financial summary'!$B31,'4. Recovered capital'!$D$8:$D$33,0),MATCH('1.1 Financial summary'!AB$29,'4. Recovered capital'!$F$8:$BH$8,0)))/1000000</f>
        <v>0.36778205246747459</v>
      </c>
      <c r="AC31" s="378">
        <f>-(INDEX('4. Recovered capital'!$F$8:$BH$33,MATCH('1.1 Financial summary'!$B31,'4. Recovered capital'!$D$8:$D$33,0),MATCH('1.1 Financial summary'!AC$29,'4. Recovered capital'!$F$8:$BH$8,0)))/1000000</f>
        <v>0.50917328228052339</v>
      </c>
      <c r="AD31" s="378">
        <f>-(INDEX('4. Recovered capital'!$F$8:$BH$33,MATCH('1.1 Financial summary'!$B31,'4. Recovered capital'!$D$8:$D$33,0),MATCH('1.1 Financial summary'!AD$29,'4. Recovered capital'!$F$8:$BH$8,0)))/1000000</f>
        <v>0.51603191992220176</v>
      </c>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3"/>
      <c r="BJ31" s="61"/>
      <c r="BK31" s="61"/>
      <c r="BL31" s="61"/>
    </row>
    <row r="32" spans="1:64" x14ac:dyDescent="0.25">
      <c r="A32" s="384"/>
      <c r="B32" s="388" t="s">
        <v>107</v>
      </c>
      <c r="C32" s="395" t="s">
        <v>253</v>
      </c>
      <c r="D32" s="378">
        <v>0</v>
      </c>
      <c r="E32" s="378">
        <f>-(INDEX('4. Recovered capital'!$F$8:$BH$33,MATCH('1.1 Financial summary'!$B32,'4. Recovered capital'!$D$8:$D$33,0),MATCH('1.1 Financial summary'!E$29,'4. Recovered capital'!$F$8:$BH$8,0)))/1000000</f>
        <v>0.21408070730618117</v>
      </c>
      <c r="F32" s="378">
        <f>-(INDEX('4. Recovered capital'!$F$8:$BH$33,MATCH('1.1 Financial summary'!$B32,'4. Recovered capital'!$D$8:$D$33,0),MATCH('1.1 Financial summary'!F$29,'4. Recovered capital'!$F$8:$BH$8,0)))/1000000</f>
        <v>0</v>
      </c>
      <c r="G32" s="378">
        <f>-(INDEX('4. Recovered capital'!$F$8:$BH$33,MATCH('1.1 Financial summary'!$B32,'4. Recovered capital'!$D$8:$D$33,0),MATCH('1.1 Financial summary'!G$29,'4. Recovered capital'!$F$8:$BH$8,0)))/1000000</f>
        <v>0</v>
      </c>
      <c r="H32" s="378">
        <f>-(INDEX('4. Recovered capital'!$F$8:$BH$33,MATCH('1.1 Financial summary'!$B32,'4. Recovered capital'!$D$8:$D$33,0),MATCH('1.1 Financial summary'!H$29,'4. Recovered capital'!$F$8:$BH$8,0)))/1000000</f>
        <v>0</v>
      </c>
      <c r="I32" s="378">
        <f>-(INDEX('4. Recovered capital'!$F$8:$BH$33,MATCH('1.1 Financial summary'!$B32,'4. Recovered capital'!$D$8:$D$33,0),MATCH('1.1 Financial summary'!I$29,'4. Recovered capital'!$F$8:$BH$8,0)))/1000000</f>
        <v>0</v>
      </c>
      <c r="J32" s="378">
        <f>-(INDEX('4. Recovered capital'!$F$8:$BH$33,MATCH('1.1 Financial summary'!$B32,'4. Recovered capital'!$D$8:$D$33,0),MATCH('1.1 Financial summary'!J$29,'4. Recovered capital'!$F$8:$BH$8,0)))/1000000</f>
        <v>0</v>
      </c>
      <c r="K32" s="378">
        <f>-(INDEX('4. Recovered capital'!$F$8:$BH$33,MATCH('1.1 Financial summary'!$B32,'4. Recovered capital'!$D$8:$D$33,0),MATCH('1.1 Financial summary'!K$29,'4. Recovered capital'!$F$8:$BH$8,0)))/1000000</f>
        <v>0</v>
      </c>
      <c r="L32" s="378">
        <f>-(INDEX('4. Recovered capital'!$F$8:$BH$33,MATCH('1.1 Financial summary'!$B32,'4. Recovered capital'!$D$8:$D$33,0),MATCH('1.1 Financial summary'!L$29,'4. Recovered capital'!$F$8:$BH$8,0)))/1000000</f>
        <v>0.10098201238384098</v>
      </c>
      <c r="M32" s="378">
        <f>-(INDEX('4. Recovered capital'!$F$8:$BH$33,MATCH('1.1 Financial summary'!$B32,'4. Recovered capital'!$D$8:$D$33,0),MATCH('1.1 Financial summary'!M$29,'4. Recovered capital'!$F$8:$BH$8,0)))/1000000</f>
        <v>0.18118024848870606</v>
      </c>
      <c r="N32" s="378">
        <f>-(INDEX('4. Recovered capital'!$F$8:$BH$33,MATCH('1.1 Financial summary'!$B32,'4. Recovered capital'!$D$8:$D$33,0),MATCH('1.1 Financial summary'!N$29,'4. Recovered capital'!$F$8:$BH$8,0)))/1000000</f>
        <v>0.21811025102270712</v>
      </c>
      <c r="O32" s="378">
        <f>-(INDEX('4. Recovered capital'!$F$8:$BH$33,MATCH('1.1 Financial summary'!$B32,'4. Recovered capital'!$D$8:$D$33,0),MATCH('1.1 Financial summary'!O$29,'4. Recovered capital'!$F$8:$BH$8,0)))/1000000</f>
        <v>0.23959857207818724</v>
      </c>
      <c r="P32" s="378">
        <f>-(INDEX('4. Recovered capital'!$F$8:$BH$33,MATCH('1.1 Financial summary'!$B32,'4. Recovered capital'!$D$8:$D$33,0),MATCH('1.1 Financial summary'!P$29,'4. Recovered capital'!$F$8:$BH$8,0)))/1000000</f>
        <v>0.17566180601084172</v>
      </c>
      <c r="Q32" s="378">
        <f>-(INDEX('4. Recovered capital'!$F$8:$BH$33,MATCH('1.1 Financial summary'!$B32,'4. Recovered capital'!$D$8:$D$33,0),MATCH('1.1 Financial summary'!Q$29,'4. Recovered capital'!$F$8:$BH$8,0)))/1000000</f>
        <v>0.19727593703105717</v>
      </c>
      <c r="R32" s="378">
        <f>-(INDEX('4. Recovered capital'!$F$8:$BH$33,MATCH('1.1 Financial summary'!$B32,'4. Recovered capital'!$D$8:$D$33,0),MATCH('1.1 Financial summary'!R$29,'4. Recovered capital'!$F$8:$BH$8,0)))/1000000</f>
        <v>0.21637906699829731</v>
      </c>
      <c r="S32" s="378">
        <f>-(INDEX('4. Recovered capital'!$F$8:$BH$33,MATCH('1.1 Financial summary'!$B32,'4. Recovered capital'!$D$8:$D$33,0),MATCH('1.1 Financial summary'!S$29,'4. Recovered capital'!$F$8:$BH$8,0)))/1000000</f>
        <v>0.25436904231518381</v>
      </c>
      <c r="T32" s="378">
        <f>-(INDEX('4. Recovered capital'!$F$8:$BH$33,MATCH('1.1 Financial summary'!$B32,'4. Recovered capital'!$D$8:$D$33,0),MATCH('1.1 Financial summary'!T$29,'4. Recovered capital'!$F$8:$BH$8,0)))/1000000</f>
        <v>0.29420918601870227</v>
      </c>
      <c r="U32" s="378">
        <f>-(INDEX('4. Recovered capital'!$F$8:$BH$33,MATCH('1.1 Financial summary'!$B32,'4. Recovered capital'!$D$8:$D$33,0),MATCH('1.1 Financial summary'!U$29,'4. Recovered capital'!$F$8:$BH$8,0)))/1000000</f>
        <v>0.33466612607996948</v>
      </c>
      <c r="V32" s="378">
        <f>-(INDEX('4. Recovered capital'!$F$8:$BH$33,MATCH('1.1 Financial summary'!$B32,'4. Recovered capital'!$D$8:$D$33,0),MATCH('1.1 Financial summary'!V$29,'4. Recovered capital'!$F$8:$BH$8,0)))/1000000</f>
        <v>0.35868485758917407</v>
      </c>
      <c r="W32" s="378">
        <f>-(INDEX('4. Recovered capital'!$F$8:$BH$33,MATCH('1.1 Financial summary'!$B32,'4. Recovered capital'!$D$8:$D$33,0),MATCH('1.1 Financial summary'!W$29,'4. Recovered capital'!$F$8:$BH$8,0)))/1000000</f>
        <v>0.3812952355157363</v>
      </c>
      <c r="X32" s="378">
        <f>-(INDEX('4. Recovered capital'!$F$8:$BH$33,MATCH('1.1 Financial summary'!$B32,'4. Recovered capital'!$D$8:$D$33,0),MATCH('1.1 Financial summary'!X$29,'4. Recovered capital'!$F$8:$BH$8,0)))/1000000</f>
        <v>0.46964413027951502</v>
      </c>
      <c r="Y32" s="378">
        <f>-(INDEX('4. Recovered capital'!$F$8:$BH$33,MATCH('1.1 Financial summary'!$B32,'4. Recovered capital'!$D$8:$D$33,0),MATCH('1.1 Financial summary'!Y$29,'4. Recovered capital'!$F$8:$BH$8,0)))/1000000</f>
        <v>0.64670626475162307</v>
      </c>
      <c r="Z32" s="378">
        <f>-(INDEX('4. Recovered capital'!$F$8:$BH$33,MATCH('1.1 Financial summary'!$B32,'4. Recovered capital'!$D$8:$D$33,0),MATCH('1.1 Financial summary'!Z$29,'4. Recovered capital'!$F$8:$BH$8,0)))/1000000</f>
        <v>0.66764783211158929</v>
      </c>
      <c r="AA32" s="378">
        <f>-(INDEX('4. Recovered capital'!$F$8:$BH$33,MATCH('1.1 Financial summary'!$B32,'4. Recovered capital'!$D$8:$D$33,0),MATCH('1.1 Financial summary'!AA$29,'4. Recovered capital'!$F$8:$BH$8,0)))/1000000</f>
        <v>0.66108732135525949</v>
      </c>
      <c r="AB32" s="378">
        <f>-(INDEX('4. Recovered capital'!$F$8:$BH$33,MATCH('1.1 Financial summary'!$B32,'4. Recovered capital'!$D$8:$D$33,0),MATCH('1.1 Financial summary'!AB$29,'4. Recovered capital'!$F$8:$BH$8,0)))/1000000</f>
        <v>0.64545666636922172</v>
      </c>
      <c r="AC32" s="378">
        <f>-(INDEX('4. Recovered capital'!$F$8:$BH$33,MATCH('1.1 Financial summary'!$B32,'4. Recovered capital'!$D$8:$D$33,0),MATCH('1.1 Financial summary'!AC$29,'4. Recovered capital'!$F$8:$BH$8,0)))/1000000</f>
        <v>0.61390776503800337</v>
      </c>
      <c r="AD32" s="378">
        <f>-(INDEX('4. Recovered capital'!$F$8:$BH$33,MATCH('1.1 Financial summary'!$B32,'4. Recovered capital'!$D$8:$D$33,0),MATCH('1.1 Financial summary'!AD$29,'4. Recovered capital'!$F$8:$BH$8,0)))/1000000</f>
        <v>0.63230706293205607</v>
      </c>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3"/>
      <c r="BJ32" s="61"/>
      <c r="BK32" s="61"/>
      <c r="BL32" s="61"/>
    </row>
    <row r="33" spans="1:70" x14ac:dyDescent="0.25">
      <c r="A33" s="384"/>
      <c r="B33" s="388" t="s">
        <v>144</v>
      </c>
      <c r="C33" s="395" t="s">
        <v>253</v>
      </c>
      <c r="D33" s="378">
        <v>0</v>
      </c>
      <c r="E33" s="378">
        <f>-(INDEX('4. Recovered capital'!$F$8:$BH$33,MATCH('1.1 Financial summary'!$B33,'4. Recovered capital'!$D$8:$D$33,0),MATCH('1.1 Financial summary'!E$29,'4. Recovered capital'!$F$8:$BH$8,0)))/1000000</f>
        <v>0</v>
      </c>
      <c r="F33" s="378">
        <f>-(INDEX('4. Recovered capital'!$F$8:$BH$33,MATCH('1.1 Financial summary'!$B33,'4. Recovered capital'!$D$8:$D$33,0),MATCH('1.1 Financial summary'!F$29,'4. Recovered capital'!$F$8:$BH$8,0)))/1000000</f>
        <v>1.4841622968135928</v>
      </c>
      <c r="G33" s="378">
        <f>-(INDEX('4. Recovered capital'!$F$8:$BH$33,MATCH('1.1 Financial summary'!$B33,'4. Recovered capital'!$D$8:$D$33,0),MATCH('1.1 Financial summary'!G$29,'4. Recovered capital'!$F$8:$BH$8,0)))/1000000</f>
        <v>1.3221284058910279</v>
      </c>
      <c r="H33" s="378">
        <f>-(INDEX('4. Recovered capital'!$F$8:$BH$33,MATCH('1.1 Financial summary'!$B33,'4. Recovered capital'!$D$8:$D$33,0),MATCH('1.1 Financial summary'!H$29,'4. Recovered capital'!$F$8:$BH$8,0)))/1000000</f>
        <v>1.4357904072724366</v>
      </c>
      <c r="I33" s="378">
        <f>-(INDEX('4. Recovered capital'!$F$8:$BH$33,MATCH('1.1 Financial summary'!$B33,'4. Recovered capital'!$D$8:$D$33,0),MATCH('1.1 Financial summary'!I$29,'4. Recovered capital'!$F$8:$BH$8,0)))/1000000</f>
        <v>1.4630874701863035</v>
      </c>
      <c r="J33" s="378">
        <f>-(INDEX('4. Recovered capital'!$F$8:$BH$33,MATCH('1.1 Financial summary'!$B33,'4. Recovered capital'!$D$8:$D$33,0),MATCH('1.1 Financial summary'!J$29,'4. Recovered capital'!$F$8:$BH$8,0)))/1000000</f>
        <v>1.333144475622267</v>
      </c>
      <c r="K33" s="378">
        <f>-(INDEX('4. Recovered capital'!$F$8:$BH$33,MATCH('1.1 Financial summary'!$B33,'4. Recovered capital'!$D$8:$D$33,0),MATCH('1.1 Financial summary'!K$29,'4. Recovered capital'!$F$8:$BH$8,0)))/1000000</f>
        <v>1.2775127209474384</v>
      </c>
      <c r="L33" s="378">
        <f>-(INDEX('4. Recovered capital'!$F$8:$BH$33,MATCH('1.1 Financial summary'!$B33,'4. Recovered capital'!$D$8:$D$33,0),MATCH('1.1 Financial summary'!L$29,'4. Recovered capital'!$F$8:$BH$8,0)))/1000000</f>
        <v>1.1033797913183643</v>
      </c>
      <c r="M33" s="378">
        <f>-(INDEX('4. Recovered capital'!$F$8:$BH$33,MATCH('1.1 Financial summary'!$B33,'4. Recovered capital'!$D$8:$D$33,0),MATCH('1.1 Financial summary'!M$29,'4. Recovered capital'!$F$8:$BH$8,0)))/1000000</f>
        <v>1.2660553667980996</v>
      </c>
      <c r="N33" s="378">
        <f>-(INDEX('4. Recovered capital'!$F$8:$BH$33,MATCH('1.1 Financial summary'!$B33,'4. Recovered capital'!$D$8:$D$33,0),MATCH('1.1 Financial summary'!N$29,'4. Recovered capital'!$F$8:$BH$8,0)))/1000000</f>
        <v>1.1507121289930153</v>
      </c>
      <c r="O33" s="378">
        <f>-(INDEX('4. Recovered capital'!$F$8:$BH$33,MATCH('1.1 Financial summary'!$B33,'4. Recovered capital'!$D$8:$D$33,0),MATCH('1.1 Financial summary'!O$29,'4. Recovered capital'!$F$8:$BH$8,0)))/1000000</f>
        <v>1.1554640914483125</v>
      </c>
      <c r="P33" s="378">
        <f>-(INDEX('4. Recovered capital'!$F$8:$BH$33,MATCH('1.1 Financial summary'!$B33,'4. Recovered capital'!$D$8:$D$33,0),MATCH('1.1 Financial summary'!P$29,'4. Recovered capital'!$F$8:$BH$8,0)))/1000000</f>
        <v>1.2862034922411349</v>
      </c>
      <c r="Q33" s="378">
        <f>-(INDEX('4. Recovered capital'!$F$8:$BH$33,MATCH('1.1 Financial summary'!$B33,'4. Recovered capital'!$D$8:$D$33,0),MATCH('1.1 Financial summary'!Q$29,'4. Recovered capital'!$F$8:$BH$8,0)))/1000000</f>
        <v>1.3304159381782026</v>
      </c>
      <c r="R33" s="378">
        <f>-(INDEX('4. Recovered capital'!$F$8:$BH$33,MATCH('1.1 Financial summary'!$B33,'4. Recovered capital'!$D$8:$D$33,0),MATCH('1.1 Financial summary'!R$29,'4. Recovered capital'!$F$8:$BH$8,0)))/1000000</f>
        <v>1.1547704070074325</v>
      </c>
      <c r="S33" s="378">
        <f>-(INDEX('4. Recovered capital'!$F$8:$BH$33,MATCH('1.1 Financial summary'!$B33,'4. Recovered capital'!$D$8:$D$33,0),MATCH('1.1 Financial summary'!S$29,'4. Recovered capital'!$F$8:$BH$8,0)))/1000000</f>
        <v>1.0664801470324154</v>
      </c>
      <c r="T33" s="378">
        <f>-(INDEX('4. Recovered capital'!$F$8:$BH$33,MATCH('1.1 Financial summary'!$B33,'4. Recovered capital'!$D$8:$D$33,0),MATCH('1.1 Financial summary'!T$29,'4. Recovered capital'!$F$8:$BH$8,0)))/1000000</f>
        <v>0.96469890590334217</v>
      </c>
      <c r="U33" s="378">
        <f>-(INDEX('4. Recovered capital'!$F$8:$BH$33,MATCH('1.1 Financial summary'!$B33,'4. Recovered capital'!$D$8:$D$33,0),MATCH('1.1 Financial summary'!U$29,'4. Recovered capital'!$F$8:$BH$8,0)))/1000000</f>
        <v>0.68929172398699035</v>
      </c>
      <c r="V33" s="378">
        <f>-(INDEX('4. Recovered capital'!$F$8:$BH$33,MATCH('1.1 Financial summary'!$B33,'4. Recovered capital'!$D$8:$D$33,0),MATCH('1.1 Financial summary'!V$29,'4. Recovered capital'!$F$8:$BH$8,0)))/1000000</f>
        <v>0.62969817925531857</v>
      </c>
      <c r="W33" s="378">
        <f>-(INDEX('4. Recovered capital'!$F$8:$BH$33,MATCH('1.1 Financial summary'!$B33,'4. Recovered capital'!$D$8:$D$33,0),MATCH('1.1 Financial summary'!W$29,'4. Recovered capital'!$F$8:$BH$8,0)))/1000000</f>
        <v>0.5470353077133504</v>
      </c>
      <c r="X33" s="378">
        <f>-(INDEX('4. Recovered capital'!$F$8:$BH$33,MATCH('1.1 Financial summary'!$B33,'4. Recovered capital'!$D$8:$D$33,0),MATCH('1.1 Financial summary'!X$29,'4. Recovered capital'!$F$8:$BH$8,0)))/1000000</f>
        <v>0.40289661605127852</v>
      </c>
      <c r="Y33" s="378">
        <f>-(INDEX('4. Recovered capital'!$F$8:$BH$33,MATCH('1.1 Financial summary'!$B33,'4. Recovered capital'!$D$8:$D$33,0),MATCH('1.1 Financial summary'!Y$29,'4. Recovered capital'!$F$8:$BH$8,0)))/1000000</f>
        <v>0.23690556608727972</v>
      </c>
      <c r="Z33" s="378">
        <f>-(INDEX('4. Recovered capital'!$F$8:$BH$33,MATCH('1.1 Financial summary'!$B33,'4. Recovered capital'!$D$8:$D$33,0),MATCH('1.1 Financial summary'!Z$29,'4. Recovered capital'!$F$8:$BH$8,0)))/1000000</f>
        <v>0.16455489915582164</v>
      </c>
      <c r="AA33" s="378">
        <f>-(INDEX('4. Recovered capital'!$F$8:$BH$33,MATCH('1.1 Financial summary'!$B33,'4. Recovered capital'!$D$8:$D$33,0),MATCH('1.1 Financial summary'!AA$29,'4. Recovered capital'!$F$8:$BH$8,0)))/1000000</f>
        <v>0.17734180245335529</v>
      </c>
      <c r="AB33" s="378">
        <f>-(INDEX('4. Recovered capital'!$F$8:$BH$33,MATCH('1.1 Financial summary'!$B33,'4. Recovered capital'!$D$8:$D$33,0),MATCH('1.1 Financial summary'!AB$29,'4. Recovered capital'!$F$8:$BH$8,0)))/1000000</f>
        <v>1.4847522288191881</v>
      </c>
      <c r="AC33" s="378">
        <f>-(INDEX('4. Recovered capital'!$F$8:$BH$33,MATCH('1.1 Financial summary'!$B33,'4. Recovered capital'!$D$8:$D$33,0),MATCH('1.1 Financial summary'!AC$29,'4. Recovered capital'!$F$8:$BH$8,0)))/1000000</f>
        <v>1.4175204088241904</v>
      </c>
      <c r="AD33" s="378">
        <f>-(INDEX('4. Recovered capital'!$F$8:$BH$33,MATCH('1.1 Financial summary'!$B33,'4. Recovered capital'!$D$8:$D$33,0),MATCH('1.1 Financial summary'!AD$29,'4. Recovered capital'!$F$8:$BH$8,0)))/1000000</f>
        <v>1.325830936523309</v>
      </c>
    </row>
    <row r="34" spans="1:70" x14ac:dyDescent="0.25">
      <c r="A34" s="384"/>
      <c r="B34" s="388" t="s">
        <v>181</v>
      </c>
      <c r="C34" s="395" t="s">
        <v>253</v>
      </c>
      <c r="D34" s="378">
        <v>0</v>
      </c>
      <c r="E34" s="378">
        <f>(INDEX('4. Recovered capital'!$F$8:$BH$33,MATCH('1.1 Financial summary'!$B34,'4. Recovered capital'!$D$8:$D$33,0),MATCH('1.1 Financial summary'!E$29,'4. Recovered capital'!$F$8:$BH$8,0)))/1000000</f>
        <v>0.72413698871361498</v>
      </c>
      <c r="F34" s="378">
        <f>(INDEX('4. Recovered capital'!$F$8:$BH$33,MATCH('1.1 Financial summary'!$B34,'4. Recovered capital'!$D$8:$D$33,0),MATCH('1.1 Financial summary'!F$29,'4. Recovered capital'!$F$8:$BH$8,0)))/1000000</f>
        <v>-0.30174535122343571</v>
      </c>
      <c r="G34" s="378">
        <f>(INDEX('4. Recovered capital'!$F$8:$BH$33,MATCH('1.1 Financial summary'!$B34,'4. Recovered capital'!$D$8:$D$33,0),MATCH('1.1 Financial summary'!G$29,'4. Recovered capital'!$F$8:$BH$8,0)))/1000000</f>
        <v>-0.10879854341082089</v>
      </c>
      <c r="H34" s="378">
        <f>(INDEX('4. Recovered capital'!$F$8:$BH$33,MATCH('1.1 Financial summary'!$B34,'4. Recovered capital'!$D$8:$D$33,0),MATCH('1.1 Financial summary'!H$29,'4. Recovered capital'!$F$8:$BH$8,0)))/1000000</f>
        <v>-0.19286793039889169</v>
      </c>
      <c r="I34" s="378">
        <f>(INDEX('4. Recovered capital'!$F$8:$BH$33,MATCH('1.1 Financial summary'!$B34,'4. Recovered capital'!$D$8:$D$33,0),MATCH('1.1 Financial summary'!I$29,'4. Recovered capital'!$F$8:$BH$8,0)))/1000000</f>
        <v>-0.17479461902654497</v>
      </c>
      <c r="J34" s="378">
        <f>(INDEX('4. Recovered capital'!$F$8:$BH$33,MATCH('1.1 Financial summary'!$B34,'4. Recovered capital'!$D$8:$D$33,0),MATCH('1.1 Financial summary'!J$29,'4. Recovered capital'!$F$8:$BH$8,0)))/1000000</f>
        <v>-3.7191366222670769E-3</v>
      </c>
      <c r="K34" s="378">
        <f>(INDEX('4. Recovered capital'!$F$8:$BH$33,MATCH('1.1 Financial summary'!$B34,'4. Recovered capital'!$D$8:$D$33,0),MATCH('1.1 Financial summary'!K$29,'4. Recovered capital'!$F$8:$BH$8,0)))/1000000</f>
        <v>8.9170799052561395E-2</v>
      </c>
      <c r="L34" s="378">
        <f>(INDEX('4. Recovered capital'!$F$8:$BH$33,MATCH('1.1 Financial summary'!$B34,'4. Recovered capital'!$D$8:$D$33,0),MATCH('1.1 Financial summary'!L$29,'4. Recovered capital'!$F$8:$BH$8,0)))/1000000</f>
        <v>0.41023887279149518</v>
      </c>
      <c r="M34" s="378">
        <f>(INDEX('4. Recovered capital'!$F$8:$BH$33,MATCH('1.1 Financial summary'!$B34,'4. Recovered capital'!$D$8:$D$33,0),MATCH('1.1 Financial summary'!M$29,'4. Recovered capital'!$F$8:$BH$8,0)))/1000000</f>
        <v>0.44211063931479377</v>
      </c>
      <c r="N34" s="378">
        <f>(INDEX('4. Recovered capital'!$F$8:$BH$33,MATCH('1.1 Financial summary'!$B34,'4. Recovered capital'!$D$8:$D$33,0),MATCH('1.1 Financial summary'!N$29,'4. Recovered capital'!$F$8:$BH$8,0)))/1000000</f>
        <v>0.58770573970438489</v>
      </c>
      <c r="O34" s="378">
        <f>(INDEX('4. Recovered capital'!$F$8:$BH$33,MATCH('1.1 Financial summary'!$B34,'4. Recovered capital'!$D$8:$D$33,0),MATCH('1.1 Financial summary'!O$29,'4. Recovered capital'!$F$8:$BH$8,0)))/1000000</f>
        <v>0.62309837457518746</v>
      </c>
      <c r="P34" s="378">
        <f>(INDEX('4. Recovered capital'!$F$8:$BH$33,MATCH('1.1 Financial summary'!$B34,'4. Recovered capital'!$D$8:$D$33,0),MATCH('1.1 Financial summary'!P$29,'4. Recovered capital'!$F$8:$BH$8,0)))/1000000</f>
        <v>0.4922514352766853</v>
      </c>
      <c r="Q34" s="378">
        <f>(INDEX('4. Recovered capital'!$F$8:$BH$33,MATCH('1.1 Financial summary'!$B34,'4. Recovered capital'!$D$8:$D$33,0),MATCH('1.1 Financial summary'!Q$29,'4. Recovered capital'!$F$8:$BH$8,0)))/1000000</f>
        <v>0.53769210275877966</v>
      </c>
      <c r="R34" s="378">
        <f>(INDEX('4. Recovered capital'!$F$8:$BH$33,MATCH('1.1 Financial summary'!$B34,'4. Recovered capital'!$D$8:$D$33,0),MATCH('1.1 Financial summary'!R$29,'4. Recovered capital'!$F$8:$BH$8,0)))/1000000</f>
        <v>0.66327992149427017</v>
      </c>
      <c r="S34" s="378">
        <f>(INDEX('4. Recovered capital'!$F$8:$BH$33,MATCH('1.1 Financial summary'!$B34,'4. Recovered capital'!$D$8:$D$33,0),MATCH('1.1 Financial summary'!S$29,'4. Recovered capital'!$F$8:$BH$8,0)))/1000000</f>
        <v>0.79677662215240042</v>
      </c>
      <c r="T34" s="378">
        <f>(INDEX('4. Recovered capital'!$F$8:$BH$33,MATCH('1.1 Financial summary'!$B34,'4. Recovered capital'!$D$8:$D$33,0),MATCH('1.1 Financial summary'!T$29,'4. Recovered capital'!$F$8:$BH$8,0)))/1000000</f>
        <v>0.98887031807795567</v>
      </c>
      <c r="U34" s="378">
        <f>(INDEX('4. Recovered capital'!$F$8:$BH$33,MATCH('1.1 Financial summary'!$B34,'4. Recovered capital'!$D$8:$D$33,0),MATCH('1.1 Financial summary'!U$29,'4. Recovered capital'!$F$8:$BH$8,0)))/1000000</f>
        <v>1.21797994493304</v>
      </c>
      <c r="V34" s="378">
        <f>(INDEX('4. Recovered capital'!$F$8:$BH$33,MATCH('1.1 Financial summary'!$B34,'4. Recovered capital'!$D$8:$D$33,0),MATCH('1.1 Financial summary'!V$29,'4. Recovered capital'!$F$8:$BH$8,0)))/1000000</f>
        <v>1.2952824841555071</v>
      </c>
      <c r="W34" s="378">
        <f>(INDEX('4. Recovered capital'!$F$8:$BH$33,MATCH('1.1 Financial summary'!$B34,'4. Recovered capital'!$D$8:$D$33,0),MATCH('1.1 Financial summary'!W$29,'4. Recovered capital'!$F$8:$BH$8,0)))/1000000</f>
        <v>1.3903432327709133</v>
      </c>
      <c r="X34" s="378">
        <f>(INDEX('4. Recovered capital'!$F$8:$BH$33,MATCH('1.1 Financial summary'!$B34,'4. Recovered capital'!$D$8:$D$33,0),MATCH('1.1 Financial summary'!X$29,'4. Recovered capital'!$F$8:$BH$8,0)))/1000000</f>
        <v>1.6654724727887824</v>
      </c>
      <c r="Y34" s="378">
        <f>(INDEX('4. Recovered capital'!$F$8:$BH$33,MATCH('1.1 Financial summary'!$B34,'4. Recovered capital'!$D$8:$D$33,0),MATCH('1.1 Financial summary'!Y$29,'4. Recovered capital'!$F$8:$BH$8,0)))/1000000</f>
        <v>1.474622762396959</v>
      </c>
      <c r="Z34" s="378">
        <f>(INDEX('4. Recovered capital'!$F$8:$BH$33,MATCH('1.1 Financial summary'!$B34,'4. Recovered capital'!$D$8:$D$33,0),MATCH('1.1 Financial summary'!Z$29,'4. Recovered capital'!$F$8:$BH$8,0)))/1000000</f>
        <v>1.5613681848184122</v>
      </c>
      <c r="AA34" s="378">
        <f>(INDEX('4. Recovered capital'!$F$8:$BH$33,MATCH('1.1 Financial summary'!$B34,'4. Recovered capital'!$D$8:$D$33,0),MATCH('1.1 Financial summary'!AA$29,'4. Recovered capital'!$F$8:$BH$8,0)))/1000000</f>
        <v>1.4964936118159253</v>
      </c>
      <c r="AB34" s="378">
        <f>(INDEX('4. Recovered capital'!$F$8:$BH$33,MATCH('1.1 Financial summary'!$B34,'4. Recovered capital'!$D$8:$D$33,0),MATCH('1.1 Financial summary'!AB$29,'4. Recovered capital'!$F$8:$BH$8,0)))/1000000</f>
        <v>0.11640179670073744</v>
      </c>
      <c r="AC34" s="378">
        <f>(INDEX('4. Recovered capital'!$F$8:$BH$33,MATCH('1.1 Financial summary'!$B34,'4. Recovered capital'!$D$8:$D$33,0),MATCH('1.1 Financial summary'!AC$29,'4. Recovered capital'!$F$8:$BH$8,0)))/1000000</f>
        <v>0.11294935558779631</v>
      </c>
      <c r="AD34" s="378">
        <f>(INDEX('4. Recovered capital'!$F$8:$BH$33,MATCH('1.1 Financial summary'!$B34,'4. Recovered capital'!$D$8:$D$33,0),MATCH('1.1 Financial summary'!AD$29,'4. Recovered capital'!$F$8:$BH$8,0)))/1000000</f>
        <v>0.25328047100279483</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3"/>
      <c r="BJ34" s="61"/>
      <c r="BK34" s="61"/>
      <c r="BL34" s="61"/>
    </row>
    <row r="35" spans="1:70" x14ac:dyDescent="0.25">
      <c r="A35" s="394"/>
      <c r="B35" s="402" t="s">
        <v>496</v>
      </c>
      <c r="C35" s="395" t="s">
        <v>253</v>
      </c>
      <c r="D35" s="378">
        <v>0</v>
      </c>
      <c r="E35" s="378">
        <f>(INDEX('4. Recovered capital'!$F$8:$BH$33,MATCH('1.1 Financial summary'!$B35,'4. Recovered capital'!$D$8:$D$33,0),MATCH('1.1 Financial summary'!E$29,'4. Recovered capital'!$F$8:$BH$8,0)))/1000000</f>
        <v>0</v>
      </c>
      <c r="F35" s="378">
        <f>(INDEX('4. Recovered capital'!$F$8:$BH$33,MATCH('1.1 Financial summary'!$B35,'4. Recovered capital'!$D$8:$D$33,0),MATCH('1.1 Financial summary'!F$29,'4. Recovered capital'!$F$8:$BH$8,0)))/1000000</f>
        <v>13.017825595835879</v>
      </c>
      <c r="G35" s="378">
        <f>(INDEX('4. Recovered capital'!$F$8:$BH$33,MATCH('1.1 Financial summary'!$B35,'4. Recovered capital'!$D$8:$D$33,0),MATCH('1.1 Financial summary'!G$29,'4. Recovered capital'!$F$8:$BH$8,0)))/1000000</f>
        <v>13.326546802323699</v>
      </c>
      <c r="H35" s="378">
        <f>(INDEX('4. Recovered capital'!$F$8:$BH$33,MATCH('1.1 Financial summary'!$B35,'4. Recovered capital'!$D$8:$D$33,0),MATCH('1.1 Financial summary'!H$29,'4. Recovered capital'!$F$8:$BH$8,0)))/1000000</f>
        <v>13.445111543104655</v>
      </c>
      <c r="I35" s="378">
        <f>(INDEX('4. Recovered capital'!$F$8:$BH$33,MATCH('1.1 Financial summary'!$B35,'4. Recovered capital'!$D$8:$D$33,0),MATCH('1.1 Financial summary'!I$29,'4. Recovered capital'!$F$8:$BH$8,0)))/1000000</f>
        <v>13.67237882655396</v>
      </c>
      <c r="J35" s="378">
        <f>(INDEX('4. Recovered capital'!$F$8:$BH$33,MATCH('1.1 Financial summary'!$B35,'4. Recovered capital'!$D$8:$D$33,0),MATCH('1.1 Financial summary'!J$29,'4. Recovered capital'!$F$8:$BH$8,0)))/1000000</f>
        <v>13.907993346825045</v>
      </c>
      <c r="K35" s="378">
        <f>(INDEX('4. Recovered capital'!$F$8:$BH$33,MATCH('1.1 Financial summary'!$B35,'4. Recovered capital'!$D$8:$D$33,0),MATCH('1.1 Financial summary'!K$29,'4. Recovered capital'!$F$8:$BH$8,0)))/1000000</f>
        <v>13.986753466216372</v>
      </c>
      <c r="L35" s="378">
        <f>(INDEX('4. Recovered capital'!$F$8:$BH$33,MATCH('1.1 Financial summary'!$B35,'4. Recovered capital'!$D$8:$D$33,0),MATCH('1.1 Financial summary'!L$29,'4. Recovered capital'!$F$8:$BH$8,0)))/1000000</f>
        <v>13.933236204610733</v>
      </c>
      <c r="M35" s="378">
        <f>(INDEX('4. Recovered capital'!$F$8:$BH$33,MATCH('1.1 Financial summary'!$B35,'4. Recovered capital'!$D$8:$D$33,0),MATCH('1.1 Financial summary'!M$29,'4. Recovered capital'!$F$8:$BH$8,0)))/1000000</f>
        <v>13.555156486020522</v>
      </c>
      <c r="N35" s="378">
        <f>(INDEX('4. Recovered capital'!$F$8:$BH$33,MATCH('1.1 Financial summary'!$B35,'4. Recovered capital'!$D$8:$D$33,0),MATCH('1.1 Financial summary'!N$29,'4. Recovered capital'!$F$8:$BH$8,0)))/1000000</f>
        <v>13.326689154466056</v>
      </c>
      <c r="O35" s="378">
        <f>(INDEX('4. Recovered capital'!$F$8:$BH$33,MATCH('1.1 Financial summary'!$B35,'4. Recovered capital'!$D$8:$D$33,0),MATCH('1.1 Financial summary'!O$29,'4. Recovered capital'!$F$8:$BH$8,0)))/1000000</f>
        <v>12.7850240595066</v>
      </c>
      <c r="P35" s="378">
        <f>(INDEX('4. Recovered capital'!$F$8:$BH$33,MATCH('1.1 Financial summary'!$B35,'4. Recovered capital'!$D$8:$D$33,0),MATCH('1.1 Financial summary'!P$29,'4. Recovered capital'!$F$8:$BH$8,0)))/1000000</f>
        <v>12.187038763883193</v>
      </c>
      <c r="Q35" s="378">
        <f>(INDEX('4. Recovered capital'!$F$8:$BH$33,MATCH('1.1 Financial summary'!$B35,'4. Recovered capital'!$D$8:$D$33,0),MATCH('1.1 Financial summary'!Q$29,'4. Recovered capital'!$F$8:$BH$8,0)))/1000000</f>
        <v>12.169591637223448</v>
      </c>
      <c r="R35" s="378">
        <f>(INDEX('4. Recovered capital'!$F$8:$BH$33,MATCH('1.1 Financial summary'!$B35,'4. Recovered capital'!$D$8:$D$33,0),MATCH('1.1 Financial summary'!R$29,'4. Recovered capital'!$F$8:$BH$8,0)))/1000000</f>
        <v>11.650036758152066</v>
      </c>
      <c r="S35" s="378">
        <f>(INDEX('4. Recovered capital'!$F$8:$BH$33,MATCH('1.1 Financial summary'!$B35,'4. Recovered capital'!$D$8:$D$33,0),MATCH('1.1 Financial summary'!S$29,'4. Recovered capital'!$F$8:$BH$8,0)))/1000000</f>
        <v>11.027216797191219</v>
      </c>
      <c r="T35" s="378">
        <f>(INDEX('4. Recovered capital'!$F$8:$BH$33,MATCH('1.1 Financial summary'!$B35,'4. Recovered capital'!$D$8:$D$33,0),MATCH('1.1 Financial summary'!T$29,'4. Recovered capital'!$F$8:$BH$8,0)))/1000000</f>
        <v>10.277875990836625</v>
      </c>
      <c r="U35" s="378">
        <f>(INDEX('4. Recovered capital'!$F$8:$BH$33,MATCH('1.1 Financial summary'!$B35,'4. Recovered capital'!$D$8:$D$33,0),MATCH('1.1 Financial summary'!U$29,'4. Recovered capital'!$F$8:$BH$8,0)))/1000000</f>
        <v>9.3057477253931911</v>
      </c>
      <c r="V35" s="378">
        <f>(INDEX('4. Recovered capital'!$F$8:$BH$33,MATCH('1.1 Financial summary'!$B35,'4. Recovered capital'!$D$8:$D$33,0),MATCH('1.1 Financial summary'!V$29,'4. Recovered capital'!$F$8:$BH$8,0)))/1000000</f>
        <v>8.3206111053165248</v>
      </c>
      <c r="W35" s="378">
        <f>(INDEX('4. Recovered capital'!$F$8:$BH$33,MATCH('1.1 Financial summary'!$B35,'4. Recovered capital'!$D$8:$D$33,0),MATCH('1.1 Financial summary'!W$29,'4. Recovered capital'!$F$8:$BH$8,0)))/1000000</f>
        <v>7.0685789238001959</v>
      </c>
      <c r="X35" s="378">
        <f>(INDEX('4. Recovered capital'!$F$8:$BH$33,MATCH('1.1 Financial summary'!$B35,'4. Recovered capital'!$D$8:$D$33,0),MATCH('1.1 Financial summary'!X$29,'4. Recovered capital'!$F$8:$BH$8,0)))/1000000</f>
        <v>5.7360870632772594</v>
      </c>
      <c r="Y35" s="378">
        <f>(INDEX('4. Recovered capital'!$F$8:$BH$33,MATCH('1.1 Financial summary'!$B35,'4. Recovered capital'!$D$8:$D$33,0),MATCH('1.1 Financial summary'!Y$29,'4. Recovered capital'!$F$8:$BH$8,0)))/1000000</f>
        <v>4.1125514312589404</v>
      </c>
      <c r="Z35" s="378">
        <f>(INDEX('4. Recovered capital'!$F$8:$BH$33,MATCH('1.1 Financial summary'!$B35,'4. Recovered capital'!$D$8:$D$33,0),MATCH('1.1 Financial summary'!Z$29,'4. Recovered capital'!$F$8:$BH$8,0)))/1000000</f>
        <v>2.9305806534042915</v>
      </c>
      <c r="AA35" s="378">
        <f>(INDEX('4. Recovered capital'!$F$8:$BH$33,MATCH('1.1 Financial summary'!$B35,'4. Recovered capital'!$D$8:$D$33,0),MATCH('1.1 Financial summary'!AA$29,'4. Recovered capital'!$F$8:$BH$8,0)))/1000000</f>
        <v>1.4067970330353103</v>
      </c>
      <c r="AB35" s="378">
        <f>(INDEX('4. Recovered capital'!$F$8:$BH$33,MATCH('1.1 Financial summary'!$B35,'4. Recovered capital'!$D$8:$D$33,0),MATCH('1.1 Financial summary'!AB$29,'4. Recovered capital'!$F$8:$BH$8,0)))/1000000</f>
        <v>3.9581209421157837E-15</v>
      </c>
      <c r="AC35" s="378">
        <f>(INDEX('4. Recovered capital'!$F$8:$BH$33,MATCH('1.1 Financial summary'!$B35,'4. Recovered capital'!$D$8:$D$33,0),MATCH('1.1 Financial summary'!AC$29,'4. Recovered capital'!$F$8:$BH$8,0)))/1000000</f>
        <v>3.9435690268874165E-15</v>
      </c>
      <c r="AD35" s="378">
        <f>(INDEX('4. Recovered capital'!$F$8:$BH$33,MATCH('1.1 Financial summary'!$B35,'4. Recovered capital'!$D$8:$D$33,0),MATCH('1.1 Financial summary'!AD$29,'4. Recovered capital'!$F$8:$BH$8,0)))/1000000</f>
        <v>3.4197000786662101E-15</v>
      </c>
      <c r="AE35" s="67"/>
      <c r="AF35" s="67"/>
      <c r="AG35" s="67"/>
      <c r="AH35" s="67"/>
      <c r="AI35" s="67"/>
      <c r="AJ35" s="67"/>
      <c r="AK35" s="68"/>
      <c r="AL35" s="69"/>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row>
    <row r="36" spans="1:70" x14ac:dyDescent="0.25">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8"/>
      <c r="AL36" s="69"/>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row>
    <row r="37" spans="1:70" x14ac:dyDescent="0.25">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8"/>
      <c r="AL37" s="69"/>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row>
    <row r="38" spans="1:70" x14ac:dyDescent="0.25">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8"/>
      <c r="AL38" s="69"/>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row>
    <row r="39" spans="1:70" x14ac:dyDescent="0.25">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8"/>
      <c r="AL39" s="69"/>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row>
    <row r="40" spans="1:70" x14ac:dyDescent="0.25">
      <c r="A40" s="67"/>
      <c r="B40" s="67"/>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9"/>
      <c r="AL40" s="69"/>
      <c r="AM40" s="69"/>
      <c r="AN40" s="69"/>
      <c r="AO40" s="69"/>
      <c r="AP40" s="69"/>
      <c r="AQ40" s="69"/>
      <c r="AR40" s="69"/>
      <c r="AS40" s="69"/>
      <c r="AT40" s="69"/>
      <c r="AU40" s="69"/>
      <c r="AV40" s="69"/>
      <c r="AW40" s="69"/>
      <c r="AX40" s="69"/>
      <c r="AY40" s="68"/>
      <c r="AZ40" s="68"/>
      <c r="BA40" s="68"/>
      <c r="BB40" s="68"/>
      <c r="BC40" s="68"/>
      <c r="BD40" s="68"/>
      <c r="BE40" s="68"/>
      <c r="BF40" s="68"/>
      <c r="BG40" s="68"/>
      <c r="BH40" s="68"/>
      <c r="BI40" s="68"/>
      <c r="BJ40" s="68"/>
      <c r="BK40" s="68"/>
      <c r="BL40" s="68"/>
      <c r="BM40" s="68"/>
      <c r="BN40" s="68"/>
      <c r="BO40" s="68"/>
      <c r="BP40" s="68"/>
      <c r="BQ40" s="68"/>
      <c r="BR40" s="68"/>
    </row>
    <row r="41" spans="1:70" x14ac:dyDescent="0.25">
      <c r="A41" s="67"/>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9"/>
      <c r="AL41" s="69"/>
      <c r="AM41" s="69"/>
      <c r="AN41" s="69"/>
      <c r="AO41" s="69"/>
      <c r="AP41" s="69"/>
      <c r="AQ41" s="69"/>
      <c r="AR41" s="69"/>
      <c r="AS41" s="69"/>
      <c r="AT41" s="69"/>
      <c r="AU41" s="69"/>
      <c r="AV41" s="69"/>
      <c r="AW41" s="69"/>
      <c r="AX41" s="69"/>
      <c r="AY41" s="69"/>
      <c r="AZ41" s="68"/>
      <c r="BA41" s="68"/>
      <c r="BB41" s="68"/>
      <c r="BC41" s="68"/>
      <c r="BD41" s="68"/>
      <c r="BE41" s="68"/>
      <c r="BF41" s="68"/>
      <c r="BG41" s="68"/>
      <c r="BH41" s="68"/>
      <c r="BI41" s="68"/>
      <c r="BJ41" s="68"/>
      <c r="BK41" s="68"/>
      <c r="BL41" s="68"/>
      <c r="BM41" s="68"/>
      <c r="BN41" s="68"/>
      <c r="BO41" s="68"/>
      <c r="BP41" s="68"/>
      <c r="BQ41" s="68"/>
      <c r="BR41" s="68"/>
    </row>
    <row r="42" spans="1:70" x14ac:dyDescent="0.25">
      <c r="A42" s="67"/>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8"/>
      <c r="AL42" s="69"/>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row>
    <row r="43" spans="1:70" x14ac:dyDescent="0.25">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8"/>
      <c r="AL43" s="69"/>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row>
    <row r="44" spans="1:70" x14ac:dyDescent="0.25">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8"/>
      <c r="AL44" s="69"/>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row>
    <row r="45" spans="1:70" x14ac:dyDescent="0.25">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8"/>
      <c r="AL45" s="69"/>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row>
    <row r="46" spans="1:70" x14ac:dyDescent="0.25">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8"/>
      <c r="AL46" s="69"/>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row>
    <row r="47" spans="1:70" x14ac:dyDescent="0.25">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8"/>
      <c r="AL47" s="69"/>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row>
    <row r="48" spans="1:70" x14ac:dyDescent="0.25">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8"/>
      <c r="AL48" s="69"/>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row>
    <row r="49" spans="1:70" x14ac:dyDescent="0.25">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8"/>
      <c r="AL49" s="69"/>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row>
    <row r="50" spans="1:70" x14ac:dyDescent="0.25">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8"/>
      <c r="AL50" s="69"/>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row>
    <row r="51" spans="1:70" x14ac:dyDescent="0.25">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8"/>
      <c r="AL51" s="69"/>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row>
    <row r="52" spans="1:70" x14ac:dyDescent="0.25">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8"/>
      <c r="AL52" s="69"/>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row>
    <row r="53" spans="1:70" x14ac:dyDescent="0.25">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8"/>
      <c r="AL53" s="69"/>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row>
    <row r="54" spans="1:70" x14ac:dyDescent="0.25">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8"/>
      <c r="AL54" s="69"/>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row>
    <row r="55" spans="1:70" x14ac:dyDescent="0.25">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8"/>
      <c r="AL55" s="69"/>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row>
    <row r="56" spans="1:70" x14ac:dyDescent="0.25">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8"/>
      <c r="AL56" s="69"/>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row>
    <row r="57" spans="1:70" x14ac:dyDescent="0.25">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8"/>
      <c r="AL57" s="69"/>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row>
    <row r="58" spans="1:70" x14ac:dyDescent="0.25">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8"/>
      <c r="AL58" s="69"/>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row>
    <row r="59" spans="1:70" x14ac:dyDescent="0.25">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8"/>
      <c r="AL59" s="69"/>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row>
    <row r="60" spans="1:70" x14ac:dyDescent="0.25">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8"/>
      <c r="AL60" s="69"/>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row>
    <row r="61" spans="1:70" x14ac:dyDescent="0.25">
      <c r="A61" s="67"/>
      <c r="B61" s="67"/>
      <c r="C61" s="71"/>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0"/>
      <c r="AE61" s="70"/>
      <c r="AF61" s="70"/>
      <c r="AG61" s="70"/>
      <c r="AH61" s="65"/>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7"/>
    </row>
    <row r="62" spans="1:70" ht="15" x14ac:dyDescent="0.25">
      <c r="A62" s="381"/>
      <c r="B62" s="381"/>
      <c r="C62" s="510"/>
      <c r="D62" s="510"/>
      <c r="E62" s="381"/>
      <c r="F62" s="381"/>
      <c r="G62" s="381"/>
      <c r="H62" s="406"/>
      <c r="I62" s="406"/>
      <c r="J62" s="406"/>
      <c r="K62" s="406"/>
      <c r="L62" s="406"/>
      <c r="M62" s="406"/>
      <c r="N62" s="406"/>
      <c r="O62" s="406"/>
      <c r="P62" s="406"/>
      <c r="Q62" s="406"/>
      <c r="R62" s="406"/>
      <c r="S62" s="406"/>
      <c r="T62" s="406"/>
      <c r="U62" s="406"/>
      <c r="V62" s="406"/>
      <c r="W62" s="406"/>
      <c r="X62" s="406"/>
      <c r="Y62" s="406"/>
      <c r="Z62" s="406"/>
      <c r="AA62" s="406"/>
      <c r="AB62" s="406"/>
      <c r="AC62" s="441"/>
      <c r="AD62" s="64"/>
      <c r="AE62" s="64"/>
      <c r="AF62" s="64"/>
      <c r="AG62" s="73"/>
      <c r="AH62" s="74"/>
      <c r="AI62" s="74"/>
      <c r="AJ62" s="74"/>
      <c r="AK62" s="66"/>
      <c r="AL62" s="75"/>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row>
    <row r="64" spans="1:70" x14ac:dyDescent="0.25">
      <c r="AE64" s="77"/>
    </row>
    <row r="65" spans="31:31" x14ac:dyDescent="0.25">
      <c r="AE65" s="77"/>
    </row>
    <row r="66" spans="31:31" x14ac:dyDescent="0.25">
      <c r="AE66" s="77"/>
    </row>
    <row r="67" spans="31:31" x14ac:dyDescent="0.25">
      <c r="AE67" s="77"/>
    </row>
    <row r="68" spans="31:31" x14ac:dyDescent="0.25">
      <c r="AE68" s="77"/>
    </row>
    <row r="69" spans="31:31" x14ac:dyDescent="0.25">
      <c r="AE69" s="77"/>
    </row>
    <row r="70" spans="31:31" x14ac:dyDescent="0.25">
      <c r="AE70" s="77"/>
    </row>
    <row r="71" spans="31:31" x14ac:dyDescent="0.25">
      <c r="AE71" s="77"/>
    </row>
    <row r="72" spans="31:31" x14ac:dyDescent="0.25">
      <c r="AE72" s="77"/>
    </row>
    <row r="73" spans="31:31" x14ac:dyDescent="0.25">
      <c r="AE73" s="77"/>
    </row>
    <row r="74" spans="31:31" x14ac:dyDescent="0.25">
      <c r="AE74" s="77"/>
    </row>
  </sheetData>
  <mergeCells count="2">
    <mergeCell ref="B1:D1"/>
    <mergeCell ref="C62:D62"/>
  </mergeCells>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9999"/>
    <pageSetUpPr fitToPage="1"/>
  </sheetPr>
  <dimension ref="A1:I43"/>
  <sheetViews>
    <sheetView zoomScale="80" zoomScaleNormal="80" workbookViewId="0"/>
  </sheetViews>
  <sheetFormatPr defaultColWidth="9" defaultRowHeight="13.2" x14ac:dyDescent="0.25"/>
  <cols>
    <col min="1" max="1" width="11.8984375" style="19" customWidth="1"/>
    <col min="2" max="2" width="16.3984375" style="19" customWidth="1"/>
    <col min="3" max="3" width="43.3984375" style="19" customWidth="1"/>
    <col min="4" max="9" width="20.59765625" style="19" customWidth="1"/>
    <col min="10" max="16384" width="9" style="19"/>
  </cols>
  <sheetData>
    <row r="1" spans="1:9" ht="21" x14ac:dyDescent="0.4">
      <c r="B1" s="509" t="s">
        <v>171</v>
      </c>
      <c r="C1" s="509"/>
      <c r="D1" s="509"/>
      <c r="E1" s="18"/>
      <c r="F1" s="18"/>
      <c r="G1" s="18"/>
      <c r="H1" s="18"/>
      <c r="I1" s="18"/>
    </row>
    <row r="2" spans="1:9" ht="18" customHeight="1" x14ac:dyDescent="0.55000000000000004">
      <c r="B2" s="46" t="str">
        <f>Tradingname</f>
        <v>Southern Cross Pipelines Australia Pty Limited</v>
      </c>
      <c r="C2" s="47"/>
      <c r="I2" s="42"/>
    </row>
    <row r="3" spans="1:9" ht="13.8" x14ac:dyDescent="0.25">
      <c r="B3" s="48" t="s">
        <v>157</v>
      </c>
      <c r="C3" s="49">
        <f>Yearending</f>
        <v>44742</v>
      </c>
    </row>
    <row r="4" spans="1:9" ht="12.75" customHeight="1" x14ac:dyDescent="0.4">
      <c r="B4" s="17"/>
      <c r="D4" s="40"/>
      <c r="G4" s="40"/>
    </row>
    <row r="5" spans="1:9" ht="15.6" x14ac:dyDescent="0.25">
      <c r="B5" s="511" t="s">
        <v>195</v>
      </c>
      <c r="C5" s="511"/>
      <c r="D5" s="511"/>
    </row>
    <row r="6" spans="1:9" x14ac:dyDescent="0.25">
      <c r="B6" s="21"/>
      <c r="C6" s="22"/>
      <c r="D6" s="23"/>
      <c r="E6" s="23"/>
      <c r="F6" s="23"/>
      <c r="G6" s="23"/>
      <c r="H6" s="23"/>
      <c r="I6" s="23"/>
    </row>
    <row r="7" spans="1:9" ht="30.75" customHeight="1" x14ac:dyDescent="0.25">
      <c r="B7" s="148"/>
      <c r="C7" s="148"/>
      <c r="D7" s="512" t="s">
        <v>201</v>
      </c>
      <c r="E7" s="513"/>
      <c r="F7" s="514"/>
      <c r="G7" s="512" t="s">
        <v>202</v>
      </c>
      <c r="H7" s="513"/>
      <c r="I7" s="514"/>
    </row>
    <row r="8" spans="1:9" ht="51" customHeight="1" x14ac:dyDescent="0.25">
      <c r="B8" s="147" t="s">
        <v>194</v>
      </c>
      <c r="C8" s="148" t="s">
        <v>17</v>
      </c>
      <c r="D8" s="445" t="s">
        <v>54</v>
      </c>
      <c r="E8" s="159" t="s">
        <v>55</v>
      </c>
      <c r="F8" s="159" t="s">
        <v>23</v>
      </c>
      <c r="G8" s="159" t="s">
        <v>54</v>
      </c>
      <c r="H8" s="159" t="s">
        <v>55</v>
      </c>
      <c r="I8" s="159" t="s">
        <v>23</v>
      </c>
    </row>
    <row r="9" spans="1:9" x14ac:dyDescent="0.25">
      <c r="B9" s="160"/>
      <c r="C9" s="161"/>
      <c r="D9" s="446" t="s">
        <v>159</v>
      </c>
      <c r="E9" s="162" t="s">
        <v>159</v>
      </c>
      <c r="F9" s="162" t="s">
        <v>159</v>
      </c>
      <c r="G9" s="162" t="s">
        <v>159</v>
      </c>
      <c r="H9" s="162" t="s">
        <v>159</v>
      </c>
      <c r="I9" s="162" t="s">
        <v>159</v>
      </c>
    </row>
    <row r="10" spans="1:9" x14ac:dyDescent="0.25">
      <c r="B10" s="168"/>
      <c r="C10" s="169" t="s">
        <v>42</v>
      </c>
      <c r="D10" s="443"/>
      <c r="E10" s="170"/>
      <c r="F10" s="170"/>
      <c r="G10" s="170"/>
      <c r="H10" s="170"/>
      <c r="I10" s="171"/>
    </row>
    <row r="11" spans="1:9" x14ac:dyDescent="0.25">
      <c r="B11" s="420" t="s">
        <v>564</v>
      </c>
      <c r="C11" s="164" t="s">
        <v>115</v>
      </c>
      <c r="D11" s="459">
        <f>'2.1 Revenue by service'!D21</f>
        <v>2728821.9</v>
      </c>
      <c r="E11" s="262">
        <f>'2.1 Revenue by service'!E21</f>
        <v>0</v>
      </c>
      <c r="F11" s="259">
        <f>SUM(D11:E11)</f>
        <v>2728821.9</v>
      </c>
      <c r="G11" s="262">
        <f>'2.1 Revenue by service'!G21</f>
        <v>2655228.5900000003</v>
      </c>
      <c r="H11" s="262">
        <f>'2.1 Revenue by service'!H21</f>
        <v>0</v>
      </c>
      <c r="I11" s="259">
        <f>SUM(G11:H11)</f>
        <v>2655228.5900000003</v>
      </c>
    </row>
    <row r="12" spans="1:9" x14ac:dyDescent="0.25">
      <c r="A12" s="261"/>
      <c r="B12" s="420"/>
      <c r="C12" s="336" t="s">
        <v>43</v>
      </c>
      <c r="D12" s="398">
        <f>'2.2 Revenue contributions '!C15</f>
        <v>0</v>
      </c>
      <c r="E12" s="259">
        <f>'2.2 Revenue contributions '!D15</f>
        <v>0</v>
      </c>
      <c r="F12" s="259">
        <f>SUM(D12:E12)</f>
        <v>0</v>
      </c>
      <c r="G12" s="260">
        <v>0</v>
      </c>
      <c r="H12" s="260">
        <v>0</v>
      </c>
      <c r="I12" s="259">
        <f>SUM(G12:H12)</f>
        <v>0</v>
      </c>
    </row>
    <row r="13" spans="1:9" x14ac:dyDescent="0.25">
      <c r="B13" s="420"/>
      <c r="C13" s="336" t="s">
        <v>232</v>
      </c>
      <c r="D13" s="398">
        <f>'2.2 Revenue contributions '!D27</f>
        <v>0</v>
      </c>
      <c r="E13" s="259"/>
      <c r="F13" s="259">
        <f>SUM(D13:E13)</f>
        <v>0</v>
      </c>
      <c r="G13" s="260">
        <v>0</v>
      </c>
      <c r="H13" s="259">
        <v>0</v>
      </c>
      <c r="I13" s="259">
        <f>SUM(G13:H13)</f>
        <v>0</v>
      </c>
    </row>
    <row r="14" spans="1:9" x14ac:dyDescent="0.25">
      <c r="B14" s="420"/>
      <c r="C14" s="336" t="s">
        <v>18</v>
      </c>
      <c r="D14" s="465">
        <v>0</v>
      </c>
      <c r="E14" s="260">
        <v>0</v>
      </c>
      <c r="F14" s="259">
        <f>SUM(D14:E14)</f>
        <v>0</v>
      </c>
      <c r="G14" s="260">
        <v>0</v>
      </c>
      <c r="H14" s="260">
        <v>0</v>
      </c>
      <c r="I14" s="259">
        <f>SUM(G14:H14)</f>
        <v>0</v>
      </c>
    </row>
    <row r="15" spans="1:9" x14ac:dyDescent="0.25">
      <c r="B15" s="420" t="s">
        <v>564</v>
      </c>
      <c r="C15" s="164" t="s">
        <v>45</v>
      </c>
      <c r="D15" s="455">
        <v>0</v>
      </c>
      <c r="E15" s="263">
        <v>0</v>
      </c>
      <c r="F15" s="262">
        <f>SUM(D15:E15)</f>
        <v>0</v>
      </c>
      <c r="G15" s="263">
        <v>0</v>
      </c>
      <c r="H15" s="263">
        <v>0</v>
      </c>
      <c r="I15" s="262">
        <f>SUM(G15:H15)</f>
        <v>0</v>
      </c>
    </row>
    <row r="16" spans="1:9" x14ac:dyDescent="0.25">
      <c r="B16" s="165"/>
      <c r="C16" s="166" t="s">
        <v>44</v>
      </c>
      <c r="D16" s="264">
        <f t="shared" ref="D16:I16" si="0">SUM(D11:D15)</f>
        <v>2728821.9</v>
      </c>
      <c r="E16" s="264">
        <f t="shared" si="0"/>
        <v>0</v>
      </c>
      <c r="F16" s="264">
        <f t="shared" si="0"/>
        <v>2728821.9</v>
      </c>
      <c r="G16" s="264">
        <f t="shared" si="0"/>
        <v>2655228.5900000003</v>
      </c>
      <c r="H16" s="264">
        <f t="shared" si="0"/>
        <v>0</v>
      </c>
      <c r="I16" s="264">
        <f t="shared" si="0"/>
        <v>2655228.5900000003</v>
      </c>
    </row>
    <row r="17" spans="2:9" x14ac:dyDescent="0.25">
      <c r="B17" s="168"/>
      <c r="C17" s="169" t="s">
        <v>50</v>
      </c>
      <c r="D17" s="466"/>
      <c r="E17" s="265"/>
      <c r="F17" s="265"/>
      <c r="G17" s="265"/>
      <c r="H17" s="265"/>
      <c r="I17" s="266"/>
    </row>
    <row r="18" spans="2:9" x14ac:dyDescent="0.25">
      <c r="B18" s="420" t="s">
        <v>564</v>
      </c>
      <c r="C18" s="164" t="s">
        <v>19</v>
      </c>
      <c r="D18" s="459">
        <f>'2.3 Indirect revenue'!G36</f>
        <v>0</v>
      </c>
      <c r="E18" s="262">
        <f>'2.3 Indirect revenue'!H36</f>
        <v>0</v>
      </c>
      <c r="F18" s="262">
        <f>SUM(D18:E18)</f>
        <v>0</v>
      </c>
      <c r="G18" s="263"/>
      <c r="H18" s="263"/>
      <c r="I18" s="262">
        <f>SUM(G18:H18)</f>
        <v>0</v>
      </c>
    </row>
    <row r="19" spans="2:9" x14ac:dyDescent="0.25">
      <c r="B19" s="165"/>
      <c r="C19" s="166" t="s">
        <v>46</v>
      </c>
      <c r="D19" s="264">
        <f t="shared" ref="D19:I19" si="1">SUM(D18:D18)</f>
        <v>0</v>
      </c>
      <c r="E19" s="264">
        <f t="shared" si="1"/>
        <v>0</v>
      </c>
      <c r="F19" s="264">
        <f t="shared" si="1"/>
        <v>0</v>
      </c>
      <c r="G19" s="264">
        <f t="shared" si="1"/>
        <v>0</v>
      </c>
      <c r="H19" s="264">
        <f t="shared" si="1"/>
        <v>0</v>
      </c>
      <c r="I19" s="264">
        <f t="shared" si="1"/>
        <v>0</v>
      </c>
    </row>
    <row r="20" spans="2:9" x14ac:dyDescent="0.25">
      <c r="B20" s="165"/>
      <c r="C20" s="166" t="s">
        <v>20</v>
      </c>
      <c r="D20" s="264">
        <f>D16+D19</f>
        <v>2728821.9</v>
      </c>
      <c r="E20" s="264">
        <f t="shared" ref="E20:I20" si="2">E16+E19</f>
        <v>0</v>
      </c>
      <c r="F20" s="264">
        <f t="shared" si="2"/>
        <v>2728821.9</v>
      </c>
      <c r="G20" s="264">
        <f t="shared" si="2"/>
        <v>2655228.5900000003</v>
      </c>
      <c r="H20" s="264">
        <f t="shared" si="2"/>
        <v>0</v>
      </c>
      <c r="I20" s="264">
        <f t="shared" si="2"/>
        <v>2655228.5900000003</v>
      </c>
    </row>
    <row r="21" spans="2:9" x14ac:dyDescent="0.25">
      <c r="B21" s="168"/>
      <c r="C21" s="169" t="s">
        <v>56</v>
      </c>
      <c r="D21" s="466"/>
      <c r="E21" s="265"/>
      <c r="F21" s="265"/>
      <c r="G21" s="265"/>
      <c r="H21" s="265"/>
      <c r="I21" s="266"/>
    </row>
    <row r="22" spans="2:9" x14ac:dyDescent="0.25">
      <c r="B22" s="420" t="s">
        <v>565</v>
      </c>
      <c r="C22" s="164" t="s">
        <v>117</v>
      </c>
      <c r="D22" s="455">
        <v>0</v>
      </c>
      <c r="E22" s="418">
        <v>0</v>
      </c>
      <c r="F22" s="262">
        <f t="shared" ref="F22:F29" si="3">SUM(D22:E22)</f>
        <v>0</v>
      </c>
      <c r="G22" s="263">
        <v>0</v>
      </c>
      <c r="H22" s="418">
        <v>0</v>
      </c>
      <c r="I22" s="262">
        <f t="shared" ref="I22:I27" si="4">SUM(G22:H22)</f>
        <v>0</v>
      </c>
    </row>
    <row r="23" spans="2:9" x14ac:dyDescent="0.25">
      <c r="B23" s="420" t="s">
        <v>565</v>
      </c>
      <c r="C23" s="164" t="s">
        <v>118</v>
      </c>
      <c r="D23" s="455">
        <v>-58259.803740275238</v>
      </c>
      <c r="E23" s="418">
        <v>0</v>
      </c>
      <c r="F23" s="262">
        <f t="shared" si="3"/>
        <v>-58259.803740275238</v>
      </c>
      <c r="G23" s="263">
        <v>-111807.63</v>
      </c>
      <c r="H23" s="418">
        <v>0</v>
      </c>
      <c r="I23" s="262">
        <f t="shared" si="4"/>
        <v>-111807.63</v>
      </c>
    </row>
    <row r="24" spans="2:9" x14ac:dyDescent="0.25">
      <c r="B24" s="420" t="s">
        <v>561</v>
      </c>
      <c r="C24" s="164" t="s">
        <v>21</v>
      </c>
      <c r="D24" s="455">
        <v>724350.04961080092</v>
      </c>
      <c r="E24" s="418">
        <v>0</v>
      </c>
      <c r="F24" s="262">
        <f t="shared" si="3"/>
        <v>724350.04961080092</v>
      </c>
      <c r="G24" s="263">
        <v>336537.97411443212</v>
      </c>
      <c r="H24" s="418">
        <v>0</v>
      </c>
      <c r="I24" s="262">
        <f t="shared" si="4"/>
        <v>336537.97411443212</v>
      </c>
    </row>
    <row r="25" spans="2:9" x14ac:dyDescent="0.25">
      <c r="B25" s="420" t="s">
        <v>565</v>
      </c>
      <c r="C25" s="164" t="s">
        <v>47</v>
      </c>
      <c r="D25" s="455">
        <v>0</v>
      </c>
      <c r="E25" s="418">
        <v>0</v>
      </c>
      <c r="F25" s="262">
        <f t="shared" si="3"/>
        <v>0</v>
      </c>
      <c r="G25" s="263">
        <v>0</v>
      </c>
      <c r="H25" s="418">
        <v>0</v>
      </c>
      <c r="I25" s="262">
        <f t="shared" si="4"/>
        <v>0</v>
      </c>
    </row>
    <row r="26" spans="2:9" x14ac:dyDescent="0.25">
      <c r="B26" s="420" t="s">
        <v>565</v>
      </c>
      <c r="C26" s="164" t="s">
        <v>48</v>
      </c>
      <c r="D26" s="455">
        <v>-10456.280000000001</v>
      </c>
      <c r="E26" s="418">
        <v>0</v>
      </c>
      <c r="F26" s="262">
        <f t="shared" si="3"/>
        <v>-10456.280000000001</v>
      </c>
      <c r="G26" s="263">
        <v>-10539.61</v>
      </c>
      <c r="H26" s="418">
        <v>0</v>
      </c>
      <c r="I26" s="262">
        <f t="shared" si="4"/>
        <v>-10539.61</v>
      </c>
    </row>
    <row r="27" spans="2:9" x14ac:dyDescent="0.25">
      <c r="B27" s="420" t="s">
        <v>565</v>
      </c>
      <c r="C27" s="164" t="s">
        <v>49</v>
      </c>
      <c r="D27" s="455">
        <v>0</v>
      </c>
      <c r="E27" s="418">
        <v>0</v>
      </c>
      <c r="F27" s="262">
        <f t="shared" si="3"/>
        <v>0</v>
      </c>
      <c r="G27" s="263">
        <v>0</v>
      </c>
      <c r="H27" s="418">
        <v>0</v>
      </c>
      <c r="I27" s="262">
        <f t="shared" si="4"/>
        <v>0</v>
      </c>
    </row>
    <row r="28" spans="2:9" x14ac:dyDescent="0.25">
      <c r="B28" s="420" t="s">
        <v>565</v>
      </c>
      <c r="C28" s="164" t="s">
        <v>62</v>
      </c>
      <c r="D28" s="455">
        <v>0</v>
      </c>
      <c r="E28" s="418">
        <v>0</v>
      </c>
      <c r="F28" s="262">
        <f>SUM(D28:E28)</f>
        <v>0</v>
      </c>
      <c r="G28" s="263">
        <v>0</v>
      </c>
      <c r="H28" s="418">
        <v>0</v>
      </c>
      <c r="I28" s="262">
        <f>SUM(G28:H28)</f>
        <v>0</v>
      </c>
    </row>
    <row r="29" spans="2:9" x14ac:dyDescent="0.25">
      <c r="B29" s="420" t="s">
        <v>565</v>
      </c>
      <c r="C29" s="167" t="s">
        <v>59</v>
      </c>
      <c r="D29" s="455">
        <v>-245543.71</v>
      </c>
      <c r="E29" s="418">
        <v>0</v>
      </c>
      <c r="F29" s="262">
        <f t="shared" si="3"/>
        <v>-245543.71</v>
      </c>
      <c r="G29" s="263">
        <v>-201619.92</v>
      </c>
      <c r="H29" s="418">
        <v>0</v>
      </c>
      <c r="I29" s="262">
        <f>SUM(G29:H29)</f>
        <v>-201619.92</v>
      </c>
    </row>
    <row r="30" spans="2:9" x14ac:dyDescent="0.25">
      <c r="B30" s="165"/>
      <c r="C30" s="166" t="s">
        <v>57</v>
      </c>
      <c r="D30" s="264">
        <f t="shared" ref="D30:H30" si="5">SUM(D22:D29)</f>
        <v>410090.25587052573</v>
      </c>
      <c r="E30" s="264">
        <f t="shared" si="5"/>
        <v>0</v>
      </c>
      <c r="F30" s="264">
        <f t="shared" si="5"/>
        <v>410090.25587052573</v>
      </c>
      <c r="G30" s="264">
        <f t="shared" si="5"/>
        <v>12570.814114432113</v>
      </c>
      <c r="H30" s="264">
        <f t="shared" si="5"/>
        <v>0</v>
      </c>
      <c r="I30" s="264">
        <f>SUM(I22:I29)</f>
        <v>12570.814114432113</v>
      </c>
    </row>
    <row r="31" spans="2:9" x14ac:dyDescent="0.25">
      <c r="B31" s="168"/>
      <c r="C31" s="169" t="s">
        <v>140</v>
      </c>
      <c r="D31" s="444"/>
      <c r="E31" s="265"/>
      <c r="F31" s="265"/>
      <c r="G31" s="265"/>
      <c r="H31" s="265"/>
      <c r="I31" s="266"/>
    </row>
    <row r="32" spans="2:9" x14ac:dyDescent="0.25">
      <c r="B32" s="163"/>
      <c r="C32" s="164" t="s">
        <v>51</v>
      </c>
      <c r="D32" s="459">
        <f>SUMIF('2.4 Shared costs'!$C$9:$C$35,'2. Revenues and expenses'!$C32,'2.4 Shared costs'!$H$9:$H$35)</f>
        <v>0</v>
      </c>
      <c r="E32" s="262">
        <f>SUMIF('2.4 Shared costs'!$C$9:$C$35,'2. Revenues and expenses'!$C32,'2.4 Shared costs'!$I$9:$I$35)</f>
        <v>0</v>
      </c>
      <c r="F32" s="262">
        <f t="shared" ref="F32:F40" si="6">SUM(D32:E32)</f>
        <v>0</v>
      </c>
      <c r="G32" s="418">
        <v>0</v>
      </c>
      <c r="H32" s="418">
        <v>0</v>
      </c>
      <c r="I32" s="262">
        <f t="shared" ref="I32:I40" si="7">SUM(G32:H32)</f>
        <v>0</v>
      </c>
    </row>
    <row r="33" spans="2:9" x14ac:dyDescent="0.25">
      <c r="B33" s="163"/>
      <c r="C33" s="164" t="s">
        <v>60</v>
      </c>
      <c r="D33" s="459">
        <f>SUMIF('2.4 Shared costs'!$C$9:$C$35,'2. Revenues and expenses'!$C33,'2.4 Shared costs'!$H$9:$H$35)</f>
        <v>0</v>
      </c>
      <c r="E33" s="262">
        <f>SUMIF('2.4 Shared costs'!$C$9:$C$35,'2. Revenues and expenses'!$C33,'2.4 Shared costs'!$I$9:$I$35)</f>
        <v>0</v>
      </c>
      <c r="F33" s="262">
        <f t="shared" si="6"/>
        <v>0</v>
      </c>
      <c r="G33" s="418">
        <v>0</v>
      </c>
      <c r="H33" s="418">
        <v>0</v>
      </c>
      <c r="I33" s="262">
        <f t="shared" si="7"/>
        <v>0</v>
      </c>
    </row>
    <row r="34" spans="2:9" x14ac:dyDescent="0.25">
      <c r="B34" s="163"/>
      <c r="C34" s="337" t="s">
        <v>353</v>
      </c>
      <c r="D34" s="459">
        <f>SUMIF('2.4 Shared costs'!$C$9:$C$35,'2. Revenues and expenses'!$C34,'2.4 Shared costs'!$H$9:$H$35)</f>
        <v>0</v>
      </c>
      <c r="E34" s="262">
        <f>SUMIF('2.4 Shared costs'!$C$9:$C$35,'2. Revenues and expenses'!$C34,'2.4 Shared costs'!$I$9:$I$35)</f>
        <v>0</v>
      </c>
      <c r="F34" s="262">
        <f t="shared" si="6"/>
        <v>0</v>
      </c>
      <c r="G34" s="418">
        <v>0</v>
      </c>
      <c r="H34" s="418">
        <v>0</v>
      </c>
      <c r="I34" s="262">
        <f t="shared" si="7"/>
        <v>0</v>
      </c>
    </row>
    <row r="35" spans="2:9" x14ac:dyDescent="0.25">
      <c r="B35" s="420" t="s">
        <v>561</v>
      </c>
      <c r="C35" s="167" t="s">
        <v>52</v>
      </c>
      <c r="D35" s="459">
        <f>SUMIF('2.4 Shared costs'!$C$9:$C$35,'2. Revenues and expenses'!$C35,'2.4 Shared costs'!$H$9:$H$35)</f>
        <v>-39200.669015814274</v>
      </c>
      <c r="E35" s="262">
        <f>SUMIF('2.4 Shared costs'!$C$9:$C$35,'2. Revenues and expenses'!$C35,'2.4 Shared costs'!$I$9:$I$35)</f>
        <v>0</v>
      </c>
      <c r="F35" s="262">
        <f t="shared" si="6"/>
        <v>-39200.669015814274</v>
      </c>
      <c r="G35" s="419">
        <v>-32550.248100697696</v>
      </c>
      <c r="H35" s="418">
        <v>0</v>
      </c>
      <c r="I35" s="262">
        <f t="shared" si="7"/>
        <v>-32550.248100697696</v>
      </c>
    </row>
    <row r="36" spans="2:9" x14ac:dyDescent="0.25">
      <c r="B36" s="163"/>
      <c r="C36" s="167" t="s">
        <v>61</v>
      </c>
      <c r="D36" s="459">
        <f>SUMIF('2.4 Shared costs'!$C$9:$C$35,'2. Revenues and expenses'!$C36,'2.4 Shared costs'!$H$9:$H$35)</f>
        <v>0</v>
      </c>
      <c r="E36" s="262">
        <f>SUMIF('2.4 Shared costs'!$C$9:$C$35,'2. Revenues and expenses'!$C36,'2.4 Shared costs'!$I$9:$I$35)</f>
        <v>0</v>
      </c>
      <c r="F36" s="262">
        <f t="shared" si="6"/>
        <v>0</v>
      </c>
      <c r="G36" s="418">
        <v>0</v>
      </c>
      <c r="H36" s="418">
        <v>0</v>
      </c>
      <c r="I36" s="262">
        <f t="shared" si="7"/>
        <v>0</v>
      </c>
    </row>
    <row r="37" spans="2:9" x14ac:dyDescent="0.25">
      <c r="B37" s="420" t="s">
        <v>562</v>
      </c>
      <c r="C37" s="164" t="s">
        <v>119</v>
      </c>
      <c r="D37" s="459">
        <f>SUMIF('2.4 Shared costs'!$C$9:$C$35,'2. Revenues and expenses'!$C37,'2.4 Shared costs'!$H$9:$H$35)</f>
        <v>-9958.7135716321081</v>
      </c>
      <c r="E37" s="262">
        <f>SUMIF('2.4 Shared costs'!$C$9:$C$35,'2. Revenues and expenses'!$C37,'2.4 Shared costs'!$I$9:$I$35)</f>
        <v>0</v>
      </c>
      <c r="F37" s="262">
        <f t="shared" si="6"/>
        <v>-9958.7135716321081</v>
      </c>
      <c r="G37" s="419">
        <v>-9601.1284129728301</v>
      </c>
      <c r="H37" s="418">
        <v>0</v>
      </c>
      <c r="I37" s="262">
        <f t="shared" si="7"/>
        <v>-9601.1284129728301</v>
      </c>
    </row>
    <row r="38" spans="2:9" x14ac:dyDescent="0.25">
      <c r="B38" s="420"/>
      <c r="C38" s="164" t="s">
        <v>53</v>
      </c>
      <c r="D38" s="459">
        <f>SUMIF('2.4 Shared costs'!$C$9:$C$35,'2. Revenues and expenses'!$C38,'2.4 Shared costs'!$H$9:$H$35)</f>
        <v>0</v>
      </c>
      <c r="E38" s="262">
        <f>SUMIF('2.4 Shared costs'!$C$9:$C$35,'2. Revenues and expenses'!$C38,'2.4 Shared costs'!$I$9:$I$35)</f>
        <v>0</v>
      </c>
      <c r="F38" s="262">
        <f t="shared" si="6"/>
        <v>0</v>
      </c>
      <c r="G38" s="418">
        <v>0</v>
      </c>
      <c r="H38" s="418">
        <v>0</v>
      </c>
      <c r="I38" s="262">
        <f t="shared" si="7"/>
        <v>0</v>
      </c>
    </row>
    <row r="39" spans="2:9" x14ac:dyDescent="0.25">
      <c r="B39" s="420"/>
      <c r="C39" s="337" t="s">
        <v>354</v>
      </c>
      <c r="D39" s="459">
        <f>SUMIF('2.4 Shared costs'!$C$9:$C$35,'2. Revenues and expenses'!$C39,'2.4 Shared costs'!$H$9:$H$35)</f>
        <v>0</v>
      </c>
      <c r="E39" s="262">
        <f>SUMIF('2.4 Shared costs'!$C$9:$C$35,'2. Revenues and expenses'!$C39,'2.4 Shared costs'!$I$9:$I$35)</f>
        <v>0</v>
      </c>
      <c r="F39" s="262">
        <f t="shared" si="6"/>
        <v>0</v>
      </c>
      <c r="G39" s="418">
        <v>0</v>
      </c>
      <c r="H39" s="418">
        <v>0</v>
      </c>
      <c r="I39" s="262">
        <f t="shared" si="7"/>
        <v>0</v>
      </c>
    </row>
    <row r="40" spans="2:9" x14ac:dyDescent="0.25">
      <c r="B40" s="420" t="s">
        <v>560</v>
      </c>
      <c r="C40" s="167" t="s">
        <v>154</v>
      </c>
      <c r="D40" s="459">
        <f>SUMIF('2.4 Shared costs'!$C$9:$C$35,'2. Revenues and expenses'!$C40,'2.4 Shared costs'!$H$9:$H$35)</f>
        <v>-203145.66264009572</v>
      </c>
      <c r="E40" s="262">
        <f>SUMIF('2.4 Shared costs'!$C$9:$C$35,'2. Revenues and expenses'!$C40,'2.4 Shared costs'!$I$9:$I$35)</f>
        <v>0</v>
      </c>
      <c r="F40" s="262">
        <f t="shared" si="6"/>
        <v>-203145.66264009572</v>
      </c>
      <c r="G40" s="419">
        <v>-186883.90055001056</v>
      </c>
      <c r="H40" s="418">
        <v>0</v>
      </c>
      <c r="I40" s="262">
        <f t="shared" si="7"/>
        <v>-186883.90055001056</v>
      </c>
    </row>
    <row r="41" spans="2:9" x14ac:dyDescent="0.25">
      <c r="B41" s="165"/>
      <c r="C41" s="166" t="s">
        <v>155</v>
      </c>
      <c r="D41" s="264">
        <f>SUM(D32:D40)</f>
        <v>-252305.04522754211</v>
      </c>
      <c r="E41" s="264">
        <f t="shared" ref="E41:F41" si="8">SUM(E32:E40)</f>
        <v>0</v>
      </c>
      <c r="F41" s="264">
        <f t="shared" si="8"/>
        <v>-252305.04522754211</v>
      </c>
      <c r="G41" s="264">
        <f>SUM(G32:G40)</f>
        <v>-229035.27706368107</v>
      </c>
      <c r="H41" s="264">
        <f>SUM(H32:H40)</f>
        <v>0</v>
      </c>
      <c r="I41" s="264">
        <f>SUM(I32:I40)</f>
        <v>-229035.27706368107</v>
      </c>
    </row>
    <row r="42" spans="2:9" x14ac:dyDescent="0.25">
      <c r="B42" s="165"/>
      <c r="C42" s="166" t="s">
        <v>58</v>
      </c>
      <c r="D42" s="264">
        <f>D30+D41</f>
        <v>157785.21064298361</v>
      </c>
      <c r="E42" s="264">
        <f t="shared" ref="E42" si="9">E30+E41</f>
        <v>0</v>
      </c>
      <c r="F42" s="264">
        <f>F30+F41</f>
        <v>157785.21064298361</v>
      </c>
      <c r="G42" s="264">
        <f>G30+G41</f>
        <v>-216464.46294924896</v>
      </c>
      <c r="H42" s="264">
        <f>H30+H41</f>
        <v>0</v>
      </c>
      <c r="I42" s="264">
        <f>I30+I41</f>
        <v>-216464.46294924896</v>
      </c>
    </row>
    <row r="43" spans="2:9" x14ac:dyDescent="0.25">
      <c r="B43" s="163"/>
      <c r="C43" s="166" t="s">
        <v>87</v>
      </c>
      <c r="D43" s="459">
        <f t="shared" ref="D43:I43" si="10">D20+D42</f>
        <v>2886607.1106429836</v>
      </c>
      <c r="E43" s="262">
        <f t="shared" si="10"/>
        <v>0</v>
      </c>
      <c r="F43" s="262">
        <f>F20+F42</f>
        <v>2886607.1106429836</v>
      </c>
      <c r="G43" s="262">
        <f>G20+G42</f>
        <v>2438764.1270507514</v>
      </c>
      <c r="H43" s="262">
        <f t="shared" si="10"/>
        <v>0</v>
      </c>
      <c r="I43" s="262">
        <f t="shared" si="10"/>
        <v>2438764.1270507514</v>
      </c>
    </row>
  </sheetData>
  <mergeCells count="4">
    <mergeCell ref="B5:D5"/>
    <mergeCell ref="D7:F7"/>
    <mergeCell ref="G7:I7"/>
    <mergeCell ref="B1:D1"/>
  </mergeCells>
  <phoneticPr fontId="27" type="noConversion"/>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pageSetUpPr fitToPage="1"/>
  </sheetPr>
  <dimension ref="B1:I22"/>
  <sheetViews>
    <sheetView zoomScale="80" zoomScaleNormal="80" workbookViewId="0"/>
  </sheetViews>
  <sheetFormatPr defaultColWidth="9" defaultRowHeight="13.2" x14ac:dyDescent="0.25"/>
  <cols>
    <col min="1" max="1" width="11.8984375" style="19" customWidth="1"/>
    <col min="2" max="2" width="16.3984375" style="19" customWidth="1"/>
    <col min="3" max="3" width="43.3984375" style="19" customWidth="1"/>
    <col min="4" max="9" width="20.59765625" style="19" customWidth="1"/>
    <col min="10" max="16384" width="9" style="19"/>
  </cols>
  <sheetData>
    <row r="1" spans="2:9" ht="21" x14ac:dyDescent="0.4">
      <c r="B1" s="515" t="s">
        <v>125</v>
      </c>
      <c r="C1" s="515"/>
      <c r="D1" s="18"/>
      <c r="E1" s="18"/>
      <c r="F1" s="18"/>
      <c r="G1" s="18"/>
      <c r="H1" s="18"/>
      <c r="I1" s="18"/>
    </row>
    <row r="2" spans="2:9" ht="16.5" customHeight="1" x14ac:dyDescent="0.55000000000000004">
      <c r="B2" s="46" t="str">
        <f>Tradingname</f>
        <v>Southern Cross Pipelines Australia Pty Limited</v>
      </c>
      <c r="C2" s="47"/>
      <c r="I2" s="42"/>
    </row>
    <row r="3" spans="2:9" ht="13.8" x14ac:dyDescent="0.25">
      <c r="B3" s="48" t="s">
        <v>157</v>
      </c>
      <c r="C3" s="49">
        <f>Yearending</f>
        <v>44742</v>
      </c>
    </row>
    <row r="4" spans="2:9" ht="12.75" customHeight="1" x14ac:dyDescent="0.4">
      <c r="B4" s="17"/>
      <c r="D4" s="40"/>
      <c r="G4" s="40"/>
    </row>
    <row r="5" spans="2:9" ht="15.6" x14ac:dyDescent="0.25">
      <c r="B5" s="511" t="s">
        <v>162</v>
      </c>
      <c r="C5" s="511"/>
      <c r="D5" s="511"/>
    </row>
    <row r="6" spans="2:9" x14ac:dyDescent="0.25">
      <c r="B6" s="21"/>
      <c r="C6" s="22"/>
      <c r="D6" s="23"/>
      <c r="E6" s="23"/>
      <c r="F6" s="23"/>
      <c r="G6" s="23"/>
      <c r="H6" s="23"/>
      <c r="I6" s="23"/>
    </row>
    <row r="7" spans="2:9" ht="21" customHeight="1" x14ac:dyDescent="0.25">
      <c r="B7" s="148"/>
      <c r="C7" s="148"/>
      <c r="D7" s="512" t="s">
        <v>201</v>
      </c>
      <c r="E7" s="513"/>
      <c r="F7" s="514"/>
      <c r="G7" s="512" t="s">
        <v>202</v>
      </c>
      <c r="H7" s="513"/>
      <c r="I7" s="514"/>
    </row>
    <row r="8" spans="2:9" ht="51" customHeight="1" x14ac:dyDescent="0.25">
      <c r="B8" s="147" t="s">
        <v>194</v>
      </c>
      <c r="C8" s="148" t="s">
        <v>17</v>
      </c>
      <c r="D8" s="159" t="s">
        <v>54</v>
      </c>
      <c r="E8" s="159" t="s">
        <v>55</v>
      </c>
      <c r="F8" s="159" t="s">
        <v>23</v>
      </c>
      <c r="G8" s="159" t="s">
        <v>54</v>
      </c>
      <c r="H8" s="159" t="s">
        <v>55</v>
      </c>
      <c r="I8" s="159" t="s">
        <v>23</v>
      </c>
    </row>
    <row r="9" spans="2:9" ht="15.75" customHeight="1" x14ac:dyDescent="0.25">
      <c r="B9" s="147"/>
      <c r="C9" s="148"/>
      <c r="D9" s="162" t="s">
        <v>159</v>
      </c>
      <c r="E9" s="162" t="s">
        <v>159</v>
      </c>
      <c r="F9" s="162" t="s">
        <v>159</v>
      </c>
      <c r="G9" s="162" t="s">
        <v>159</v>
      </c>
      <c r="H9" s="162" t="s">
        <v>159</v>
      </c>
      <c r="I9" s="162" t="s">
        <v>159</v>
      </c>
    </row>
    <row r="10" spans="2:9" x14ac:dyDescent="0.25">
      <c r="B10" s="175"/>
      <c r="C10" s="169" t="s">
        <v>125</v>
      </c>
      <c r="D10" s="170"/>
      <c r="E10" s="170"/>
      <c r="F10" s="170"/>
      <c r="G10" s="170"/>
      <c r="H10" s="170"/>
      <c r="I10" s="171"/>
    </row>
    <row r="11" spans="2:9" x14ac:dyDescent="0.25">
      <c r="B11" s="420" t="s">
        <v>564</v>
      </c>
      <c r="C11" s="164" t="s">
        <v>151</v>
      </c>
      <c r="D11" s="455">
        <v>2656755.2000000002</v>
      </c>
      <c r="E11" s="263">
        <v>0</v>
      </c>
      <c r="F11" s="262">
        <f t="shared" ref="F11:F20" si="0">SUM(D11:E11)</f>
        <v>2656755.2000000002</v>
      </c>
      <c r="G11" s="263">
        <v>2622806.4700000002</v>
      </c>
      <c r="H11" s="263">
        <v>0</v>
      </c>
      <c r="I11" s="262">
        <f>SUM(G11:H11)</f>
        <v>2622806.4700000002</v>
      </c>
    </row>
    <row r="12" spans="2:9" x14ac:dyDescent="0.25">
      <c r="B12" s="420" t="s">
        <v>564</v>
      </c>
      <c r="C12" s="164" t="s">
        <v>139</v>
      </c>
      <c r="D12" s="455">
        <v>71517.399999999994</v>
      </c>
      <c r="E12" s="263">
        <v>0</v>
      </c>
      <c r="F12" s="262">
        <f t="shared" si="0"/>
        <v>71517.399999999994</v>
      </c>
      <c r="G12" s="263">
        <v>32272.329999999998</v>
      </c>
      <c r="H12" s="263">
        <v>0</v>
      </c>
      <c r="I12" s="262">
        <f t="shared" ref="I12:I20" si="1">SUM(G12:H12)</f>
        <v>32272.329999999998</v>
      </c>
    </row>
    <row r="13" spans="2:9" x14ac:dyDescent="0.25">
      <c r="B13" s="172"/>
      <c r="C13" s="164" t="s">
        <v>73</v>
      </c>
      <c r="D13" s="455">
        <v>0</v>
      </c>
      <c r="E13" s="263">
        <v>0</v>
      </c>
      <c r="F13" s="262">
        <f t="shared" si="0"/>
        <v>0</v>
      </c>
      <c r="G13" s="263">
        <v>0</v>
      </c>
      <c r="H13" s="263">
        <v>0</v>
      </c>
      <c r="I13" s="262">
        <f t="shared" si="1"/>
        <v>0</v>
      </c>
    </row>
    <row r="14" spans="2:9" x14ac:dyDescent="0.25">
      <c r="B14" s="172"/>
      <c r="C14" s="164" t="s">
        <v>205</v>
      </c>
      <c r="D14" s="455">
        <v>0</v>
      </c>
      <c r="E14" s="263">
        <v>0</v>
      </c>
      <c r="F14" s="262">
        <f t="shared" si="0"/>
        <v>0</v>
      </c>
      <c r="G14" s="263">
        <v>0</v>
      </c>
      <c r="H14" s="263">
        <v>0</v>
      </c>
      <c r="I14" s="262">
        <f t="shared" si="1"/>
        <v>0</v>
      </c>
    </row>
    <row r="15" spans="2:9" ht="26.4" x14ac:dyDescent="0.25">
      <c r="B15" s="172"/>
      <c r="C15" s="173" t="s">
        <v>206</v>
      </c>
      <c r="D15" s="455">
        <v>0</v>
      </c>
      <c r="E15" s="263">
        <v>0</v>
      </c>
      <c r="F15" s="262">
        <f t="shared" si="0"/>
        <v>0</v>
      </c>
      <c r="G15" s="263">
        <v>0</v>
      </c>
      <c r="H15" s="263">
        <v>0</v>
      </c>
      <c r="I15" s="262">
        <f t="shared" si="1"/>
        <v>0</v>
      </c>
    </row>
    <row r="16" spans="2:9" x14ac:dyDescent="0.25">
      <c r="B16" s="172"/>
      <c r="C16" s="337" t="s">
        <v>355</v>
      </c>
      <c r="D16" s="455">
        <v>0</v>
      </c>
      <c r="E16" s="263">
        <v>0</v>
      </c>
      <c r="F16" s="262">
        <f t="shared" si="0"/>
        <v>0</v>
      </c>
      <c r="G16" s="263">
        <v>0</v>
      </c>
      <c r="H16" s="263">
        <v>0</v>
      </c>
      <c r="I16" s="262">
        <f t="shared" si="1"/>
        <v>0</v>
      </c>
    </row>
    <row r="17" spans="2:9" x14ac:dyDescent="0.25">
      <c r="B17" s="172"/>
      <c r="C17" s="337" t="s">
        <v>356</v>
      </c>
      <c r="D17" s="455">
        <v>0</v>
      </c>
      <c r="E17" s="263">
        <v>0</v>
      </c>
      <c r="F17" s="262">
        <f t="shared" si="0"/>
        <v>0</v>
      </c>
      <c r="G17" s="263">
        <v>0</v>
      </c>
      <c r="H17" s="263">
        <v>0</v>
      </c>
      <c r="I17" s="262">
        <f t="shared" si="1"/>
        <v>0</v>
      </c>
    </row>
    <row r="18" spans="2:9" x14ac:dyDescent="0.25">
      <c r="B18" s="172"/>
      <c r="C18" s="164" t="s">
        <v>74</v>
      </c>
      <c r="D18" s="455">
        <v>0</v>
      </c>
      <c r="E18" s="263">
        <v>0</v>
      </c>
      <c r="F18" s="262">
        <f t="shared" si="0"/>
        <v>0</v>
      </c>
      <c r="G18" s="263">
        <v>0</v>
      </c>
      <c r="H18" s="263">
        <v>0</v>
      </c>
      <c r="I18" s="262">
        <f t="shared" si="1"/>
        <v>0</v>
      </c>
    </row>
    <row r="19" spans="2:9" x14ac:dyDescent="0.25">
      <c r="B19" s="172"/>
      <c r="C19" s="164" t="s">
        <v>75</v>
      </c>
      <c r="D19" s="455">
        <v>0</v>
      </c>
      <c r="E19" s="263">
        <v>0</v>
      </c>
      <c r="F19" s="262">
        <f t="shared" si="0"/>
        <v>0</v>
      </c>
      <c r="G19" s="263">
        <v>0</v>
      </c>
      <c r="H19" s="263">
        <v>0</v>
      </c>
      <c r="I19" s="262">
        <f t="shared" si="1"/>
        <v>0</v>
      </c>
    </row>
    <row r="20" spans="2:9" x14ac:dyDescent="0.25">
      <c r="B20" s="420" t="s">
        <v>564</v>
      </c>
      <c r="C20" s="337" t="s">
        <v>357</v>
      </c>
      <c r="D20" s="455">
        <v>549.29999999999995</v>
      </c>
      <c r="E20" s="263">
        <v>0</v>
      </c>
      <c r="F20" s="262">
        <f t="shared" si="0"/>
        <v>549.29999999999995</v>
      </c>
      <c r="G20" s="263">
        <v>149.79</v>
      </c>
      <c r="H20" s="263">
        <v>0</v>
      </c>
      <c r="I20" s="262">
        <f t="shared" si="1"/>
        <v>149.79</v>
      </c>
    </row>
    <row r="21" spans="2:9" x14ac:dyDescent="0.25">
      <c r="B21" s="174"/>
      <c r="C21" s="364" t="s">
        <v>115</v>
      </c>
      <c r="D21" s="264">
        <f t="shared" ref="D21:I21" si="2">SUM(D11:D20)</f>
        <v>2728821.9</v>
      </c>
      <c r="E21" s="264">
        <f t="shared" si="2"/>
        <v>0</v>
      </c>
      <c r="F21" s="264">
        <f t="shared" si="2"/>
        <v>2728821.9</v>
      </c>
      <c r="G21" s="264">
        <f>SUM(G11:G20)</f>
        <v>2655228.5900000003</v>
      </c>
      <c r="H21" s="264">
        <f t="shared" si="2"/>
        <v>0</v>
      </c>
      <c r="I21" s="264">
        <f t="shared" si="2"/>
        <v>2655228.5900000003</v>
      </c>
    </row>
    <row r="22" spans="2:9" x14ac:dyDescent="0.25">
      <c r="B22" s="40"/>
    </row>
  </sheetData>
  <mergeCells count="4">
    <mergeCell ref="B1:C1"/>
    <mergeCell ref="B5:D5"/>
    <mergeCell ref="D7:F7"/>
    <mergeCell ref="G7:I7"/>
  </mergeCells>
  <pageMargins left="0.23622047244094491" right="0.23622047244094491" top="0.74803149606299213" bottom="0.74803149606299213" header="0.31496062992125984" footer="0.31496062992125984"/>
  <pageSetup paperSize="9" scale="78" orientation="landscape" r:id="rId1"/>
  <headerFooter alignWithMargins="0">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9999"/>
    <pageSetUpPr fitToPage="1"/>
  </sheetPr>
  <dimension ref="B1:J27"/>
  <sheetViews>
    <sheetView zoomScale="80" zoomScaleNormal="80" workbookViewId="0"/>
  </sheetViews>
  <sheetFormatPr defaultColWidth="9" defaultRowHeight="13.2" x14ac:dyDescent="0.25"/>
  <cols>
    <col min="1" max="1" width="11.8984375" style="19" customWidth="1"/>
    <col min="2" max="2" width="37.5" style="19" customWidth="1"/>
    <col min="3" max="3" width="42.69921875" style="19" customWidth="1"/>
    <col min="4" max="5" width="27.19921875" style="19" customWidth="1"/>
    <col min="6" max="6" width="5.69921875" style="19" customWidth="1"/>
    <col min="7" max="7" width="6.59765625" style="19" customWidth="1"/>
    <col min="8" max="10" width="19.69921875" style="19" customWidth="1"/>
    <col min="11" max="11" width="18.19921875" style="19" customWidth="1"/>
    <col min="12" max="16384" width="9" style="19"/>
  </cols>
  <sheetData>
    <row r="1" spans="2:10" ht="21" x14ac:dyDescent="0.4">
      <c r="B1" s="20" t="s">
        <v>172</v>
      </c>
      <c r="C1" s="18"/>
      <c r="D1" s="18"/>
      <c r="E1" s="18"/>
      <c r="F1" s="18"/>
      <c r="G1" s="18"/>
      <c r="H1" s="18"/>
      <c r="I1" s="18"/>
      <c r="J1" s="18"/>
    </row>
    <row r="2" spans="2:10" ht="15.75" customHeight="1" x14ac:dyDescent="0.25">
      <c r="B2" s="46" t="str">
        <f>Tradingname</f>
        <v>Southern Cross Pipelines Australia Pty Limited</v>
      </c>
      <c r="C2" s="47"/>
    </row>
    <row r="3" spans="2:10" ht="18.75" customHeight="1" x14ac:dyDescent="0.55000000000000004">
      <c r="B3" s="48" t="s">
        <v>157</v>
      </c>
      <c r="C3" s="49">
        <f>Yearending</f>
        <v>44742</v>
      </c>
      <c r="F3" s="42"/>
    </row>
    <row r="4" spans="2:10" ht="21" x14ac:dyDescent="0.4">
      <c r="B4" s="17"/>
    </row>
    <row r="5" spans="2:10" ht="15.6" x14ac:dyDescent="0.3">
      <c r="B5" s="28" t="s">
        <v>163</v>
      </c>
    </row>
    <row r="6" spans="2:10" x14ac:dyDescent="0.25">
      <c r="B6" s="21"/>
      <c r="C6" s="24"/>
      <c r="D6" s="24"/>
      <c r="E6" s="24"/>
      <c r="F6" s="24"/>
      <c r="G6" s="25"/>
      <c r="H6" s="29"/>
      <c r="I6" s="26"/>
      <c r="J6" s="26"/>
    </row>
    <row r="7" spans="2:10" ht="39" customHeight="1" x14ac:dyDescent="0.25">
      <c r="B7" s="176" t="s">
        <v>17</v>
      </c>
      <c r="C7" s="159" t="s">
        <v>54</v>
      </c>
      <c r="D7" s="159" t="s">
        <v>55</v>
      </c>
      <c r="E7" s="159" t="s">
        <v>23</v>
      </c>
    </row>
    <row r="8" spans="2:10" ht="13.5" customHeight="1" x14ac:dyDescent="0.25">
      <c r="B8" s="147"/>
      <c r="C8" s="162" t="s">
        <v>159</v>
      </c>
      <c r="D8" s="162" t="s">
        <v>159</v>
      </c>
      <c r="E8" s="162" t="s">
        <v>159</v>
      </c>
    </row>
    <row r="9" spans="2:10" ht="13.5" customHeight="1" x14ac:dyDescent="0.25">
      <c r="B9" s="417" t="s">
        <v>563</v>
      </c>
      <c r="C9" s="267">
        <v>0</v>
      </c>
      <c r="D9" s="268"/>
      <c r="E9" s="264">
        <f t="shared" ref="E9:E14" si="0">SUM(C9:D9)</f>
        <v>0</v>
      </c>
    </row>
    <row r="10" spans="2:10" ht="13.5" customHeight="1" x14ac:dyDescent="0.25">
      <c r="B10" s="231"/>
      <c r="C10" s="267"/>
      <c r="D10" s="268"/>
      <c r="E10" s="264">
        <f t="shared" si="0"/>
        <v>0</v>
      </c>
    </row>
    <row r="11" spans="2:10" ht="13.5" customHeight="1" x14ac:dyDescent="0.25">
      <c r="B11" s="231"/>
      <c r="C11" s="267"/>
      <c r="D11" s="268"/>
      <c r="E11" s="264">
        <f t="shared" si="0"/>
        <v>0</v>
      </c>
    </row>
    <row r="12" spans="2:10" ht="13.5" customHeight="1" x14ac:dyDescent="0.25">
      <c r="B12" s="231"/>
      <c r="C12" s="267"/>
      <c r="D12" s="268"/>
      <c r="E12" s="264">
        <f t="shared" si="0"/>
        <v>0</v>
      </c>
    </row>
    <row r="13" spans="2:10" ht="13.5" customHeight="1" x14ac:dyDescent="0.25">
      <c r="B13" s="231"/>
      <c r="C13" s="267"/>
      <c r="D13" s="268"/>
      <c r="E13" s="264">
        <f t="shared" si="0"/>
        <v>0</v>
      </c>
    </row>
    <row r="14" spans="2:10" ht="13.5" customHeight="1" x14ac:dyDescent="0.25">
      <c r="B14" s="231"/>
      <c r="C14" s="267"/>
      <c r="D14" s="268"/>
      <c r="E14" s="264">
        <f t="shared" si="0"/>
        <v>0</v>
      </c>
    </row>
    <row r="15" spans="2:10" x14ac:dyDescent="0.25">
      <c r="B15" s="177" t="s">
        <v>23</v>
      </c>
      <c r="C15" s="264">
        <f>SUM(C9:C14)</f>
        <v>0</v>
      </c>
      <c r="D15" s="264">
        <f>SUM(D9:D14)</f>
        <v>0</v>
      </c>
      <c r="E15" s="264">
        <f>SUM(E9:E14)</f>
        <v>0</v>
      </c>
    </row>
    <row r="17" spans="2:6" ht="15.6" x14ac:dyDescent="0.3">
      <c r="B17" s="28" t="s">
        <v>164</v>
      </c>
    </row>
    <row r="18" spans="2:6" ht="19.5" customHeight="1" x14ac:dyDescent="0.25">
      <c r="B18" s="21"/>
      <c r="C18" s="24"/>
      <c r="D18" s="24"/>
      <c r="E18" s="24"/>
      <c r="F18" s="24"/>
    </row>
    <row r="19" spans="2:6" x14ac:dyDescent="0.25">
      <c r="B19" s="147" t="s">
        <v>121</v>
      </c>
      <c r="C19" s="178" t="s">
        <v>17</v>
      </c>
      <c r="D19" s="373" t="s">
        <v>23</v>
      </c>
    </row>
    <row r="20" spans="2:6" x14ac:dyDescent="0.25">
      <c r="B20" s="147"/>
      <c r="C20" s="162"/>
      <c r="D20" s="162" t="s">
        <v>159</v>
      </c>
    </row>
    <row r="21" spans="2:6" x14ac:dyDescent="0.25">
      <c r="B21" s="374"/>
      <c r="C21" s="375"/>
      <c r="D21" s="376"/>
    </row>
    <row r="22" spans="2:6" x14ac:dyDescent="0.25">
      <c r="B22" s="374"/>
      <c r="C22" s="375"/>
      <c r="D22" s="376"/>
    </row>
    <row r="23" spans="2:6" x14ac:dyDescent="0.25">
      <c r="B23" s="374"/>
      <c r="C23" s="375"/>
      <c r="D23" s="376"/>
    </row>
    <row r="24" spans="2:6" x14ac:dyDescent="0.25">
      <c r="B24" s="374"/>
      <c r="C24" s="375"/>
      <c r="D24" s="376"/>
    </row>
    <row r="25" spans="2:6" x14ac:dyDescent="0.25">
      <c r="B25" s="374"/>
      <c r="C25" s="375"/>
      <c r="D25" s="376"/>
    </row>
    <row r="26" spans="2:6" x14ac:dyDescent="0.25">
      <c r="B26" s="374"/>
      <c r="C26" s="375"/>
      <c r="D26" s="376"/>
    </row>
    <row r="27" spans="2:6" x14ac:dyDescent="0.25">
      <c r="B27" s="516" t="s">
        <v>120</v>
      </c>
      <c r="C27" s="517"/>
      <c r="D27" s="264">
        <f>SUM(D21:D26)</f>
        <v>0</v>
      </c>
    </row>
  </sheetData>
  <mergeCells count="1">
    <mergeCell ref="B27:C27"/>
  </mergeCells>
  <pageMargins left="0.23622047244094491" right="0.23622047244094491" top="0.74803149606299213" bottom="0.74803149606299213" header="0.31496062992125984" footer="0.31496062992125984"/>
  <pageSetup paperSize="9" scale="97" orientation="landscape" r:id="rId1"/>
  <headerFooter alignWithMargins="0">
    <oddFooter>&amp;A&amp;RPage &amp;P</oddFooter>
  </headerFooter>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H36"/>
  <sheetViews>
    <sheetView zoomScale="80" zoomScaleNormal="80" workbookViewId="0"/>
  </sheetViews>
  <sheetFormatPr defaultColWidth="9" defaultRowHeight="13.2" x14ac:dyDescent="0.25"/>
  <cols>
    <col min="1" max="1" width="12.3984375" style="30" customWidth="1"/>
    <col min="2" max="2" width="18.5" style="30" customWidth="1"/>
    <col min="3" max="3" width="42.19921875" style="30" customWidth="1"/>
    <col min="4" max="4" width="26.69921875" style="30" customWidth="1"/>
    <col min="5" max="5" width="22.5" style="30" customWidth="1"/>
    <col min="6" max="6" width="20.5" style="30" customWidth="1"/>
    <col min="7" max="8" width="22.5" style="30" customWidth="1"/>
    <col min="9" max="9" width="9.3984375" style="30" customWidth="1"/>
    <col min="10" max="10" width="25" style="30" customWidth="1"/>
    <col min="11" max="16384" width="9" style="30"/>
  </cols>
  <sheetData>
    <row r="1" spans="2:8" ht="21" x14ac:dyDescent="0.4">
      <c r="B1" s="518" t="s">
        <v>167</v>
      </c>
      <c r="C1" s="518"/>
      <c r="D1" s="18"/>
      <c r="E1" s="18"/>
      <c r="F1" s="18"/>
      <c r="G1" s="18"/>
      <c r="H1" s="18"/>
    </row>
    <row r="2" spans="2:8" ht="17.25" customHeight="1" x14ac:dyDescent="0.4">
      <c r="B2" s="46" t="str">
        <f>Tradingname</f>
        <v>Southern Cross Pipelines Australia Pty Limited</v>
      </c>
      <c r="C2" s="47"/>
      <c r="D2" s="31"/>
      <c r="E2" s="519" t="s">
        <v>367</v>
      </c>
      <c r="F2" s="519"/>
      <c r="G2" s="519"/>
      <c r="H2" s="31"/>
    </row>
    <row r="3" spans="2:8" ht="17.25" customHeight="1" x14ac:dyDescent="0.25">
      <c r="B3" s="48" t="s">
        <v>157</v>
      </c>
      <c r="C3" s="49">
        <f>Yearending</f>
        <v>44742</v>
      </c>
      <c r="E3" s="519"/>
      <c r="F3" s="519"/>
      <c r="G3" s="519"/>
    </row>
    <row r="4" spans="2:8" ht="14.25" customHeight="1" x14ac:dyDescent="0.4">
      <c r="B4" s="17"/>
      <c r="E4" s="519"/>
      <c r="F4" s="519"/>
      <c r="G4" s="519"/>
    </row>
    <row r="5" spans="2:8" ht="15.6" x14ac:dyDescent="0.3">
      <c r="B5" s="34" t="s">
        <v>168</v>
      </c>
      <c r="C5" s="32"/>
      <c r="D5" s="32"/>
      <c r="E5" s="32"/>
      <c r="F5" s="33"/>
      <c r="G5" s="32"/>
      <c r="H5" s="32"/>
    </row>
    <row r="6" spans="2:8" ht="15.6" x14ac:dyDescent="0.3">
      <c r="B6" s="34"/>
      <c r="C6" s="32"/>
      <c r="D6" s="32"/>
      <c r="E6" s="32"/>
      <c r="F6" s="33"/>
      <c r="G6" s="32"/>
      <c r="H6" s="32"/>
    </row>
    <row r="7" spans="2:8" ht="40.5" customHeight="1" x14ac:dyDescent="0.25">
      <c r="B7" s="179" t="s">
        <v>194</v>
      </c>
      <c r="C7" s="179" t="s">
        <v>165</v>
      </c>
      <c r="D7" s="180" t="s">
        <v>188</v>
      </c>
      <c r="E7" s="180" t="s">
        <v>190</v>
      </c>
      <c r="F7" s="180" t="s">
        <v>66</v>
      </c>
      <c r="G7" s="180" t="s">
        <v>81</v>
      </c>
      <c r="H7" s="180" t="s">
        <v>82</v>
      </c>
    </row>
    <row r="8" spans="2:8" x14ac:dyDescent="0.25">
      <c r="B8" s="181"/>
      <c r="C8" s="179" t="s">
        <v>166</v>
      </c>
      <c r="D8" s="182" t="s">
        <v>159</v>
      </c>
      <c r="E8" s="182" t="s">
        <v>159</v>
      </c>
      <c r="F8" s="182"/>
      <c r="G8" s="182" t="s">
        <v>159</v>
      </c>
      <c r="H8" s="182" t="s">
        <v>159</v>
      </c>
    </row>
    <row r="9" spans="2:8" x14ac:dyDescent="0.25">
      <c r="B9" s="183"/>
      <c r="C9" s="183"/>
      <c r="D9" s="293"/>
      <c r="E9" s="293"/>
      <c r="F9" s="184"/>
      <c r="G9" s="262">
        <f>D9*F9</f>
        <v>0</v>
      </c>
      <c r="H9" s="262">
        <f>E9*F9</f>
        <v>0</v>
      </c>
    </row>
    <row r="10" spans="2:8" x14ac:dyDescent="0.25">
      <c r="B10" s="183"/>
      <c r="C10" s="183"/>
      <c r="D10" s="293"/>
      <c r="E10" s="293"/>
      <c r="F10" s="184"/>
      <c r="G10" s="262">
        <f>D10*F10</f>
        <v>0</v>
      </c>
      <c r="H10" s="262">
        <f t="shared" ref="H10:H35" si="0">E10*F10</f>
        <v>0</v>
      </c>
    </row>
    <row r="11" spans="2:8" x14ac:dyDescent="0.25">
      <c r="B11" s="183"/>
      <c r="C11" s="183"/>
      <c r="D11" s="293"/>
      <c r="E11" s="293"/>
      <c r="F11" s="184"/>
      <c r="G11" s="262">
        <f t="shared" ref="G11:G35" si="1">D11*F11</f>
        <v>0</v>
      </c>
      <c r="H11" s="262">
        <f t="shared" si="0"/>
        <v>0</v>
      </c>
    </row>
    <row r="12" spans="2:8" x14ac:dyDescent="0.25">
      <c r="B12" s="183"/>
      <c r="C12" s="183"/>
      <c r="D12" s="293"/>
      <c r="E12" s="293"/>
      <c r="F12" s="184"/>
      <c r="G12" s="262">
        <f t="shared" si="1"/>
        <v>0</v>
      </c>
      <c r="H12" s="262">
        <f t="shared" si="0"/>
        <v>0</v>
      </c>
    </row>
    <row r="13" spans="2:8" x14ac:dyDescent="0.25">
      <c r="B13" s="183"/>
      <c r="C13" s="183"/>
      <c r="D13" s="293"/>
      <c r="E13" s="293"/>
      <c r="F13" s="184"/>
      <c r="G13" s="262">
        <f t="shared" si="1"/>
        <v>0</v>
      </c>
      <c r="H13" s="262">
        <f t="shared" si="0"/>
        <v>0</v>
      </c>
    </row>
    <row r="14" spans="2:8" x14ac:dyDescent="0.25">
      <c r="B14" s="183"/>
      <c r="C14" s="183"/>
      <c r="D14" s="293"/>
      <c r="E14" s="293"/>
      <c r="F14" s="184"/>
      <c r="G14" s="262">
        <f t="shared" si="1"/>
        <v>0</v>
      </c>
      <c r="H14" s="262">
        <f t="shared" si="0"/>
        <v>0</v>
      </c>
    </row>
    <row r="15" spans="2:8" x14ac:dyDescent="0.25">
      <c r="B15" s="183"/>
      <c r="C15" s="183"/>
      <c r="D15" s="293"/>
      <c r="E15" s="293"/>
      <c r="F15" s="184"/>
      <c r="G15" s="262">
        <f t="shared" si="1"/>
        <v>0</v>
      </c>
      <c r="H15" s="262">
        <f t="shared" si="0"/>
        <v>0</v>
      </c>
    </row>
    <row r="16" spans="2:8" x14ac:dyDescent="0.25">
      <c r="B16" s="183"/>
      <c r="C16" s="183"/>
      <c r="D16" s="293"/>
      <c r="E16" s="293"/>
      <c r="F16" s="184"/>
      <c r="G16" s="262">
        <f t="shared" si="1"/>
        <v>0</v>
      </c>
      <c r="H16" s="262">
        <f t="shared" si="0"/>
        <v>0</v>
      </c>
    </row>
    <row r="17" spans="2:8" x14ac:dyDescent="0.25">
      <c r="B17" s="183"/>
      <c r="C17" s="183"/>
      <c r="D17" s="293"/>
      <c r="E17" s="293"/>
      <c r="F17" s="184"/>
      <c r="G17" s="262">
        <f t="shared" si="1"/>
        <v>0</v>
      </c>
      <c r="H17" s="262">
        <f t="shared" si="0"/>
        <v>0</v>
      </c>
    </row>
    <row r="18" spans="2:8" x14ac:dyDescent="0.25">
      <c r="B18" s="183"/>
      <c r="C18" s="183"/>
      <c r="D18" s="293"/>
      <c r="E18" s="293"/>
      <c r="F18" s="184"/>
      <c r="G18" s="262">
        <f t="shared" si="1"/>
        <v>0</v>
      </c>
      <c r="H18" s="262">
        <f t="shared" si="0"/>
        <v>0</v>
      </c>
    </row>
    <row r="19" spans="2:8" x14ac:dyDescent="0.25">
      <c r="B19" s="183"/>
      <c r="C19" s="183"/>
      <c r="D19" s="293"/>
      <c r="E19" s="293"/>
      <c r="F19" s="184"/>
      <c r="G19" s="262">
        <f t="shared" si="1"/>
        <v>0</v>
      </c>
      <c r="H19" s="262">
        <f t="shared" si="0"/>
        <v>0</v>
      </c>
    </row>
    <row r="20" spans="2:8" x14ac:dyDescent="0.25">
      <c r="B20" s="183"/>
      <c r="C20" s="183"/>
      <c r="D20" s="293"/>
      <c r="E20" s="293"/>
      <c r="F20" s="184"/>
      <c r="G20" s="262">
        <f t="shared" si="1"/>
        <v>0</v>
      </c>
      <c r="H20" s="262">
        <f t="shared" si="0"/>
        <v>0</v>
      </c>
    </row>
    <row r="21" spans="2:8" x14ac:dyDescent="0.25">
      <c r="B21" s="183"/>
      <c r="C21" s="183"/>
      <c r="D21" s="293"/>
      <c r="E21" s="293"/>
      <c r="F21" s="184"/>
      <c r="G21" s="262">
        <f t="shared" si="1"/>
        <v>0</v>
      </c>
      <c r="H21" s="262">
        <f t="shared" si="0"/>
        <v>0</v>
      </c>
    </row>
    <row r="22" spans="2:8" x14ac:dyDescent="0.25">
      <c r="B22" s="183"/>
      <c r="C22" s="183"/>
      <c r="D22" s="293"/>
      <c r="E22" s="293"/>
      <c r="F22" s="184"/>
      <c r="G22" s="262">
        <f t="shared" si="1"/>
        <v>0</v>
      </c>
      <c r="H22" s="262">
        <f t="shared" si="0"/>
        <v>0</v>
      </c>
    </row>
    <row r="23" spans="2:8" x14ac:dyDescent="0.25">
      <c r="B23" s="183"/>
      <c r="C23" s="183"/>
      <c r="D23" s="293"/>
      <c r="E23" s="293"/>
      <c r="F23" s="184"/>
      <c r="G23" s="262">
        <f t="shared" si="1"/>
        <v>0</v>
      </c>
      <c r="H23" s="262">
        <f t="shared" si="0"/>
        <v>0</v>
      </c>
    </row>
    <row r="24" spans="2:8" x14ac:dyDescent="0.25">
      <c r="B24" s="183"/>
      <c r="C24" s="183"/>
      <c r="D24" s="293"/>
      <c r="E24" s="293"/>
      <c r="F24" s="184"/>
      <c r="G24" s="262">
        <f t="shared" si="1"/>
        <v>0</v>
      </c>
      <c r="H24" s="262">
        <f t="shared" si="0"/>
        <v>0</v>
      </c>
    </row>
    <row r="25" spans="2:8" x14ac:dyDescent="0.25">
      <c r="B25" s="183"/>
      <c r="C25" s="183"/>
      <c r="D25" s="293"/>
      <c r="E25" s="293"/>
      <c r="F25" s="184"/>
      <c r="G25" s="262">
        <f t="shared" si="1"/>
        <v>0</v>
      </c>
      <c r="H25" s="262">
        <f t="shared" si="0"/>
        <v>0</v>
      </c>
    </row>
    <row r="26" spans="2:8" x14ac:dyDescent="0.25">
      <c r="B26" s="183"/>
      <c r="C26" s="183"/>
      <c r="D26" s="293"/>
      <c r="E26" s="293"/>
      <c r="F26" s="184"/>
      <c r="G26" s="262">
        <f t="shared" si="1"/>
        <v>0</v>
      </c>
      <c r="H26" s="262">
        <f t="shared" si="0"/>
        <v>0</v>
      </c>
    </row>
    <row r="27" spans="2:8" x14ac:dyDescent="0.25">
      <c r="B27" s="183"/>
      <c r="C27" s="183"/>
      <c r="D27" s="293"/>
      <c r="E27" s="293"/>
      <c r="F27" s="184"/>
      <c r="G27" s="262">
        <f t="shared" si="1"/>
        <v>0</v>
      </c>
      <c r="H27" s="262">
        <f t="shared" si="0"/>
        <v>0</v>
      </c>
    </row>
    <row r="28" spans="2:8" x14ac:dyDescent="0.25">
      <c r="B28" s="183"/>
      <c r="C28" s="183"/>
      <c r="D28" s="293"/>
      <c r="E28" s="293"/>
      <c r="F28" s="184"/>
      <c r="G28" s="262">
        <f t="shared" si="1"/>
        <v>0</v>
      </c>
      <c r="H28" s="262">
        <f t="shared" si="0"/>
        <v>0</v>
      </c>
    </row>
    <row r="29" spans="2:8" x14ac:dyDescent="0.25">
      <c r="B29" s="183"/>
      <c r="C29" s="183"/>
      <c r="D29" s="293"/>
      <c r="E29" s="293"/>
      <c r="F29" s="184"/>
      <c r="G29" s="262">
        <f t="shared" si="1"/>
        <v>0</v>
      </c>
      <c r="H29" s="262">
        <f t="shared" si="0"/>
        <v>0</v>
      </c>
    </row>
    <row r="30" spans="2:8" x14ac:dyDescent="0.25">
      <c r="B30" s="183"/>
      <c r="C30" s="183"/>
      <c r="D30" s="293"/>
      <c r="E30" s="293"/>
      <c r="F30" s="184"/>
      <c r="G30" s="262">
        <f t="shared" si="1"/>
        <v>0</v>
      </c>
      <c r="H30" s="262">
        <f>E30*F30</f>
        <v>0</v>
      </c>
    </row>
    <row r="31" spans="2:8" x14ac:dyDescent="0.25">
      <c r="B31" s="183"/>
      <c r="C31" s="183"/>
      <c r="D31" s="293"/>
      <c r="E31" s="293"/>
      <c r="F31" s="184"/>
      <c r="G31" s="262">
        <f t="shared" si="1"/>
        <v>0</v>
      </c>
      <c r="H31" s="262">
        <f t="shared" si="0"/>
        <v>0</v>
      </c>
    </row>
    <row r="32" spans="2:8" x14ac:dyDescent="0.25">
      <c r="B32" s="183"/>
      <c r="C32" s="183"/>
      <c r="D32" s="293"/>
      <c r="E32" s="293"/>
      <c r="F32" s="184"/>
      <c r="G32" s="262">
        <f t="shared" si="1"/>
        <v>0</v>
      </c>
      <c r="H32" s="262">
        <f t="shared" si="0"/>
        <v>0</v>
      </c>
    </row>
    <row r="33" spans="2:8" x14ac:dyDescent="0.25">
      <c r="B33" s="183"/>
      <c r="C33" s="183"/>
      <c r="D33" s="293"/>
      <c r="E33" s="293"/>
      <c r="F33" s="184"/>
      <c r="G33" s="262">
        <f t="shared" si="1"/>
        <v>0</v>
      </c>
      <c r="H33" s="262">
        <f t="shared" si="0"/>
        <v>0</v>
      </c>
    </row>
    <row r="34" spans="2:8" x14ac:dyDescent="0.25">
      <c r="B34" s="183"/>
      <c r="C34" s="183"/>
      <c r="D34" s="293"/>
      <c r="E34" s="293"/>
      <c r="F34" s="184"/>
      <c r="G34" s="262">
        <f t="shared" si="1"/>
        <v>0</v>
      </c>
      <c r="H34" s="262">
        <f t="shared" si="0"/>
        <v>0</v>
      </c>
    </row>
    <row r="35" spans="2:8" x14ac:dyDescent="0.25">
      <c r="B35" s="183"/>
      <c r="C35" s="183"/>
      <c r="D35" s="293"/>
      <c r="E35" s="293"/>
      <c r="F35" s="184"/>
      <c r="G35" s="262">
        <f t="shared" si="1"/>
        <v>0</v>
      </c>
      <c r="H35" s="262">
        <f t="shared" si="0"/>
        <v>0</v>
      </c>
    </row>
    <row r="36" spans="2:8" x14ac:dyDescent="0.25">
      <c r="B36" s="181"/>
      <c r="C36" s="177" t="s">
        <v>23</v>
      </c>
      <c r="D36" s="262">
        <f>SUM(D9:D35)</f>
        <v>0</v>
      </c>
      <c r="E36" s="262">
        <f>SUM(E9:E35)</f>
        <v>0</v>
      </c>
      <c r="F36" s="185"/>
      <c r="G36" s="262">
        <f>SUM(G9:G35)</f>
        <v>0</v>
      </c>
      <c r="H36" s="262">
        <f>SUM(H9:H35)</f>
        <v>0</v>
      </c>
    </row>
  </sheetData>
  <mergeCells count="2">
    <mergeCell ref="B1:C1"/>
    <mergeCell ref="E2:G4"/>
  </mergeCells>
  <pageMargins left="0.23622047244094491" right="0.23622047244094491" top="0.74803149606299213" bottom="0.74803149606299213" header="0.31496062992125984" footer="0.31496062992125984"/>
  <pageSetup paperSize="9" scale="83" orientation="landscape" r:id="rId1"/>
  <headerFooter alignWithMargins="0">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pageSetUpPr fitToPage="1"/>
  </sheetPr>
  <dimension ref="B1:I36"/>
  <sheetViews>
    <sheetView zoomScale="80" zoomScaleNormal="80" workbookViewId="0"/>
  </sheetViews>
  <sheetFormatPr defaultColWidth="9" defaultRowHeight="13.2" x14ac:dyDescent="0.25"/>
  <cols>
    <col min="1" max="1" width="11.19921875" style="30" customWidth="1"/>
    <col min="2" max="2" width="20.8984375" style="30" customWidth="1"/>
    <col min="3" max="3" width="29.8984375" style="30" customWidth="1"/>
    <col min="4" max="4" width="26.59765625" style="30" customWidth="1"/>
    <col min="5" max="5" width="23.5" style="30" customWidth="1"/>
    <col min="6" max="6" width="22.5" style="30" customWidth="1"/>
    <col min="7" max="7" width="20.5" style="30" customWidth="1"/>
    <col min="8" max="9" width="22.5" style="30" customWidth="1"/>
    <col min="10" max="10" width="9.3984375" style="30" customWidth="1"/>
    <col min="11" max="11" width="25" style="30" customWidth="1"/>
    <col min="12" max="16384" width="9" style="30"/>
  </cols>
  <sheetData>
    <row r="1" spans="2:9" ht="21" x14ac:dyDescent="0.4">
      <c r="B1" s="518" t="s">
        <v>140</v>
      </c>
      <c r="C1" s="518"/>
      <c r="D1" s="18"/>
      <c r="E1" s="18"/>
      <c r="F1" s="18"/>
      <c r="G1" s="18"/>
      <c r="H1" s="18"/>
      <c r="I1" s="18"/>
    </row>
    <row r="2" spans="2:9" ht="16.5" customHeight="1" x14ac:dyDescent="0.4">
      <c r="B2" s="46" t="str">
        <f>Tradingname</f>
        <v>Southern Cross Pipelines Australia Pty Limited</v>
      </c>
      <c r="C2" s="47"/>
      <c r="D2" s="31"/>
      <c r="E2" s="31"/>
      <c r="F2" s="519" t="s">
        <v>367</v>
      </c>
      <c r="G2" s="519"/>
      <c r="H2" s="519"/>
      <c r="I2" s="31"/>
    </row>
    <row r="3" spans="2:9" ht="13.8" x14ac:dyDescent="0.25">
      <c r="B3" s="48" t="s">
        <v>157</v>
      </c>
      <c r="C3" s="49">
        <f>Yearending</f>
        <v>44742</v>
      </c>
      <c r="F3" s="519"/>
      <c r="G3" s="519"/>
      <c r="H3" s="519"/>
    </row>
    <row r="4" spans="2:9" ht="21" x14ac:dyDescent="0.4">
      <c r="B4" s="17"/>
      <c r="E4" s="50"/>
      <c r="F4" s="519"/>
      <c r="G4" s="519"/>
      <c r="H4" s="519"/>
    </row>
    <row r="5" spans="2:9" ht="15.6" x14ac:dyDescent="0.3">
      <c r="B5" s="34" t="s">
        <v>169</v>
      </c>
      <c r="C5" s="32"/>
      <c r="D5" s="32"/>
      <c r="E5" s="32"/>
      <c r="F5" s="32"/>
      <c r="G5" s="33"/>
      <c r="H5" s="32"/>
      <c r="I5" s="32"/>
    </row>
    <row r="6" spans="2:9" ht="15.6" x14ac:dyDescent="0.3">
      <c r="B6" s="34"/>
      <c r="C6" s="32"/>
      <c r="D6" s="32"/>
      <c r="E6" s="32"/>
      <c r="F6" s="32"/>
      <c r="G6" s="33"/>
      <c r="H6" s="32"/>
      <c r="I6" s="32"/>
    </row>
    <row r="7" spans="2:9" ht="40.5" customHeight="1" x14ac:dyDescent="0.25">
      <c r="B7" s="179" t="s">
        <v>194</v>
      </c>
      <c r="C7" s="179" t="s">
        <v>17</v>
      </c>
      <c r="D7" s="186" t="s">
        <v>67</v>
      </c>
      <c r="E7" s="180" t="s">
        <v>189</v>
      </c>
      <c r="F7" s="180" t="s">
        <v>191</v>
      </c>
      <c r="G7" s="180" t="s">
        <v>66</v>
      </c>
      <c r="H7" s="180" t="s">
        <v>81</v>
      </c>
      <c r="I7" s="180" t="s">
        <v>82</v>
      </c>
    </row>
    <row r="8" spans="2:9" x14ac:dyDescent="0.25">
      <c r="B8" s="181"/>
      <c r="C8" s="181" t="s">
        <v>170</v>
      </c>
      <c r="D8" s="187"/>
      <c r="E8" s="182" t="s">
        <v>159</v>
      </c>
      <c r="F8" s="182" t="s">
        <v>159</v>
      </c>
      <c r="G8" s="182"/>
      <c r="H8" s="182" t="s">
        <v>159</v>
      </c>
      <c r="I8" s="182" t="s">
        <v>159</v>
      </c>
    </row>
    <row r="9" spans="2:9" x14ac:dyDescent="0.25">
      <c r="B9" s="183"/>
      <c r="C9" s="167" t="s">
        <v>51</v>
      </c>
      <c r="D9" s="183"/>
      <c r="E9" s="294"/>
      <c r="F9" s="294"/>
      <c r="G9" s="188"/>
      <c r="H9" s="296">
        <f>E9*G9</f>
        <v>0</v>
      </c>
      <c r="I9" s="296">
        <f>F9*G9</f>
        <v>0</v>
      </c>
    </row>
    <row r="10" spans="2:9" ht="26.4" x14ac:dyDescent="0.25">
      <c r="B10" s="183"/>
      <c r="C10" s="167" t="s">
        <v>60</v>
      </c>
      <c r="D10" s="183"/>
      <c r="E10" s="294"/>
      <c r="F10" s="294"/>
      <c r="G10" s="188"/>
      <c r="H10" s="296">
        <f t="shared" ref="H10:H35" si="0">E10*G10</f>
        <v>0</v>
      </c>
      <c r="I10" s="296">
        <f t="shared" ref="I10:I35" si="1">F10*G10</f>
        <v>0</v>
      </c>
    </row>
    <row r="11" spans="2:9" x14ac:dyDescent="0.25">
      <c r="B11" s="183"/>
      <c r="C11" s="338" t="s">
        <v>353</v>
      </c>
      <c r="D11" s="183"/>
      <c r="E11" s="294"/>
      <c r="F11" s="294"/>
      <c r="G11" s="188"/>
      <c r="H11" s="296">
        <f t="shared" si="0"/>
        <v>0</v>
      </c>
      <c r="I11" s="296">
        <f t="shared" si="1"/>
        <v>0</v>
      </c>
    </row>
    <row r="12" spans="2:9" x14ac:dyDescent="0.25">
      <c r="B12" s="416" t="s">
        <v>561</v>
      </c>
      <c r="C12" s="167" t="s">
        <v>52</v>
      </c>
      <c r="D12" s="183"/>
      <c r="E12" s="456">
        <v>-39201660.151837498</v>
      </c>
      <c r="F12" s="456"/>
      <c r="G12" s="464">
        <f>('3. Statement of pipeline assets'!AD78+'3. Statement of pipeline assets'!AD84)/E12</f>
        <v>9.9997471698853087E-4</v>
      </c>
      <c r="H12" s="296">
        <f>E12*G12</f>
        <v>-39200.669015814274</v>
      </c>
      <c r="I12" s="296">
        <f t="shared" si="1"/>
        <v>0</v>
      </c>
    </row>
    <row r="13" spans="2:9" x14ac:dyDescent="0.25">
      <c r="B13" s="416"/>
      <c r="C13" s="167" t="s">
        <v>61</v>
      </c>
      <c r="D13" s="183"/>
      <c r="E13" s="456"/>
      <c r="F13" s="456"/>
      <c r="G13" s="457"/>
      <c r="H13" s="296">
        <f t="shared" si="0"/>
        <v>0</v>
      </c>
      <c r="I13" s="296">
        <f t="shared" si="1"/>
        <v>0</v>
      </c>
    </row>
    <row r="14" spans="2:9" x14ac:dyDescent="0.25">
      <c r="B14" s="416" t="s">
        <v>562</v>
      </c>
      <c r="C14" s="167" t="s">
        <v>119</v>
      </c>
      <c r="D14" s="183"/>
      <c r="E14" s="456">
        <v>-9958.7135716321081</v>
      </c>
      <c r="F14" s="456"/>
      <c r="G14" s="457">
        <v>1</v>
      </c>
      <c r="H14" s="296">
        <f t="shared" si="0"/>
        <v>-9958.7135716321081</v>
      </c>
      <c r="I14" s="296">
        <f t="shared" si="1"/>
        <v>0</v>
      </c>
    </row>
    <row r="15" spans="2:9" ht="26.4" x14ac:dyDescent="0.25">
      <c r="B15" s="183"/>
      <c r="C15" s="167" t="s">
        <v>53</v>
      </c>
      <c r="D15" s="183"/>
      <c r="E15" s="447"/>
      <c r="F15" s="447"/>
      <c r="G15" s="448"/>
      <c r="H15" s="296">
        <f t="shared" si="0"/>
        <v>0</v>
      </c>
      <c r="I15" s="296">
        <f t="shared" si="1"/>
        <v>0</v>
      </c>
    </row>
    <row r="16" spans="2:9" ht="26.4" x14ac:dyDescent="0.25">
      <c r="B16" s="183"/>
      <c r="C16" s="338" t="s">
        <v>354</v>
      </c>
      <c r="D16" s="183"/>
      <c r="E16" s="447"/>
      <c r="F16" s="447"/>
      <c r="G16" s="448"/>
      <c r="H16" s="296">
        <f t="shared" si="0"/>
        <v>0</v>
      </c>
      <c r="I16" s="296">
        <f t="shared" si="1"/>
        <v>0</v>
      </c>
    </row>
    <row r="17" spans="2:9" x14ac:dyDescent="0.25">
      <c r="B17" s="183"/>
      <c r="C17" s="167" t="s">
        <v>154</v>
      </c>
      <c r="D17" s="183"/>
      <c r="E17" s="458">
        <f>SUM(E18:E35)</f>
        <v>-112342311.93395717</v>
      </c>
      <c r="F17" s="458">
        <f>SUM(F18:F35)</f>
        <v>0</v>
      </c>
      <c r="G17" s="449"/>
      <c r="H17" s="295">
        <f>SUM(H18:H35)</f>
        <v>-203145.66264009572</v>
      </c>
      <c r="I17" s="295">
        <f>SUM(I18:I35)</f>
        <v>0</v>
      </c>
    </row>
    <row r="18" spans="2:9" x14ac:dyDescent="0.25">
      <c r="B18" s="416" t="s">
        <v>560</v>
      </c>
      <c r="C18" s="415" t="s">
        <v>538</v>
      </c>
      <c r="D18" s="183"/>
      <c r="E18" s="456">
        <v>-111582727.60795717</v>
      </c>
      <c r="F18" s="447"/>
      <c r="G18" s="457">
        <v>1.8082738297171526E-3</v>
      </c>
      <c r="H18" s="296">
        <f t="shared" si="0"/>
        <v>-201772.12618192658</v>
      </c>
      <c r="I18" s="296">
        <f t="shared" si="1"/>
        <v>0</v>
      </c>
    </row>
    <row r="19" spans="2:9" x14ac:dyDescent="0.25">
      <c r="B19" s="416" t="s">
        <v>560</v>
      </c>
      <c r="C19" s="415" t="s">
        <v>559</v>
      </c>
      <c r="D19" s="183"/>
      <c r="E19" s="456">
        <v>-759584.326</v>
      </c>
      <c r="F19" s="447"/>
      <c r="G19" s="457">
        <v>1.8082738297171526E-3</v>
      </c>
      <c r="H19" s="296">
        <f t="shared" si="0"/>
        <v>-1373.5364581691422</v>
      </c>
      <c r="I19" s="296">
        <f t="shared" si="1"/>
        <v>0</v>
      </c>
    </row>
    <row r="20" spans="2:9" x14ac:dyDescent="0.25">
      <c r="B20" s="183"/>
      <c r="C20" s="183"/>
      <c r="D20" s="183"/>
      <c r="E20" s="294"/>
      <c r="F20" s="294"/>
      <c r="G20" s="188"/>
      <c r="H20" s="296">
        <f t="shared" si="0"/>
        <v>0</v>
      </c>
      <c r="I20" s="296">
        <f t="shared" si="1"/>
        <v>0</v>
      </c>
    </row>
    <row r="21" spans="2:9" x14ac:dyDescent="0.25">
      <c r="B21" s="183"/>
      <c r="C21" s="183"/>
      <c r="D21" s="183"/>
      <c r="E21" s="294"/>
      <c r="F21" s="294"/>
      <c r="G21" s="188"/>
      <c r="H21" s="296">
        <f t="shared" si="0"/>
        <v>0</v>
      </c>
      <c r="I21" s="296">
        <f t="shared" si="1"/>
        <v>0</v>
      </c>
    </row>
    <row r="22" spans="2:9" x14ac:dyDescent="0.25">
      <c r="B22" s="183"/>
      <c r="C22" s="183"/>
      <c r="D22" s="183"/>
      <c r="E22" s="294"/>
      <c r="F22" s="294"/>
      <c r="G22" s="188"/>
      <c r="H22" s="296">
        <f t="shared" si="0"/>
        <v>0</v>
      </c>
      <c r="I22" s="296">
        <f t="shared" si="1"/>
        <v>0</v>
      </c>
    </row>
    <row r="23" spans="2:9" x14ac:dyDescent="0.25">
      <c r="B23" s="183"/>
      <c r="C23" s="183"/>
      <c r="D23" s="183"/>
      <c r="E23" s="294"/>
      <c r="F23" s="294"/>
      <c r="G23" s="188"/>
      <c r="H23" s="296">
        <f t="shared" si="0"/>
        <v>0</v>
      </c>
      <c r="I23" s="296">
        <f t="shared" si="1"/>
        <v>0</v>
      </c>
    </row>
    <row r="24" spans="2:9" x14ac:dyDescent="0.25">
      <c r="B24" s="183"/>
      <c r="C24" s="183"/>
      <c r="D24" s="183"/>
      <c r="E24" s="294"/>
      <c r="F24" s="294"/>
      <c r="G24" s="188"/>
      <c r="H24" s="296">
        <f t="shared" si="0"/>
        <v>0</v>
      </c>
      <c r="I24" s="296">
        <f t="shared" si="1"/>
        <v>0</v>
      </c>
    </row>
    <row r="25" spans="2:9" x14ac:dyDescent="0.25">
      <c r="B25" s="183"/>
      <c r="C25" s="183"/>
      <c r="D25" s="183"/>
      <c r="E25" s="294"/>
      <c r="F25" s="294"/>
      <c r="G25" s="188"/>
      <c r="H25" s="296">
        <f t="shared" si="0"/>
        <v>0</v>
      </c>
      <c r="I25" s="296">
        <f t="shared" si="1"/>
        <v>0</v>
      </c>
    </row>
    <row r="26" spans="2:9" x14ac:dyDescent="0.25">
      <c r="B26" s="183"/>
      <c r="C26" s="183"/>
      <c r="D26" s="183"/>
      <c r="E26" s="294"/>
      <c r="F26" s="294"/>
      <c r="G26" s="188"/>
      <c r="H26" s="296">
        <f t="shared" si="0"/>
        <v>0</v>
      </c>
      <c r="I26" s="296">
        <f t="shared" si="1"/>
        <v>0</v>
      </c>
    </row>
    <row r="27" spans="2:9" x14ac:dyDescent="0.25">
      <c r="B27" s="183"/>
      <c r="C27" s="183"/>
      <c r="D27" s="183"/>
      <c r="E27" s="294"/>
      <c r="F27" s="294"/>
      <c r="G27" s="188"/>
      <c r="H27" s="296">
        <f t="shared" si="0"/>
        <v>0</v>
      </c>
      <c r="I27" s="296">
        <f t="shared" si="1"/>
        <v>0</v>
      </c>
    </row>
    <row r="28" spans="2:9" x14ac:dyDescent="0.25">
      <c r="B28" s="183"/>
      <c r="C28" s="183"/>
      <c r="D28" s="183"/>
      <c r="E28" s="294"/>
      <c r="F28" s="294"/>
      <c r="G28" s="188"/>
      <c r="H28" s="296">
        <f t="shared" si="0"/>
        <v>0</v>
      </c>
      <c r="I28" s="296">
        <f t="shared" si="1"/>
        <v>0</v>
      </c>
    </row>
    <row r="29" spans="2:9" x14ac:dyDescent="0.25">
      <c r="B29" s="183"/>
      <c r="C29" s="183"/>
      <c r="D29" s="183"/>
      <c r="E29" s="294"/>
      <c r="F29" s="294"/>
      <c r="G29" s="188"/>
      <c r="H29" s="296">
        <f t="shared" si="0"/>
        <v>0</v>
      </c>
      <c r="I29" s="296">
        <f t="shared" si="1"/>
        <v>0</v>
      </c>
    </row>
    <row r="30" spans="2:9" x14ac:dyDescent="0.25">
      <c r="B30" s="183"/>
      <c r="C30" s="183"/>
      <c r="D30" s="183"/>
      <c r="E30" s="294"/>
      <c r="F30" s="294"/>
      <c r="G30" s="188"/>
      <c r="H30" s="296">
        <f t="shared" si="0"/>
        <v>0</v>
      </c>
      <c r="I30" s="296">
        <f t="shared" si="1"/>
        <v>0</v>
      </c>
    </row>
    <row r="31" spans="2:9" x14ac:dyDescent="0.25">
      <c r="B31" s="183"/>
      <c r="C31" s="183"/>
      <c r="D31" s="183"/>
      <c r="E31" s="294"/>
      <c r="F31" s="294"/>
      <c r="G31" s="188"/>
      <c r="H31" s="296">
        <f t="shared" si="0"/>
        <v>0</v>
      </c>
      <c r="I31" s="296">
        <f t="shared" si="1"/>
        <v>0</v>
      </c>
    </row>
    <row r="32" spans="2:9" x14ac:dyDescent="0.25">
      <c r="B32" s="183"/>
      <c r="C32" s="183"/>
      <c r="D32" s="183"/>
      <c r="E32" s="294"/>
      <c r="F32" s="294"/>
      <c r="G32" s="188"/>
      <c r="H32" s="296">
        <f t="shared" si="0"/>
        <v>0</v>
      </c>
      <c r="I32" s="296">
        <f t="shared" si="1"/>
        <v>0</v>
      </c>
    </row>
    <row r="33" spans="2:9" x14ac:dyDescent="0.25">
      <c r="B33" s="183"/>
      <c r="C33" s="183"/>
      <c r="D33" s="183"/>
      <c r="E33" s="294"/>
      <c r="F33" s="294"/>
      <c r="G33" s="188"/>
      <c r="H33" s="296">
        <f t="shared" si="0"/>
        <v>0</v>
      </c>
      <c r="I33" s="296">
        <f t="shared" si="1"/>
        <v>0</v>
      </c>
    </row>
    <row r="34" spans="2:9" x14ac:dyDescent="0.25">
      <c r="B34" s="183"/>
      <c r="C34" s="183"/>
      <c r="D34" s="183"/>
      <c r="E34" s="294"/>
      <c r="F34" s="294"/>
      <c r="G34" s="188"/>
      <c r="H34" s="296">
        <f t="shared" si="0"/>
        <v>0</v>
      </c>
      <c r="I34" s="296">
        <f t="shared" si="1"/>
        <v>0</v>
      </c>
    </row>
    <row r="35" spans="2:9" x14ac:dyDescent="0.25">
      <c r="B35" s="183"/>
      <c r="C35" s="183"/>
      <c r="D35" s="183"/>
      <c r="E35" s="294"/>
      <c r="F35" s="294"/>
      <c r="G35" s="188"/>
      <c r="H35" s="296">
        <f t="shared" si="0"/>
        <v>0</v>
      </c>
      <c r="I35" s="296">
        <f t="shared" si="1"/>
        <v>0</v>
      </c>
    </row>
    <row r="36" spans="2:9" x14ac:dyDescent="0.25">
      <c r="B36" s="39"/>
      <c r="C36" s="516" t="s">
        <v>120</v>
      </c>
      <c r="D36" s="517"/>
      <c r="E36" s="296">
        <f>SUM(E9:E17)</f>
        <v>-151553930.7993663</v>
      </c>
      <c r="F36" s="296">
        <f>SUM(F9:F17)</f>
        <v>0</v>
      </c>
      <c r="G36" s="189"/>
      <c r="H36" s="296">
        <f>SUM(H9:H17)</f>
        <v>-252305.04522754211</v>
      </c>
      <c r="I36" s="296">
        <f>SUM(I9:I17)</f>
        <v>0</v>
      </c>
    </row>
  </sheetData>
  <mergeCells count="3">
    <mergeCell ref="B1:C1"/>
    <mergeCell ref="C36:D36"/>
    <mergeCell ref="F2:H4"/>
  </mergeCells>
  <phoneticPr fontId="27" type="noConversion"/>
  <pageMargins left="0.23622047244094491" right="0.23622047244094491" top="0.74803149606299213" bottom="0.74803149606299213" header="0.31496062992125984" footer="0.31496062992125984"/>
  <pageSetup paperSize="9" scale="76" orientation="landscape" r:id="rId1"/>
  <headerFooter alignWithMargins="0">
    <oddFooter>&amp;A&amp;RPage &amp;P</oddFooter>
  </headerFooter>
  <ignoredErrors>
    <ignoredError sqref="H17:I17" formula="1"/>
  </ignoredError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rgb="FF009999"/>
    <pageSetUpPr fitToPage="1"/>
  </sheetPr>
  <dimension ref="B1:AD96"/>
  <sheetViews>
    <sheetView zoomScale="80" zoomScaleNormal="80" workbookViewId="0">
      <pane xSplit="3" ySplit="12" topLeftCell="D13" activePane="bottomRight" state="frozen"/>
      <selection pane="topRight"/>
      <selection pane="bottomLeft"/>
      <selection pane="bottomRight" activeCell="D13" sqref="D13"/>
    </sheetView>
  </sheetViews>
  <sheetFormatPr defaultColWidth="9" defaultRowHeight="13.2" x14ac:dyDescent="0.25"/>
  <cols>
    <col min="1" max="1" width="11.8984375" style="19" customWidth="1"/>
    <col min="2" max="2" width="21.59765625" style="19" customWidth="1"/>
    <col min="3" max="3" width="53.09765625" style="19" customWidth="1"/>
    <col min="4" max="4" width="22.19921875" style="19" customWidth="1"/>
    <col min="5" max="30" width="20.59765625" style="19" customWidth="1"/>
    <col min="31" max="16384" width="9" style="19"/>
  </cols>
  <sheetData>
    <row r="1" spans="2:30" ht="21" x14ac:dyDescent="0.4">
      <c r="B1" s="520" t="s">
        <v>173</v>
      </c>
      <c r="C1" s="520"/>
      <c r="D1" s="261"/>
    </row>
    <row r="2" spans="2:30" ht="13.8" x14ac:dyDescent="0.25">
      <c r="C2" s="46" t="str">
        <f>Tradingname</f>
        <v>Southern Cross Pipelines Australia Pty Limited</v>
      </c>
      <c r="D2" s="47"/>
      <c r="E2" s="47"/>
      <c r="F2" s="47"/>
    </row>
    <row r="3" spans="2:30" ht="13.8" x14ac:dyDescent="0.25">
      <c r="C3" s="48" t="s">
        <v>157</v>
      </c>
      <c r="D3" s="49">
        <f>Yearending</f>
        <v>44742</v>
      </c>
      <c r="E3" s="49"/>
      <c r="F3" s="49"/>
    </row>
    <row r="4" spans="2:30" ht="13.8" x14ac:dyDescent="0.25">
      <c r="C4" s="48" t="s">
        <v>219</v>
      </c>
      <c r="D4" s="49">
        <f>Cover!C25</f>
        <v>35247</v>
      </c>
      <c r="E4" s="49"/>
      <c r="F4" s="49"/>
    </row>
    <row r="5" spans="2:30" ht="13.8" x14ac:dyDescent="0.25">
      <c r="C5" s="48" t="s">
        <v>220</v>
      </c>
      <c r="D5" s="377">
        <v>12016834</v>
      </c>
      <c r="E5" s="49"/>
      <c r="F5" s="49"/>
      <c r="G5" s="40"/>
      <c r="H5" s="40"/>
      <c r="I5" s="40"/>
      <c r="J5" s="40"/>
      <c r="K5" s="40"/>
      <c r="L5" s="40"/>
      <c r="M5" s="40"/>
      <c r="N5" s="40"/>
      <c r="O5" s="40"/>
      <c r="P5" s="40"/>
      <c r="Q5" s="40"/>
      <c r="R5" s="40"/>
      <c r="S5" s="40"/>
      <c r="T5" s="40"/>
      <c r="U5" s="40"/>
      <c r="V5" s="40"/>
      <c r="W5" s="40"/>
      <c r="X5" s="40"/>
      <c r="Y5" s="40"/>
      <c r="Z5" s="40"/>
      <c r="AA5" s="40"/>
      <c r="AB5" s="40"/>
      <c r="AC5" s="40"/>
    </row>
    <row r="6" spans="2:30" x14ac:dyDescent="0.25">
      <c r="D6" s="40"/>
      <c r="E6" s="40"/>
      <c r="F6" s="40"/>
      <c r="G6" s="40"/>
      <c r="H6" s="40"/>
      <c r="I6" s="40"/>
      <c r="J6" s="40"/>
      <c r="K6" s="40"/>
      <c r="L6" s="40"/>
      <c r="M6" s="40"/>
      <c r="N6" s="40"/>
      <c r="O6" s="40"/>
      <c r="P6" s="40"/>
      <c r="Q6" s="40"/>
      <c r="R6" s="40"/>
      <c r="S6" s="40"/>
      <c r="T6" s="40"/>
      <c r="U6" s="40"/>
      <c r="V6" s="40"/>
      <c r="W6" s="40"/>
      <c r="X6" s="40"/>
      <c r="Y6" s="40"/>
      <c r="Z6" s="40"/>
      <c r="AA6" s="40"/>
      <c r="AB6" s="40"/>
      <c r="AC6" s="40"/>
    </row>
    <row r="7" spans="2:30" ht="15.6" x14ac:dyDescent="0.25">
      <c r="B7" s="511" t="s">
        <v>174</v>
      </c>
      <c r="C7" s="511"/>
      <c r="D7" s="51"/>
      <c r="E7" s="51"/>
      <c r="F7" s="51"/>
      <c r="G7" s="51"/>
      <c r="H7" s="51"/>
      <c r="I7" s="51"/>
      <c r="J7" s="51"/>
      <c r="K7" s="51"/>
      <c r="L7" s="51"/>
      <c r="M7" s="51"/>
      <c r="N7" s="51"/>
      <c r="O7" s="51"/>
      <c r="P7" s="51"/>
      <c r="Q7" s="51"/>
      <c r="R7" s="51"/>
      <c r="S7" s="51"/>
      <c r="T7" s="51"/>
      <c r="U7" s="51"/>
      <c r="V7" s="51"/>
      <c r="W7" s="51"/>
      <c r="X7" s="51"/>
      <c r="Y7" s="51"/>
      <c r="Z7" s="51"/>
      <c r="AA7" s="51"/>
      <c r="AB7" s="51"/>
      <c r="AC7" s="51"/>
    </row>
    <row r="8" spans="2:30" ht="13.2" customHeight="1" x14ac:dyDescent="0.25">
      <c r="D8" s="512" t="s">
        <v>76</v>
      </c>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4"/>
    </row>
    <row r="9" spans="2:30" ht="26.4" customHeight="1" x14ac:dyDescent="0.25">
      <c r="B9" s="521" t="s">
        <v>194</v>
      </c>
      <c r="C9" s="523" t="s">
        <v>17</v>
      </c>
      <c r="D9" s="159" t="str">
        <f>YEAR(Cover!$C$25)-1&amp;"-"&amp;RIGHT(YEAR(Cover!$C$25),2)</f>
        <v>1995-96</v>
      </c>
      <c r="E9" s="159" t="str">
        <f>YEAR(Cover!$C$25)&amp;"-"&amp;RIGHT(YEAR(Cover!$C$25)+1,2)</f>
        <v>1996-97</v>
      </c>
      <c r="F9" s="159" t="str">
        <f>YEAR(Cover!$C$25)+1&amp;"-"&amp;RIGHT(YEAR(Cover!$C$25)+2,2)</f>
        <v>1997-98</v>
      </c>
      <c r="G9" s="159" t="str">
        <f>YEAR(Cover!$C$25)+2&amp;"-"&amp;RIGHT(YEAR(Cover!$C$25)+3,2)</f>
        <v>1998-99</v>
      </c>
      <c r="H9" s="407" t="str">
        <f>YEAR(Cover!$C$25)+3&amp;"-"&amp;RIGHT(YEAR(Cover!$C$25)+4,2)</f>
        <v>1999-00</v>
      </c>
      <c r="I9" s="407" t="str">
        <f>YEAR(Cover!$C$25)+4&amp;"-"&amp;RIGHT(YEAR(Cover!$C$25)+5,2)</f>
        <v>2000-01</v>
      </c>
      <c r="J9" s="407" t="str">
        <f>YEAR(Cover!$C$25)+5&amp;"-"&amp;RIGHT(YEAR(Cover!$C$25)+6,2)</f>
        <v>2001-02</v>
      </c>
      <c r="K9" s="407" t="str">
        <f>YEAR(Cover!$C$25)+6&amp;"-"&amp;RIGHT(YEAR(Cover!$C$25)+7,2)</f>
        <v>2002-03</v>
      </c>
      <c r="L9" s="407" t="str">
        <f>YEAR(Cover!$C$25)+7&amp;"-"&amp;RIGHT(YEAR(Cover!$C$25)+8,2)</f>
        <v>2003-04</v>
      </c>
      <c r="M9" s="407" t="str">
        <f>YEAR(Cover!$C$25)+8&amp;"-"&amp;RIGHT(YEAR(Cover!$C$25)+9,2)</f>
        <v>2004-05</v>
      </c>
      <c r="N9" s="407" t="str">
        <f>YEAR(Cover!$C$25)+9&amp;"-"&amp;RIGHT(YEAR(Cover!$C$25)+10,2)</f>
        <v>2005-06</v>
      </c>
      <c r="O9" s="407" t="str">
        <f>YEAR(Cover!$C$25)+10&amp;"-"&amp;RIGHT(YEAR(Cover!$C$25)+11,2)</f>
        <v>2006-07</v>
      </c>
      <c r="P9" s="407" t="str">
        <f>YEAR(Cover!$C$25)+11&amp;"-"&amp;RIGHT(YEAR(Cover!$C$25)+12,2)</f>
        <v>2007-08</v>
      </c>
      <c r="Q9" s="407" t="str">
        <f>YEAR(Cover!$C$25)+12&amp;"-"&amp;RIGHT(YEAR(Cover!$C$25)+13,2)</f>
        <v>2008-09</v>
      </c>
      <c r="R9" s="407" t="str">
        <f>YEAR(Cover!$C$25)+13&amp;"-"&amp;RIGHT(YEAR(Cover!$C$25)+14,2)</f>
        <v>2009-10</v>
      </c>
      <c r="S9" s="407" t="str">
        <f>YEAR(Cover!$C$25)+14&amp;"-"&amp;RIGHT(YEAR(Cover!$C$25)+15,2)</f>
        <v>2010-11</v>
      </c>
      <c r="T9" s="407" t="str">
        <f>YEAR(Cover!$C$25)+15&amp;"-"&amp;RIGHT(YEAR(Cover!$C$25)+16,2)</f>
        <v>2011-12</v>
      </c>
      <c r="U9" s="407" t="str">
        <f>YEAR(Cover!$C$25)+16&amp;"-"&amp;RIGHT(YEAR(Cover!$C$25)+17,2)</f>
        <v>2012-13</v>
      </c>
      <c r="V9" s="407" t="str">
        <f>YEAR(Cover!$C$25)+17&amp;"-"&amp;RIGHT(YEAR(Cover!$C$25)+18,2)</f>
        <v>2013-14</v>
      </c>
      <c r="W9" s="407" t="str">
        <f>YEAR(Cover!$C$25)+18&amp;"-"&amp;RIGHT(YEAR(Cover!$C$25)+19,2)</f>
        <v>2014-15</v>
      </c>
      <c r="X9" s="407" t="str">
        <f>YEAR(Cover!$C$25)+19&amp;"-"&amp;RIGHT(YEAR(Cover!$C$25)+20,2)</f>
        <v>2015-16</v>
      </c>
      <c r="Y9" s="407" t="str">
        <f>YEAR(Cover!$C$25)+20&amp;"-"&amp;RIGHT(YEAR(Cover!$C$25)+21,2)</f>
        <v>2016-17</v>
      </c>
      <c r="Z9" s="407" t="str">
        <f>YEAR(Cover!$C$25)+21&amp;"-"&amp;RIGHT(YEAR(Cover!$C$25)+22,2)</f>
        <v>2017-18</v>
      </c>
      <c r="AA9" s="407" t="str">
        <f>YEAR(Cover!$C$25)+22&amp;"-"&amp;RIGHT(YEAR(Cover!$C$25)+23,2)</f>
        <v>2018-19</v>
      </c>
      <c r="AB9" s="407" t="str">
        <f>YEAR(Cover!$C$25)+23&amp;"-"&amp;RIGHT(YEAR(Cover!$C$25)+24,2)</f>
        <v>2019-20</v>
      </c>
      <c r="AC9" s="442" t="str">
        <f>YEAR(Cover!$C$25)+24&amp;"-"&amp;RIGHT(YEAR(Cover!$C$25)+25,2)</f>
        <v>2020-21</v>
      </c>
      <c r="AD9" s="159" t="str">
        <f>YEAR(Cover!$C$21)&amp;"-"&amp;RIGHT(YEAR(Cover!$C$23),2)</f>
        <v>2021-22</v>
      </c>
    </row>
    <row r="10" spans="2:30" x14ac:dyDescent="0.25">
      <c r="B10" s="522"/>
      <c r="C10" s="523"/>
      <c r="D10" s="147" t="s">
        <v>180</v>
      </c>
      <c r="E10" s="147" t="s">
        <v>180</v>
      </c>
      <c r="F10" s="147" t="s">
        <v>180</v>
      </c>
      <c r="G10" s="147" t="s">
        <v>180</v>
      </c>
      <c r="H10" s="147" t="s">
        <v>180</v>
      </c>
      <c r="I10" s="147" t="s">
        <v>180</v>
      </c>
      <c r="J10" s="147" t="s">
        <v>180</v>
      </c>
      <c r="K10" s="147" t="s">
        <v>180</v>
      </c>
      <c r="L10" s="147" t="s">
        <v>180</v>
      </c>
      <c r="M10" s="147" t="s">
        <v>180</v>
      </c>
      <c r="N10" s="147" t="s">
        <v>180</v>
      </c>
      <c r="O10" s="147" t="s">
        <v>180</v>
      </c>
      <c r="P10" s="147" t="s">
        <v>180</v>
      </c>
      <c r="Q10" s="147" t="s">
        <v>180</v>
      </c>
      <c r="R10" s="147" t="s">
        <v>180</v>
      </c>
      <c r="S10" s="147" t="s">
        <v>180</v>
      </c>
      <c r="T10" s="147" t="s">
        <v>180</v>
      </c>
      <c r="U10" s="147" t="s">
        <v>180</v>
      </c>
      <c r="V10" s="147" t="s">
        <v>180</v>
      </c>
      <c r="W10" s="147" t="s">
        <v>180</v>
      </c>
      <c r="X10" s="147" t="s">
        <v>180</v>
      </c>
      <c r="Y10" s="147" t="s">
        <v>180</v>
      </c>
      <c r="Z10" s="147" t="s">
        <v>180</v>
      </c>
      <c r="AA10" s="147" t="s">
        <v>180</v>
      </c>
      <c r="AB10" s="147" t="s">
        <v>180</v>
      </c>
      <c r="AC10" s="147" t="s">
        <v>180</v>
      </c>
      <c r="AD10" s="147" t="s">
        <v>180</v>
      </c>
    </row>
    <row r="11" spans="2:30" x14ac:dyDescent="0.25">
      <c r="B11" s="195"/>
      <c r="C11" s="339" t="s">
        <v>63</v>
      </c>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row>
    <row r="12" spans="2:30" x14ac:dyDescent="0.25">
      <c r="B12" s="193"/>
      <c r="C12" s="194" t="s">
        <v>128</v>
      </c>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row>
    <row r="13" spans="2:30" x14ac:dyDescent="0.25">
      <c r="B13" s="414">
        <v>3.4</v>
      </c>
      <c r="C13" s="191" t="s">
        <v>216</v>
      </c>
      <c r="D13" s="297"/>
      <c r="E13" s="281">
        <f>D18</f>
        <v>0</v>
      </c>
      <c r="F13" s="281">
        <f>E18</f>
        <v>12709612.786901509</v>
      </c>
      <c r="G13" s="281">
        <f>F18</f>
        <v>12634801.944744714</v>
      </c>
      <c r="H13" s="281">
        <f t="shared" ref="H13:AB13" si="0">G18</f>
        <v>12610086.237071574</v>
      </c>
      <c r="I13" s="281">
        <f t="shared" si="0"/>
        <v>12850021.249955351</v>
      </c>
      <c r="J13" s="281">
        <f t="shared" si="0"/>
        <v>13456516.179383202</v>
      </c>
      <c r="K13" s="281">
        <f t="shared" si="0"/>
        <v>13661583.79627179</v>
      </c>
      <c r="L13" s="281">
        <f t="shared" si="0"/>
        <v>13849529.17671139</v>
      </c>
      <c r="M13" s="281">
        <f t="shared" si="0"/>
        <v>14005156.214864414</v>
      </c>
      <c r="N13" s="281">
        <f t="shared" si="0"/>
        <v>14347140.273501247</v>
      </c>
      <c r="O13" s="281">
        <f t="shared" si="0"/>
        <v>14718321.051950658</v>
      </c>
      <c r="P13" s="281">
        <f t="shared" si="0"/>
        <v>14808346.145180004</v>
      </c>
      <c r="Q13" s="281">
        <f t="shared" si="0"/>
        <v>15601832.326216631</v>
      </c>
      <c r="R13" s="281">
        <f t="shared" si="0"/>
        <v>15595222.80160052</v>
      </c>
      <c r="S13" s="281">
        <f t="shared" si="0"/>
        <v>15833974.026636645</v>
      </c>
      <c r="T13" s="281">
        <f t="shared" si="0"/>
        <v>16159638.539740114</v>
      </c>
      <c r="U13" s="281">
        <f t="shared" si="0"/>
        <v>16096384.074694781</v>
      </c>
      <c r="V13" s="281">
        <f t="shared" si="0"/>
        <v>16224590.431651901</v>
      </c>
      <c r="W13" s="281">
        <f t="shared" si="0"/>
        <v>16451152.514365349</v>
      </c>
      <c r="X13" s="281">
        <f t="shared" si="0"/>
        <v>16429083.510926222</v>
      </c>
      <c r="Y13" s="281">
        <f t="shared" si="0"/>
        <v>16322483.562457144</v>
      </c>
      <c r="Z13" s="281">
        <f t="shared" si="0"/>
        <v>16512278.780911569</v>
      </c>
      <c r="AA13" s="281">
        <f t="shared" si="0"/>
        <v>16579575.851090651</v>
      </c>
      <c r="AB13" s="281">
        <f t="shared" si="0"/>
        <v>16562169.043586778</v>
      </c>
      <c r="AC13" s="281">
        <f>AB18</f>
        <v>16218470.721384017</v>
      </c>
      <c r="AD13" s="452">
        <f>AC18</f>
        <v>16557264.122980474</v>
      </c>
    </row>
    <row r="14" spans="2:30" x14ac:dyDescent="0.25">
      <c r="B14" s="414">
        <v>3.4</v>
      </c>
      <c r="C14" s="191" t="s">
        <v>217</v>
      </c>
      <c r="D14" s="297"/>
      <c r="E14" s="297">
        <v>12709612.786901509</v>
      </c>
      <c r="F14" s="297">
        <v>0</v>
      </c>
      <c r="G14" s="297">
        <v>0</v>
      </c>
      <c r="H14" s="297">
        <v>0</v>
      </c>
      <c r="I14" s="297">
        <v>0</v>
      </c>
      <c r="J14" s="297">
        <v>330.46645331048938</v>
      </c>
      <c r="K14" s="297">
        <v>3071.2365472136385</v>
      </c>
      <c r="L14" s="297">
        <v>0</v>
      </c>
      <c r="M14" s="297">
        <v>185857.8019467867</v>
      </c>
      <c r="N14" s="297">
        <v>0</v>
      </c>
      <c r="O14" s="297">
        <v>0</v>
      </c>
      <c r="P14" s="297">
        <v>345614.17989823152</v>
      </c>
      <c r="Q14" s="297">
        <v>0</v>
      </c>
      <c r="R14" s="297">
        <v>0</v>
      </c>
      <c r="S14" s="297">
        <v>0</v>
      </c>
      <c r="T14" s="297">
        <v>0</v>
      </c>
      <c r="U14" s="297">
        <v>0</v>
      </c>
      <c r="V14" s="297">
        <v>0</v>
      </c>
      <c r="W14" s="297">
        <v>0</v>
      </c>
      <c r="X14" s="297">
        <v>0</v>
      </c>
      <c r="Y14" s="297">
        <v>142925.45576382839</v>
      </c>
      <c r="Z14" s="297">
        <v>0</v>
      </c>
      <c r="AA14" s="297">
        <v>0</v>
      </c>
      <c r="AB14" s="297">
        <v>0</v>
      </c>
      <c r="AC14" s="297">
        <v>0</v>
      </c>
      <c r="AD14" s="297">
        <v>0</v>
      </c>
    </row>
    <row r="15" spans="2:30" x14ac:dyDescent="0.25">
      <c r="B15" s="192"/>
      <c r="C15" s="309" t="s">
        <v>127</v>
      </c>
      <c r="D15" s="281">
        <f>D13+D14</f>
        <v>0</v>
      </c>
      <c r="E15" s="281">
        <f>E13+E14</f>
        <v>12709612.786901509</v>
      </c>
      <c r="F15" s="281">
        <f>F13+F14</f>
        <v>12709612.786901509</v>
      </c>
      <c r="G15" s="281">
        <f>G13+G14</f>
        <v>12634801.944744714</v>
      </c>
      <c r="H15" s="281">
        <f t="shared" ref="H15:AB15" si="1">H13+H14</f>
        <v>12610086.237071574</v>
      </c>
      <c r="I15" s="281">
        <f t="shared" si="1"/>
        <v>12850021.249955351</v>
      </c>
      <c r="J15" s="281">
        <f t="shared" si="1"/>
        <v>13456846.645836512</v>
      </c>
      <c r="K15" s="281">
        <f t="shared" si="1"/>
        <v>13664655.032819003</v>
      </c>
      <c r="L15" s="281">
        <f t="shared" si="1"/>
        <v>13849529.17671139</v>
      </c>
      <c r="M15" s="281">
        <f t="shared" si="1"/>
        <v>14191014.016811201</v>
      </c>
      <c r="N15" s="281">
        <f t="shared" si="1"/>
        <v>14347140.273501247</v>
      </c>
      <c r="O15" s="281">
        <f t="shared" si="1"/>
        <v>14718321.051950658</v>
      </c>
      <c r="P15" s="281">
        <f t="shared" si="1"/>
        <v>15153960.325078236</v>
      </c>
      <c r="Q15" s="281">
        <f t="shared" si="1"/>
        <v>15601832.326216631</v>
      </c>
      <c r="R15" s="281">
        <f t="shared" si="1"/>
        <v>15595222.80160052</v>
      </c>
      <c r="S15" s="281">
        <f t="shared" si="1"/>
        <v>15833974.026636645</v>
      </c>
      <c r="T15" s="281">
        <f t="shared" si="1"/>
        <v>16159638.539740114</v>
      </c>
      <c r="U15" s="281">
        <f t="shared" si="1"/>
        <v>16096384.074694781</v>
      </c>
      <c r="V15" s="281">
        <f t="shared" si="1"/>
        <v>16224590.431651901</v>
      </c>
      <c r="W15" s="281">
        <f t="shared" si="1"/>
        <v>16451152.514365349</v>
      </c>
      <c r="X15" s="281">
        <f t="shared" si="1"/>
        <v>16429083.510926222</v>
      </c>
      <c r="Y15" s="281">
        <f t="shared" si="1"/>
        <v>16465409.018220972</v>
      </c>
      <c r="Z15" s="281">
        <f t="shared" si="1"/>
        <v>16512278.780911569</v>
      </c>
      <c r="AA15" s="281">
        <f t="shared" si="1"/>
        <v>16579575.851090651</v>
      </c>
      <c r="AB15" s="281">
        <f t="shared" si="1"/>
        <v>16562169.043586778</v>
      </c>
      <c r="AC15" s="281">
        <f>AC13+AC14</f>
        <v>16218470.721384017</v>
      </c>
      <c r="AD15" s="452">
        <f>AD13+AD14</f>
        <v>16557264.122980474</v>
      </c>
    </row>
    <row r="16" spans="2:30" x14ac:dyDescent="0.25">
      <c r="B16" s="414">
        <v>3.4</v>
      </c>
      <c r="C16" s="191" t="s">
        <v>235</v>
      </c>
      <c r="D16" s="297"/>
      <c r="E16" s="297">
        <v>0</v>
      </c>
      <c r="F16" s="297">
        <v>0</v>
      </c>
      <c r="G16" s="297">
        <v>0</v>
      </c>
      <c r="H16" s="297">
        <v>0</v>
      </c>
      <c r="I16" s="297">
        <v>0</v>
      </c>
      <c r="J16" s="297">
        <v>0</v>
      </c>
      <c r="K16" s="297">
        <v>0</v>
      </c>
      <c r="L16" s="297">
        <v>0</v>
      </c>
      <c r="M16" s="297">
        <v>0</v>
      </c>
      <c r="N16" s="297">
        <v>0</v>
      </c>
      <c r="O16" s="297">
        <v>0</v>
      </c>
      <c r="P16" s="297">
        <v>0</v>
      </c>
      <c r="Q16" s="297">
        <v>0</v>
      </c>
      <c r="R16" s="297">
        <v>0</v>
      </c>
      <c r="S16" s="297">
        <v>0</v>
      </c>
      <c r="T16" s="297">
        <v>0</v>
      </c>
      <c r="U16" s="297">
        <v>0</v>
      </c>
      <c r="V16" s="297">
        <v>0</v>
      </c>
      <c r="W16" s="297">
        <v>0</v>
      </c>
      <c r="X16" s="297">
        <v>0</v>
      </c>
      <c r="Y16" s="297">
        <v>0</v>
      </c>
      <c r="Z16" s="297">
        <v>0</v>
      </c>
      <c r="AA16" s="297">
        <v>0</v>
      </c>
      <c r="AB16" s="297">
        <v>0</v>
      </c>
      <c r="AC16" s="297">
        <v>0</v>
      </c>
      <c r="AD16" s="460">
        <v>0</v>
      </c>
    </row>
    <row r="17" spans="2:30" x14ac:dyDescent="0.25">
      <c r="B17" s="414">
        <v>3.4</v>
      </c>
      <c r="C17" s="191" t="s">
        <v>218</v>
      </c>
      <c r="D17" s="297"/>
      <c r="E17" s="297">
        <v>0</v>
      </c>
      <c r="F17" s="297">
        <v>-74810.842156795319</v>
      </c>
      <c r="G17" s="297">
        <v>-24715.707673139077</v>
      </c>
      <c r="H17" s="297">
        <v>239935.01288377764</v>
      </c>
      <c r="I17" s="297">
        <v>606494.92942785111</v>
      </c>
      <c r="J17" s="297">
        <v>204737.15043527845</v>
      </c>
      <c r="K17" s="297">
        <v>184874.14389238699</v>
      </c>
      <c r="L17" s="297">
        <v>155627.03815302395</v>
      </c>
      <c r="M17" s="297">
        <v>156126.25669004489</v>
      </c>
      <c r="N17" s="297">
        <v>371180.77844940987</v>
      </c>
      <c r="O17" s="297">
        <v>90025.093229346632</v>
      </c>
      <c r="P17" s="297">
        <v>447872.00113839511</v>
      </c>
      <c r="Q17" s="297">
        <v>-6609.5246161116393</v>
      </c>
      <c r="R17" s="297">
        <v>238751.22503612592</v>
      </c>
      <c r="S17" s="297">
        <v>325664.51310346922</v>
      </c>
      <c r="T17" s="297">
        <v>-63254.465045332276</v>
      </c>
      <c r="U17" s="297">
        <v>128206.35695712018</v>
      </c>
      <c r="V17" s="297">
        <v>226562.08271344812</v>
      </c>
      <c r="W17" s="297">
        <v>-22069.003439126518</v>
      </c>
      <c r="X17" s="297">
        <v>-106599.94846907769</v>
      </c>
      <c r="Y17" s="297">
        <v>46869.762690596952</v>
      </c>
      <c r="Z17" s="297">
        <v>67297.07017908321</v>
      </c>
      <c r="AA17" s="297">
        <v>-17406.807503873577</v>
      </c>
      <c r="AB17" s="297">
        <v>-343698.32220276102</v>
      </c>
      <c r="AC17" s="297">
        <v>338793.40159645717</v>
      </c>
      <c r="AD17" s="297">
        <v>721452.40493138391</v>
      </c>
    </row>
    <row r="18" spans="2:30" x14ac:dyDescent="0.25">
      <c r="B18" s="192"/>
      <c r="C18" s="309" t="s">
        <v>64</v>
      </c>
      <c r="D18" s="281">
        <f>SUM(D15:D17)</f>
        <v>0</v>
      </c>
      <c r="E18" s="281">
        <f>SUM(E15:E17)</f>
        <v>12709612.786901509</v>
      </c>
      <c r="F18" s="281">
        <f>SUM(F15:F17)</f>
        <v>12634801.944744714</v>
      </c>
      <c r="G18" s="281">
        <f>SUM(G15:G17)</f>
        <v>12610086.237071574</v>
      </c>
      <c r="H18" s="281">
        <f t="shared" ref="H18:AB18" si="2">SUM(H15:H17)</f>
        <v>12850021.249955351</v>
      </c>
      <c r="I18" s="281">
        <f t="shared" si="2"/>
        <v>13456516.179383202</v>
      </c>
      <c r="J18" s="281">
        <f t="shared" si="2"/>
        <v>13661583.79627179</v>
      </c>
      <c r="K18" s="281">
        <f t="shared" si="2"/>
        <v>13849529.17671139</v>
      </c>
      <c r="L18" s="281">
        <f t="shared" si="2"/>
        <v>14005156.214864414</v>
      </c>
      <c r="M18" s="281">
        <f t="shared" si="2"/>
        <v>14347140.273501247</v>
      </c>
      <c r="N18" s="281">
        <f t="shared" si="2"/>
        <v>14718321.051950658</v>
      </c>
      <c r="O18" s="281">
        <f t="shared" si="2"/>
        <v>14808346.145180004</v>
      </c>
      <c r="P18" s="281">
        <f t="shared" si="2"/>
        <v>15601832.326216631</v>
      </c>
      <c r="Q18" s="281">
        <f t="shared" si="2"/>
        <v>15595222.80160052</v>
      </c>
      <c r="R18" s="281">
        <f t="shared" si="2"/>
        <v>15833974.026636645</v>
      </c>
      <c r="S18" s="281">
        <f t="shared" si="2"/>
        <v>16159638.539740114</v>
      </c>
      <c r="T18" s="281">
        <f t="shared" si="2"/>
        <v>16096384.074694781</v>
      </c>
      <c r="U18" s="281">
        <f t="shared" si="2"/>
        <v>16224590.431651901</v>
      </c>
      <c r="V18" s="281">
        <f t="shared" si="2"/>
        <v>16451152.514365349</v>
      </c>
      <c r="W18" s="281">
        <f t="shared" si="2"/>
        <v>16429083.510926222</v>
      </c>
      <c r="X18" s="281">
        <f t="shared" si="2"/>
        <v>16322483.562457144</v>
      </c>
      <c r="Y18" s="281">
        <f t="shared" si="2"/>
        <v>16512278.780911569</v>
      </c>
      <c r="Z18" s="281">
        <f t="shared" si="2"/>
        <v>16579575.851090651</v>
      </c>
      <c r="AA18" s="281">
        <f t="shared" si="2"/>
        <v>16562169.043586778</v>
      </c>
      <c r="AB18" s="281">
        <f t="shared" si="2"/>
        <v>16218470.721384017</v>
      </c>
      <c r="AC18" s="281">
        <f>SUM(AC15:AC17)</f>
        <v>16557264.122980474</v>
      </c>
      <c r="AD18" s="452">
        <f>SUM(AD15:AD17)</f>
        <v>17278716.527911857</v>
      </c>
    </row>
    <row r="19" spans="2:30" x14ac:dyDescent="0.25">
      <c r="B19" s="193"/>
      <c r="C19" s="194" t="s">
        <v>78</v>
      </c>
      <c r="D19" s="310"/>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451"/>
    </row>
    <row r="20" spans="2:30" x14ac:dyDescent="0.25">
      <c r="B20" s="414">
        <v>3.4</v>
      </c>
      <c r="C20" s="191" t="s">
        <v>216</v>
      </c>
      <c r="D20" s="299"/>
      <c r="E20" s="281">
        <f>D24</f>
        <v>0</v>
      </c>
      <c r="F20" s="281">
        <f t="shared" ref="F20:AB20" si="3">E24</f>
        <v>0</v>
      </c>
      <c r="G20" s="281">
        <f t="shared" si="3"/>
        <v>0</v>
      </c>
      <c r="H20" s="281">
        <f t="shared" si="3"/>
        <v>0</v>
      </c>
      <c r="I20" s="281">
        <f t="shared" si="3"/>
        <v>0</v>
      </c>
      <c r="J20" s="281">
        <f t="shared" si="3"/>
        <v>0</v>
      </c>
      <c r="K20" s="281">
        <f t="shared" si="3"/>
        <v>0</v>
      </c>
      <c r="L20" s="281">
        <f t="shared" si="3"/>
        <v>0</v>
      </c>
      <c r="M20" s="281">
        <f t="shared" si="3"/>
        <v>0</v>
      </c>
      <c r="N20" s="281">
        <f t="shared" si="3"/>
        <v>0</v>
      </c>
      <c r="O20" s="281">
        <f t="shared" si="3"/>
        <v>0</v>
      </c>
      <c r="P20" s="281">
        <f t="shared" si="3"/>
        <v>0</v>
      </c>
      <c r="Q20" s="281">
        <f t="shared" si="3"/>
        <v>0</v>
      </c>
      <c r="R20" s="281">
        <f t="shared" si="3"/>
        <v>0</v>
      </c>
      <c r="S20" s="281">
        <f t="shared" si="3"/>
        <v>0</v>
      </c>
      <c r="T20" s="281">
        <f t="shared" si="3"/>
        <v>0</v>
      </c>
      <c r="U20" s="281">
        <f t="shared" si="3"/>
        <v>0</v>
      </c>
      <c r="V20" s="281">
        <f t="shared" si="3"/>
        <v>0</v>
      </c>
      <c r="W20" s="281">
        <f t="shared" si="3"/>
        <v>0</v>
      </c>
      <c r="X20" s="281">
        <f t="shared" si="3"/>
        <v>0</v>
      </c>
      <c r="Y20" s="281">
        <f t="shared" si="3"/>
        <v>0</v>
      </c>
      <c r="Z20" s="281">
        <f t="shared" si="3"/>
        <v>0</v>
      </c>
      <c r="AA20" s="281">
        <f t="shared" si="3"/>
        <v>0</v>
      </c>
      <c r="AB20" s="281">
        <f t="shared" si="3"/>
        <v>0</v>
      </c>
      <c r="AC20" s="281">
        <f>AB24</f>
        <v>0</v>
      </c>
      <c r="AD20" s="452">
        <f>AC24</f>
        <v>0</v>
      </c>
    </row>
    <row r="21" spans="2:30" x14ac:dyDescent="0.25">
      <c r="B21" s="414">
        <v>3.4</v>
      </c>
      <c r="C21" s="191" t="s">
        <v>192</v>
      </c>
      <c r="D21" s="299"/>
      <c r="E21" s="299">
        <v>0</v>
      </c>
      <c r="F21" s="299">
        <v>0</v>
      </c>
      <c r="G21" s="299">
        <v>0</v>
      </c>
      <c r="H21" s="299">
        <v>0</v>
      </c>
      <c r="I21" s="299">
        <v>0</v>
      </c>
      <c r="J21" s="299">
        <v>0</v>
      </c>
      <c r="K21" s="299">
        <v>0</v>
      </c>
      <c r="L21" s="299">
        <v>0</v>
      </c>
      <c r="M21" s="299">
        <v>0</v>
      </c>
      <c r="N21" s="299">
        <v>0</v>
      </c>
      <c r="O21" s="299">
        <v>0</v>
      </c>
      <c r="P21" s="299">
        <v>0</v>
      </c>
      <c r="Q21" s="299">
        <v>0</v>
      </c>
      <c r="R21" s="299">
        <v>0</v>
      </c>
      <c r="S21" s="299">
        <v>0</v>
      </c>
      <c r="T21" s="299">
        <v>0</v>
      </c>
      <c r="U21" s="299">
        <v>0</v>
      </c>
      <c r="V21" s="299">
        <v>0</v>
      </c>
      <c r="W21" s="299">
        <v>0</v>
      </c>
      <c r="X21" s="299">
        <v>0</v>
      </c>
      <c r="Y21" s="299">
        <v>0</v>
      </c>
      <c r="Z21" s="299">
        <v>0</v>
      </c>
      <c r="AA21" s="299">
        <v>0</v>
      </c>
      <c r="AB21" s="299">
        <v>0</v>
      </c>
      <c r="AC21" s="299">
        <v>0</v>
      </c>
      <c r="AD21" s="299">
        <v>0</v>
      </c>
    </row>
    <row r="22" spans="2:30" x14ac:dyDescent="0.25">
      <c r="B22" s="414">
        <v>3.4</v>
      </c>
      <c r="C22" s="308" t="s">
        <v>431</v>
      </c>
      <c r="D22" s="299"/>
      <c r="E22" s="299">
        <v>0</v>
      </c>
      <c r="F22" s="299">
        <v>0</v>
      </c>
      <c r="G22" s="299">
        <v>0</v>
      </c>
      <c r="H22" s="299">
        <v>0</v>
      </c>
      <c r="I22" s="299">
        <v>0</v>
      </c>
      <c r="J22" s="299">
        <v>0</v>
      </c>
      <c r="K22" s="299">
        <v>0</v>
      </c>
      <c r="L22" s="299">
        <v>0</v>
      </c>
      <c r="M22" s="299">
        <v>0</v>
      </c>
      <c r="N22" s="299">
        <v>0</v>
      </c>
      <c r="O22" s="299">
        <v>0</v>
      </c>
      <c r="P22" s="299">
        <v>0</v>
      </c>
      <c r="Q22" s="299">
        <v>0</v>
      </c>
      <c r="R22" s="299">
        <v>0</v>
      </c>
      <c r="S22" s="299">
        <v>0</v>
      </c>
      <c r="T22" s="299">
        <v>0</v>
      </c>
      <c r="U22" s="299">
        <v>0</v>
      </c>
      <c r="V22" s="299">
        <v>0</v>
      </c>
      <c r="W22" s="299">
        <v>0</v>
      </c>
      <c r="X22" s="299">
        <v>0</v>
      </c>
      <c r="Y22" s="299">
        <v>0</v>
      </c>
      <c r="Z22" s="299">
        <v>0</v>
      </c>
      <c r="AA22" s="299">
        <v>0</v>
      </c>
      <c r="AB22" s="299">
        <v>0</v>
      </c>
      <c r="AC22" s="299">
        <v>0</v>
      </c>
      <c r="AD22" s="299">
        <v>0</v>
      </c>
    </row>
    <row r="23" spans="2:30" x14ac:dyDescent="0.25">
      <c r="B23" s="414">
        <v>3.4</v>
      </c>
      <c r="C23" s="191" t="s">
        <v>236</v>
      </c>
      <c r="D23" s="299"/>
      <c r="E23" s="299">
        <v>0</v>
      </c>
      <c r="F23" s="299">
        <v>0</v>
      </c>
      <c r="G23" s="299">
        <v>0</v>
      </c>
      <c r="H23" s="299">
        <v>0</v>
      </c>
      <c r="I23" s="299">
        <v>0</v>
      </c>
      <c r="J23" s="299">
        <v>0</v>
      </c>
      <c r="K23" s="299">
        <v>0</v>
      </c>
      <c r="L23" s="299">
        <v>0</v>
      </c>
      <c r="M23" s="299">
        <v>0</v>
      </c>
      <c r="N23" s="299">
        <v>0</v>
      </c>
      <c r="O23" s="299">
        <v>0</v>
      </c>
      <c r="P23" s="299">
        <v>0</v>
      </c>
      <c r="Q23" s="299">
        <v>0</v>
      </c>
      <c r="R23" s="299">
        <v>0</v>
      </c>
      <c r="S23" s="299">
        <v>0</v>
      </c>
      <c r="T23" s="299">
        <v>0</v>
      </c>
      <c r="U23" s="299">
        <v>0</v>
      </c>
      <c r="V23" s="299">
        <v>0</v>
      </c>
      <c r="W23" s="299">
        <v>0</v>
      </c>
      <c r="X23" s="299">
        <v>0</v>
      </c>
      <c r="Y23" s="299">
        <v>0</v>
      </c>
      <c r="Z23" s="299">
        <v>0</v>
      </c>
      <c r="AA23" s="299">
        <v>0</v>
      </c>
      <c r="AB23" s="299">
        <v>0</v>
      </c>
      <c r="AC23" s="299">
        <v>0</v>
      </c>
      <c r="AD23" s="299">
        <v>0</v>
      </c>
    </row>
    <row r="24" spans="2:30" x14ac:dyDescent="0.25">
      <c r="B24" s="192"/>
      <c r="C24" s="309" t="s">
        <v>79</v>
      </c>
      <c r="D24" s="281">
        <f>SUM(D20:D23)</f>
        <v>0</v>
      </c>
      <c r="E24" s="281">
        <f>SUM(E20:E23)</f>
        <v>0</v>
      </c>
      <c r="F24" s="281">
        <f t="shared" ref="F24:AB24" si="4">SUM(F20:F23)</f>
        <v>0</v>
      </c>
      <c r="G24" s="281">
        <f t="shared" si="4"/>
        <v>0</v>
      </c>
      <c r="H24" s="281">
        <f t="shared" si="4"/>
        <v>0</v>
      </c>
      <c r="I24" s="281">
        <f t="shared" si="4"/>
        <v>0</v>
      </c>
      <c r="J24" s="281">
        <f t="shared" si="4"/>
        <v>0</v>
      </c>
      <c r="K24" s="281">
        <f t="shared" si="4"/>
        <v>0</v>
      </c>
      <c r="L24" s="281">
        <f t="shared" si="4"/>
        <v>0</v>
      </c>
      <c r="M24" s="281">
        <f t="shared" si="4"/>
        <v>0</v>
      </c>
      <c r="N24" s="281">
        <f t="shared" si="4"/>
        <v>0</v>
      </c>
      <c r="O24" s="281">
        <f t="shared" si="4"/>
        <v>0</v>
      </c>
      <c r="P24" s="281">
        <f t="shared" si="4"/>
        <v>0</v>
      </c>
      <c r="Q24" s="281">
        <f t="shared" si="4"/>
        <v>0</v>
      </c>
      <c r="R24" s="281">
        <f t="shared" si="4"/>
        <v>0</v>
      </c>
      <c r="S24" s="281">
        <f t="shared" si="4"/>
        <v>0</v>
      </c>
      <c r="T24" s="281">
        <f t="shared" si="4"/>
        <v>0</v>
      </c>
      <c r="U24" s="281">
        <f t="shared" si="4"/>
        <v>0</v>
      </c>
      <c r="V24" s="281">
        <f t="shared" si="4"/>
        <v>0</v>
      </c>
      <c r="W24" s="281">
        <f t="shared" si="4"/>
        <v>0</v>
      </c>
      <c r="X24" s="281">
        <f t="shared" si="4"/>
        <v>0</v>
      </c>
      <c r="Y24" s="281">
        <f t="shared" si="4"/>
        <v>0</v>
      </c>
      <c r="Z24" s="281">
        <f t="shared" si="4"/>
        <v>0</v>
      </c>
      <c r="AA24" s="281">
        <f t="shared" si="4"/>
        <v>0</v>
      </c>
      <c r="AB24" s="281">
        <f t="shared" si="4"/>
        <v>0</v>
      </c>
      <c r="AC24" s="452">
        <f>SUM(AC20:AC23)</f>
        <v>0</v>
      </c>
      <c r="AD24" s="452">
        <f>SUM(AD20:AD23)</f>
        <v>0</v>
      </c>
    </row>
    <row r="25" spans="2:30" x14ac:dyDescent="0.25">
      <c r="B25" s="193"/>
      <c r="C25" s="194" t="s">
        <v>129</v>
      </c>
      <c r="D25" s="310"/>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451"/>
    </row>
    <row r="26" spans="2:30" x14ac:dyDescent="0.25">
      <c r="B26" s="414">
        <v>3.4</v>
      </c>
      <c r="C26" s="191" t="s">
        <v>216</v>
      </c>
      <c r="D26" s="299"/>
      <c r="E26" s="281">
        <f>D30</f>
        <v>0</v>
      </c>
      <c r="F26" s="281">
        <f t="shared" ref="F26:AB26" si="5">E30</f>
        <v>0</v>
      </c>
      <c r="G26" s="281">
        <f t="shared" si="5"/>
        <v>0</v>
      </c>
      <c r="H26" s="281">
        <f t="shared" si="5"/>
        <v>0</v>
      </c>
      <c r="I26" s="281">
        <f t="shared" si="5"/>
        <v>0</v>
      </c>
      <c r="J26" s="281">
        <f t="shared" si="5"/>
        <v>0</v>
      </c>
      <c r="K26" s="281">
        <f t="shared" si="5"/>
        <v>11202.791785228552</v>
      </c>
      <c r="L26" s="281">
        <f t="shared" si="5"/>
        <v>11408.860004376114</v>
      </c>
      <c r="M26" s="281">
        <f t="shared" si="5"/>
        <v>11452.064640410648</v>
      </c>
      <c r="N26" s="281">
        <f t="shared" si="5"/>
        <v>11491.461977392521</v>
      </c>
      <c r="O26" s="281">
        <f t="shared" si="5"/>
        <v>11696.911089919779</v>
      </c>
      <c r="P26" s="281">
        <f t="shared" si="5"/>
        <v>11675.169117495616</v>
      </c>
      <c r="Q26" s="281">
        <f t="shared" si="5"/>
        <v>11931.674487999859</v>
      </c>
      <c r="R26" s="281">
        <f t="shared" si="5"/>
        <v>11823.681444238253</v>
      </c>
      <c r="S26" s="281">
        <f t="shared" si="5"/>
        <v>11898.686208507575</v>
      </c>
      <c r="T26" s="281">
        <f t="shared" si="5"/>
        <v>12032.528891883114</v>
      </c>
      <c r="U26" s="281">
        <f t="shared" si="5"/>
        <v>11868.81176508114</v>
      </c>
      <c r="V26" s="281">
        <f t="shared" si="5"/>
        <v>11843.495918583283</v>
      </c>
      <c r="W26" s="281">
        <f t="shared" si="5"/>
        <v>11884.224449236031</v>
      </c>
      <c r="X26" s="281">
        <f t="shared" si="5"/>
        <v>11737.816828154691</v>
      </c>
      <c r="Y26" s="281">
        <f t="shared" si="5"/>
        <v>11527.038369610744</v>
      </c>
      <c r="Z26" s="281">
        <f t="shared" si="5"/>
        <v>11426.571435516327</v>
      </c>
      <c r="AA26" s="281">
        <f t="shared" si="5"/>
        <v>11334.361485978148</v>
      </c>
      <c r="AB26" s="281">
        <f t="shared" si="5"/>
        <v>11178.442007711217</v>
      </c>
      <c r="AC26" s="452">
        <f>AB30</f>
        <v>10797.666254442567</v>
      </c>
      <c r="AD26" s="452">
        <f>AC30</f>
        <v>10872.325665426528</v>
      </c>
    </row>
    <row r="27" spans="2:30" x14ac:dyDescent="0.25">
      <c r="B27" s="414">
        <v>3.4</v>
      </c>
      <c r="C27" s="191" t="s">
        <v>65</v>
      </c>
      <c r="D27" s="299"/>
      <c r="E27" s="299">
        <v>0</v>
      </c>
      <c r="F27" s="299">
        <v>0</v>
      </c>
      <c r="G27" s="299">
        <v>0</v>
      </c>
      <c r="H27" s="299">
        <v>0</v>
      </c>
      <c r="I27" s="299">
        <v>0</v>
      </c>
      <c r="J27" s="299">
        <v>11202.791785228552</v>
      </c>
      <c r="K27" s="299">
        <v>135.24951404680161</v>
      </c>
      <c r="L27" s="299">
        <v>0</v>
      </c>
      <c r="M27" s="299">
        <v>0</v>
      </c>
      <c r="N27" s="299">
        <v>0</v>
      </c>
      <c r="O27" s="299">
        <v>0</v>
      </c>
      <c r="P27" s="299">
        <v>0</v>
      </c>
      <c r="Q27" s="299">
        <v>0</v>
      </c>
      <c r="R27" s="299">
        <v>0</v>
      </c>
      <c r="S27" s="299">
        <v>0</v>
      </c>
      <c r="T27" s="299">
        <v>0</v>
      </c>
      <c r="U27" s="299">
        <v>0</v>
      </c>
      <c r="V27" s="299">
        <v>0</v>
      </c>
      <c r="W27" s="299">
        <v>0</v>
      </c>
      <c r="X27" s="299">
        <v>0</v>
      </c>
      <c r="Y27" s="299">
        <v>0</v>
      </c>
      <c r="Z27" s="299">
        <v>0</v>
      </c>
      <c r="AA27" s="299">
        <v>0</v>
      </c>
      <c r="AB27" s="299">
        <v>0</v>
      </c>
      <c r="AC27" s="299">
        <v>0</v>
      </c>
      <c r="AD27" s="299">
        <v>0</v>
      </c>
    </row>
    <row r="28" spans="2:30" x14ac:dyDescent="0.25">
      <c r="B28" s="414">
        <v>3.4</v>
      </c>
      <c r="C28" s="308" t="s">
        <v>431</v>
      </c>
      <c r="D28" s="299"/>
      <c r="E28" s="299">
        <v>0</v>
      </c>
      <c r="F28" s="299">
        <v>0</v>
      </c>
      <c r="G28" s="299">
        <v>0</v>
      </c>
      <c r="H28" s="299">
        <v>0</v>
      </c>
      <c r="I28" s="299">
        <v>0</v>
      </c>
      <c r="J28" s="299">
        <v>0</v>
      </c>
      <c r="K28" s="299">
        <v>70.818705100760525</v>
      </c>
      <c r="L28" s="299">
        <v>43.20463603453301</v>
      </c>
      <c r="M28" s="299">
        <v>39.397336981871433</v>
      </c>
      <c r="N28" s="299">
        <v>205.44911252725831</v>
      </c>
      <c r="O28" s="299">
        <v>-21.741972424163173</v>
      </c>
      <c r="P28" s="299">
        <v>256.5053705042431</v>
      </c>
      <c r="Q28" s="299">
        <v>-107.99304376160552</v>
      </c>
      <c r="R28" s="299">
        <v>75.004764269322891</v>
      </c>
      <c r="S28" s="299">
        <v>133.84268337553922</v>
      </c>
      <c r="T28" s="299">
        <v>-163.71712680197427</v>
      </c>
      <c r="U28" s="299">
        <v>-25.315846497857635</v>
      </c>
      <c r="V28" s="299">
        <v>40.728530652748653</v>
      </c>
      <c r="W28" s="299">
        <v>-146.40762108133958</v>
      </c>
      <c r="X28" s="299">
        <v>-210.77845854394695</v>
      </c>
      <c r="Y28" s="299">
        <v>-100.46693409441717</v>
      </c>
      <c r="Z28" s="299">
        <v>-92.209949538178222</v>
      </c>
      <c r="AA28" s="299">
        <v>-155.91947826693098</v>
      </c>
      <c r="AB28" s="299">
        <v>-380.77575326865031</v>
      </c>
      <c r="AC28" s="299">
        <v>74.659410983961251</v>
      </c>
      <c r="AD28" s="299">
        <v>314.34380926465059</v>
      </c>
    </row>
    <row r="29" spans="2:30" x14ac:dyDescent="0.25">
      <c r="B29" s="414">
        <v>3.4</v>
      </c>
      <c r="C29" s="191" t="s">
        <v>236</v>
      </c>
      <c r="D29" s="299"/>
      <c r="E29" s="299">
        <v>0</v>
      </c>
      <c r="F29" s="299">
        <v>0</v>
      </c>
      <c r="G29" s="299">
        <v>0</v>
      </c>
      <c r="H29" s="299">
        <v>0</v>
      </c>
      <c r="I29" s="299">
        <v>0</v>
      </c>
      <c r="J29" s="299">
        <v>0</v>
      </c>
      <c r="K29" s="299">
        <v>0</v>
      </c>
      <c r="L29" s="299">
        <v>0</v>
      </c>
      <c r="M29" s="299">
        <v>0</v>
      </c>
      <c r="N29" s="299">
        <v>0</v>
      </c>
      <c r="O29" s="299">
        <v>0</v>
      </c>
      <c r="P29" s="299">
        <v>0</v>
      </c>
      <c r="Q29" s="299">
        <v>0</v>
      </c>
      <c r="R29" s="299">
        <v>0</v>
      </c>
      <c r="S29" s="299">
        <v>0</v>
      </c>
      <c r="T29" s="299">
        <v>0</v>
      </c>
      <c r="U29" s="299">
        <v>0</v>
      </c>
      <c r="V29" s="299">
        <v>0</v>
      </c>
      <c r="W29" s="299">
        <v>0</v>
      </c>
      <c r="X29" s="299">
        <v>0</v>
      </c>
      <c r="Y29" s="299">
        <v>0</v>
      </c>
      <c r="Z29" s="299">
        <v>0</v>
      </c>
      <c r="AA29" s="299">
        <v>0</v>
      </c>
      <c r="AB29" s="299">
        <v>0</v>
      </c>
      <c r="AC29" s="299">
        <v>0</v>
      </c>
      <c r="AD29" s="299">
        <v>0</v>
      </c>
    </row>
    <row r="30" spans="2:30" x14ac:dyDescent="0.25">
      <c r="B30" s="192"/>
      <c r="C30" s="309" t="s">
        <v>130</v>
      </c>
      <c r="D30" s="281">
        <f>SUM(D26:D29)</f>
        <v>0</v>
      </c>
      <c r="E30" s="281">
        <f>SUM(E26:E29)</f>
        <v>0</v>
      </c>
      <c r="F30" s="281">
        <f t="shared" ref="F30:AD30" si="6">SUM(F26:F29)</f>
        <v>0</v>
      </c>
      <c r="G30" s="281">
        <f t="shared" si="6"/>
        <v>0</v>
      </c>
      <c r="H30" s="281">
        <f t="shared" si="6"/>
        <v>0</v>
      </c>
      <c r="I30" s="281">
        <f t="shared" si="6"/>
        <v>0</v>
      </c>
      <c r="J30" s="281">
        <f t="shared" si="6"/>
        <v>11202.791785228552</v>
      </c>
      <c r="K30" s="281">
        <f t="shared" si="6"/>
        <v>11408.860004376114</v>
      </c>
      <c r="L30" s="281">
        <f t="shared" si="6"/>
        <v>11452.064640410648</v>
      </c>
      <c r="M30" s="281">
        <f t="shared" si="6"/>
        <v>11491.461977392521</v>
      </c>
      <c r="N30" s="281">
        <f t="shared" si="6"/>
        <v>11696.911089919779</v>
      </c>
      <c r="O30" s="281">
        <f t="shared" si="6"/>
        <v>11675.169117495616</v>
      </c>
      <c r="P30" s="281">
        <f t="shared" si="6"/>
        <v>11931.674487999859</v>
      </c>
      <c r="Q30" s="281">
        <f t="shared" si="6"/>
        <v>11823.681444238253</v>
      </c>
      <c r="R30" s="281">
        <f t="shared" si="6"/>
        <v>11898.686208507575</v>
      </c>
      <c r="S30" s="281">
        <f t="shared" si="6"/>
        <v>12032.528891883114</v>
      </c>
      <c r="T30" s="281">
        <f t="shared" si="6"/>
        <v>11868.81176508114</v>
      </c>
      <c r="U30" s="281">
        <f t="shared" si="6"/>
        <v>11843.495918583283</v>
      </c>
      <c r="V30" s="281">
        <f t="shared" si="6"/>
        <v>11884.224449236031</v>
      </c>
      <c r="W30" s="281">
        <f t="shared" si="6"/>
        <v>11737.816828154691</v>
      </c>
      <c r="X30" s="281">
        <f t="shared" si="6"/>
        <v>11527.038369610744</v>
      </c>
      <c r="Y30" s="281">
        <f t="shared" si="6"/>
        <v>11426.571435516327</v>
      </c>
      <c r="Z30" s="281">
        <f t="shared" si="6"/>
        <v>11334.361485978148</v>
      </c>
      <c r="AA30" s="281">
        <f t="shared" si="6"/>
        <v>11178.442007711217</v>
      </c>
      <c r="AB30" s="281">
        <f t="shared" si="6"/>
        <v>10797.666254442567</v>
      </c>
      <c r="AC30" s="281">
        <f t="shared" si="6"/>
        <v>10872.325665426528</v>
      </c>
      <c r="AD30" s="452">
        <f t="shared" si="6"/>
        <v>11186.669474691178</v>
      </c>
    </row>
    <row r="31" spans="2:30" x14ac:dyDescent="0.25">
      <c r="B31" s="193"/>
      <c r="C31" s="194" t="s">
        <v>131</v>
      </c>
      <c r="D31" s="310"/>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451"/>
    </row>
    <row r="32" spans="2:30" x14ac:dyDescent="0.25">
      <c r="B32" s="414">
        <v>3.4</v>
      </c>
      <c r="C32" s="191" t="s">
        <v>216</v>
      </c>
      <c r="D32" s="299"/>
      <c r="E32" s="281">
        <f>D36</f>
        <v>0</v>
      </c>
      <c r="F32" s="281">
        <f t="shared" ref="F32:AB32" si="7">E36</f>
        <v>0</v>
      </c>
      <c r="G32" s="281">
        <f t="shared" si="7"/>
        <v>0</v>
      </c>
      <c r="H32" s="281">
        <f t="shared" si="7"/>
        <v>0</v>
      </c>
      <c r="I32" s="281">
        <f t="shared" si="7"/>
        <v>0</v>
      </c>
      <c r="J32" s="281">
        <f t="shared" si="7"/>
        <v>839.73838499987914</v>
      </c>
      <c r="K32" s="281">
        <f t="shared" si="7"/>
        <v>28811.436697111498</v>
      </c>
      <c r="L32" s="281">
        <f t="shared" si="7"/>
        <v>33006.188877408364</v>
      </c>
      <c r="M32" s="281">
        <f t="shared" si="7"/>
        <v>34108.980806793283</v>
      </c>
      <c r="N32" s="281">
        <f t="shared" si="7"/>
        <v>34227.931035120288</v>
      </c>
      <c r="O32" s="281">
        <f t="shared" si="7"/>
        <v>34841.556019854819</v>
      </c>
      <c r="P32" s="281">
        <f t="shared" si="7"/>
        <v>34779.139603708085</v>
      </c>
      <c r="Q32" s="281">
        <f t="shared" si="7"/>
        <v>35545.692193453433</v>
      </c>
      <c r="R32" s="281">
        <f t="shared" si="7"/>
        <v>35226.58725455097</v>
      </c>
      <c r="S32" s="281">
        <f t="shared" si="7"/>
        <v>35452.769811343511</v>
      </c>
      <c r="T32" s="281">
        <f t="shared" si="7"/>
        <v>35854.430628266433</v>
      </c>
      <c r="U32" s="281">
        <f t="shared" si="7"/>
        <v>35369.63329712634</v>
      </c>
      <c r="V32" s="281">
        <f t="shared" si="7"/>
        <v>35297.35163729512</v>
      </c>
      <c r="W32" s="281">
        <f t="shared" si="7"/>
        <v>35422.056288986765</v>
      </c>
      <c r="X32" s="281">
        <f t="shared" si="7"/>
        <v>34989.186524689459</v>
      </c>
      <c r="Y32" s="281">
        <f t="shared" si="7"/>
        <v>34364.542382525382</v>
      </c>
      <c r="Z32" s="281">
        <f t="shared" si="7"/>
        <v>152897.78987540043</v>
      </c>
      <c r="AA32" s="281">
        <f t="shared" si="7"/>
        <v>154645.43043577808</v>
      </c>
      <c r="AB32" s="281">
        <f t="shared" si="7"/>
        <v>153596.40879763354</v>
      </c>
      <c r="AC32" s="281">
        <f>AB36</f>
        <v>149492.87975952576</v>
      </c>
      <c r="AD32" s="452">
        <f>AC36</f>
        <v>151686.68926570503</v>
      </c>
    </row>
    <row r="33" spans="2:30" x14ac:dyDescent="0.25">
      <c r="B33" s="414">
        <v>3.4</v>
      </c>
      <c r="C33" s="191" t="s">
        <v>192</v>
      </c>
      <c r="D33" s="299"/>
      <c r="E33" s="299">
        <v>0</v>
      </c>
      <c r="F33" s="299">
        <v>0</v>
      </c>
      <c r="G33" s="299">
        <v>0</v>
      </c>
      <c r="H33" s="299">
        <v>0</v>
      </c>
      <c r="I33" s="299">
        <v>839.73838499987914</v>
      </c>
      <c r="J33" s="299">
        <v>27965.655419909795</v>
      </c>
      <c r="K33" s="299">
        <v>4013.5358694507368</v>
      </c>
      <c r="L33" s="299">
        <v>977.12704843921199</v>
      </c>
      <c r="M33" s="299">
        <v>0</v>
      </c>
      <c r="N33" s="299">
        <v>0</v>
      </c>
      <c r="O33" s="299">
        <v>0</v>
      </c>
      <c r="P33" s="299">
        <v>0</v>
      </c>
      <c r="Q33" s="299">
        <v>0</v>
      </c>
      <c r="R33" s="299">
        <v>0</v>
      </c>
      <c r="S33" s="299">
        <v>0</v>
      </c>
      <c r="T33" s="299">
        <v>0</v>
      </c>
      <c r="U33" s="299">
        <v>0</v>
      </c>
      <c r="V33" s="299">
        <v>0</v>
      </c>
      <c r="W33" s="299">
        <v>0</v>
      </c>
      <c r="X33" s="299">
        <v>0</v>
      </c>
      <c r="Y33" s="299">
        <v>118829.09310021414</v>
      </c>
      <c r="Z33" s="299">
        <v>1972.3639448304339</v>
      </c>
      <c r="AA33" s="299">
        <v>0</v>
      </c>
      <c r="AB33" s="299">
        <v>0</v>
      </c>
      <c r="AC33" s="299">
        <v>0</v>
      </c>
      <c r="AD33" s="299">
        <v>0</v>
      </c>
    </row>
    <row r="34" spans="2:30" x14ac:dyDescent="0.25">
      <c r="B34" s="414">
        <v>3.4</v>
      </c>
      <c r="C34" s="308" t="s">
        <v>431</v>
      </c>
      <c r="D34" s="299"/>
      <c r="E34" s="299">
        <v>0</v>
      </c>
      <c r="F34" s="299">
        <v>0</v>
      </c>
      <c r="G34" s="299">
        <v>0</v>
      </c>
      <c r="H34" s="299">
        <v>0</v>
      </c>
      <c r="I34" s="299">
        <v>0</v>
      </c>
      <c r="J34" s="299">
        <v>6.0428922018219309</v>
      </c>
      <c r="K34" s="299">
        <v>181.21631084613171</v>
      </c>
      <c r="L34" s="299">
        <v>125.66488094570261</v>
      </c>
      <c r="M34" s="299">
        <v>118.950228327006</v>
      </c>
      <c r="N34" s="299">
        <v>613.62498473453275</v>
      </c>
      <c r="O34" s="299">
        <v>-62.416416146736459</v>
      </c>
      <c r="P34" s="299">
        <v>766.55258974534888</v>
      </c>
      <c r="Q34" s="299">
        <v>-319.10493890245965</v>
      </c>
      <c r="R34" s="299">
        <v>226.18255679254014</v>
      </c>
      <c r="S34" s="299">
        <v>401.66081692292164</v>
      </c>
      <c r="T34" s="299">
        <v>-484.79733114008951</v>
      </c>
      <c r="U34" s="299">
        <v>-72.28165983122166</v>
      </c>
      <c r="V34" s="299">
        <v>124.70465169164694</v>
      </c>
      <c r="W34" s="299">
        <v>-432.8697642973047</v>
      </c>
      <c r="X34" s="299">
        <v>-624.64414216407818</v>
      </c>
      <c r="Y34" s="299">
        <v>-295.84560733910791</v>
      </c>
      <c r="Z34" s="299">
        <v>-224.7233844527687</v>
      </c>
      <c r="AA34" s="299">
        <v>-1049.0216381445241</v>
      </c>
      <c r="AB34" s="299">
        <v>-4103.529038107773</v>
      </c>
      <c r="AC34" s="299">
        <v>2193.8095061792819</v>
      </c>
      <c r="AD34" s="299">
        <v>5628.1324181694308</v>
      </c>
    </row>
    <row r="35" spans="2:30" ht="11.25" customHeight="1" x14ac:dyDescent="0.25">
      <c r="B35" s="414">
        <v>3.4</v>
      </c>
      <c r="C35" s="191" t="s">
        <v>236</v>
      </c>
      <c r="D35" s="299"/>
      <c r="E35" s="299">
        <v>0</v>
      </c>
      <c r="F35" s="299">
        <v>0</v>
      </c>
      <c r="G35" s="299">
        <v>0</v>
      </c>
      <c r="H35" s="299">
        <v>0</v>
      </c>
      <c r="I35" s="299">
        <v>0</v>
      </c>
      <c r="J35" s="299">
        <v>0</v>
      </c>
      <c r="K35" s="299">
        <v>0</v>
      </c>
      <c r="L35" s="299">
        <v>0</v>
      </c>
      <c r="M35" s="299">
        <v>0</v>
      </c>
      <c r="N35" s="299">
        <v>0</v>
      </c>
      <c r="O35" s="299">
        <v>0</v>
      </c>
      <c r="P35" s="299">
        <v>0</v>
      </c>
      <c r="Q35" s="299">
        <v>0</v>
      </c>
      <c r="R35" s="299">
        <v>0</v>
      </c>
      <c r="S35" s="299">
        <v>0</v>
      </c>
      <c r="T35" s="299">
        <v>0</v>
      </c>
      <c r="U35" s="299">
        <v>0</v>
      </c>
      <c r="V35" s="299">
        <v>0</v>
      </c>
      <c r="W35" s="299">
        <v>0</v>
      </c>
      <c r="X35" s="299">
        <v>0</v>
      </c>
      <c r="Y35" s="299">
        <v>0</v>
      </c>
      <c r="Z35" s="299">
        <v>0</v>
      </c>
      <c r="AA35" s="299">
        <v>0</v>
      </c>
      <c r="AB35" s="299">
        <v>0</v>
      </c>
      <c r="AC35" s="299">
        <v>0</v>
      </c>
      <c r="AD35" s="299">
        <v>0</v>
      </c>
    </row>
    <row r="36" spans="2:30" x14ac:dyDescent="0.25">
      <c r="B36" s="192"/>
      <c r="C36" s="309" t="s">
        <v>132</v>
      </c>
      <c r="D36" s="281">
        <f>SUM(D32:D35)</f>
        <v>0</v>
      </c>
      <c r="E36" s="281">
        <f>SUM(E32:E35)</f>
        <v>0</v>
      </c>
      <c r="F36" s="281">
        <f t="shared" ref="F36:AB36" si="8">SUM(F32:F35)</f>
        <v>0</v>
      </c>
      <c r="G36" s="281">
        <f t="shared" si="8"/>
        <v>0</v>
      </c>
      <c r="H36" s="281">
        <f t="shared" si="8"/>
        <v>0</v>
      </c>
      <c r="I36" s="281">
        <f t="shared" si="8"/>
        <v>839.73838499987914</v>
      </c>
      <c r="J36" s="281">
        <f t="shared" si="8"/>
        <v>28811.436697111498</v>
      </c>
      <c r="K36" s="281">
        <f t="shared" si="8"/>
        <v>33006.188877408364</v>
      </c>
      <c r="L36" s="281">
        <f t="shared" si="8"/>
        <v>34108.980806793283</v>
      </c>
      <c r="M36" s="281">
        <f t="shared" si="8"/>
        <v>34227.931035120288</v>
      </c>
      <c r="N36" s="281">
        <f t="shared" si="8"/>
        <v>34841.556019854819</v>
      </c>
      <c r="O36" s="281">
        <f t="shared" si="8"/>
        <v>34779.139603708085</v>
      </c>
      <c r="P36" s="281">
        <f t="shared" si="8"/>
        <v>35545.692193453433</v>
      </c>
      <c r="Q36" s="281">
        <f t="shared" si="8"/>
        <v>35226.58725455097</v>
      </c>
      <c r="R36" s="281">
        <f t="shared" si="8"/>
        <v>35452.769811343511</v>
      </c>
      <c r="S36" s="281">
        <f t="shared" si="8"/>
        <v>35854.430628266433</v>
      </c>
      <c r="T36" s="281">
        <f t="shared" si="8"/>
        <v>35369.63329712634</v>
      </c>
      <c r="U36" s="281">
        <f t="shared" si="8"/>
        <v>35297.35163729512</v>
      </c>
      <c r="V36" s="281">
        <f t="shared" si="8"/>
        <v>35422.056288986765</v>
      </c>
      <c r="W36" s="281">
        <f t="shared" si="8"/>
        <v>34989.186524689459</v>
      </c>
      <c r="X36" s="281">
        <f t="shared" si="8"/>
        <v>34364.542382525382</v>
      </c>
      <c r="Y36" s="281">
        <f t="shared" si="8"/>
        <v>152897.78987540043</v>
      </c>
      <c r="Z36" s="281">
        <f t="shared" si="8"/>
        <v>154645.43043577808</v>
      </c>
      <c r="AA36" s="281">
        <f t="shared" si="8"/>
        <v>153596.40879763354</v>
      </c>
      <c r="AB36" s="281">
        <f t="shared" si="8"/>
        <v>149492.87975952576</v>
      </c>
      <c r="AC36" s="452">
        <f>SUM(AC32:AC35)</f>
        <v>151686.68926570503</v>
      </c>
      <c r="AD36" s="452">
        <f>SUM(AD32:AD35)</f>
        <v>157314.82168387447</v>
      </c>
    </row>
    <row r="37" spans="2:30" x14ac:dyDescent="0.25">
      <c r="B37" s="193"/>
      <c r="C37" s="194" t="s">
        <v>329</v>
      </c>
      <c r="D37" s="310"/>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451"/>
    </row>
    <row r="38" spans="2:30" x14ac:dyDescent="0.25">
      <c r="B38" s="414">
        <v>3.4</v>
      </c>
      <c r="C38" s="191" t="s">
        <v>216</v>
      </c>
      <c r="D38" s="299"/>
      <c r="E38" s="281">
        <f>D42</f>
        <v>0</v>
      </c>
      <c r="F38" s="281">
        <f t="shared" ref="F38:AB38" si="9">E42</f>
        <v>0</v>
      </c>
      <c r="G38" s="281">
        <f t="shared" si="9"/>
        <v>0</v>
      </c>
      <c r="H38" s="281">
        <f t="shared" si="9"/>
        <v>0</v>
      </c>
      <c r="I38" s="281">
        <f t="shared" si="9"/>
        <v>0</v>
      </c>
      <c r="J38" s="281">
        <f t="shared" si="9"/>
        <v>0</v>
      </c>
      <c r="K38" s="281">
        <f t="shared" si="9"/>
        <v>0</v>
      </c>
      <c r="L38" s="281">
        <f t="shared" si="9"/>
        <v>0</v>
      </c>
      <c r="M38" s="281">
        <f t="shared" si="9"/>
        <v>0</v>
      </c>
      <c r="N38" s="281">
        <f t="shared" si="9"/>
        <v>0</v>
      </c>
      <c r="O38" s="281">
        <f t="shared" si="9"/>
        <v>0</v>
      </c>
      <c r="P38" s="281">
        <f t="shared" si="9"/>
        <v>0</v>
      </c>
      <c r="Q38" s="281">
        <f t="shared" si="9"/>
        <v>0</v>
      </c>
      <c r="R38" s="281">
        <f t="shared" si="9"/>
        <v>0</v>
      </c>
      <c r="S38" s="281">
        <f t="shared" si="9"/>
        <v>0</v>
      </c>
      <c r="T38" s="281">
        <f t="shared" si="9"/>
        <v>0</v>
      </c>
      <c r="U38" s="281">
        <f t="shared" si="9"/>
        <v>0</v>
      </c>
      <c r="V38" s="281">
        <f t="shared" si="9"/>
        <v>0</v>
      </c>
      <c r="W38" s="281">
        <f t="shared" si="9"/>
        <v>0</v>
      </c>
      <c r="X38" s="281">
        <f t="shared" si="9"/>
        <v>0</v>
      </c>
      <c r="Y38" s="281">
        <f t="shared" si="9"/>
        <v>0</v>
      </c>
      <c r="Z38" s="281">
        <f t="shared" si="9"/>
        <v>0</v>
      </c>
      <c r="AA38" s="281">
        <f t="shared" si="9"/>
        <v>0</v>
      </c>
      <c r="AB38" s="281">
        <f t="shared" si="9"/>
        <v>0</v>
      </c>
      <c r="AC38" s="281">
        <f>AB42</f>
        <v>0</v>
      </c>
      <c r="AD38" s="452">
        <f>AC42</f>
        <v>0</v>
      </c>
    </row>
    <row r="39" spans="2:30" x14ac:dyDescent="0.25">
      <c r="B39" s="414">
        <v>3.4</v>
      </c>
      <c r="C39" s="191" t="s">
        <v>192</v>
      </c>
      <c r="D39" s="299"/>
      <c r="E39" s="299">
        <v>0</v>
      </c>
      <c r="F39" s="299">
        <v>0</v>
      </c>
      <c r="G39" s="299">
        <v>0</v>
      </c>
      <c r="H39" s="299">
        <v>0</v>
      </c>
      <c r="I39" s="299">
        <v>0</v>
      </c>
      <c r="J39" s="299">
        <v>0</v>
      </c>
      <c r="K39" s="299">
        <v>0</v>
      </c>
      <c r="L39" s="299">
        <v>0</v>
      </c>
      <c r="M39" s="299">
        <v>0</v>
      </c>
      <c r="N39" s="299">
        <v>0</v>
      </c>
      <c r="O39" s="299">
        <v>0</v>
      </c>
      <c r="P39" s="299">
        <v>0</v>
      </c>
      <c r="Q39" s="299">
        <v>0</v>
      </c>
      <c r="R39" s="299">
        <v>0</v>
      </c>
      <c r="S39" s="299">
        <v>0</v>
      </c>
      <c r="T39" s="299">
        <v>0</v>
      </c>
      <c r="U39" s="299">
        <v>0</v>
      </c>
      <c r="V39" s="299">
        <v>0</v>
      </c>
      <c r="W39" s="299">
        <v>0</v>
      </c>
      <c r="X39" s="299">
        <v>0</v>
      </c>
      <c r="Y39" s="299">
        <v>0</v>
      </c>
      <c r="Z39" s="299">
        <v>0</v>
      </c>
      <c r="AA39" s="299">
        <v>0</v>
      </c>
      <c r="AB39" s="299">
        <v>0</v>
      </c>
      <c r="AC39" s="299">
        <v>0</v>
      </c>
      <c r="AD39" s="299">
        <v>0</v>
      </c>
    </row>
    <row r="40" spans="2:30" x14ac:dyDescent="0.25">
      <c r="B40" s="414">
        <v>3.4</v>
      </c>
      <c r="C40" s="308" t="s">
        <v>431</v>
      </c>
      <c r="D40" s="299"/>
      <c r="E40" s="299">
        <v>0</v>
      </c>
      <c r="F40" s="299">
        <v>0</v>
      </c>
      <c r="G40" s="299">
        <v>0</v>
      </c>
      <c r="H40" s="299">
        <v>0</v>
      </c>
      <c r="I40" s="299">
        <v>0</v>
      </c>
      <c r="J40" s="299">
        <v>0</v>
      </c>
      <c r="K40" s="299">
        <v>0</v>
      </c>
      <c r="L40" s="299">
        <v>0</v>
      </c>
      <c r="M40" s="299">
        <v>0</v>
      </c>
      <c r="N40" s="299">
        <v>0</v>
      </c>
      <c r="O40" s="299">
        <v>0</v>
      </c>
      <c r="P40" s="299">
        <v>0</v>
      </c>
      <c r="Q40" s="299">
        <v>0</v>
      </c>
      <c r="R40" s="299">
        <v>0</v>
      </c>
      <c r="S40" s="299">
        <v>0</v>
      </c>
      <c r="T40" s="299">
        <v>0</v>
      </c>
      <c r="U40" s="299">
        <v>0</v>
      </c>
      <c r="V40" s="299">
        <v>0</v>
      </c>
      <c r="W40" s="299">
        <v>0</v>
      </c>
      <c r="X40" s="299">
        <v>0</v>
      </c>
      <c r="Y40" s="299">
        <v>0</v>
      </c>
      <c r="Z40" s="299">
        <v>0</v>
      </c>
      <c r="AA40" s="299">
        <v>0</v>
      </c>
      <c r="AB40" s="299">
        <v>0</v>
      </c>
      <c r="AC40" s="299">
        <v>0</v>
      </c>
      <c r="AD40" s="299">
        <v>0</v>
      </c>
    </row>
    <row r="41" spans="2:30" ht="11.25" customHeight="1" x14ac:dyDescent="0.25">
      <c r="B41" s="414">
        <v>3.4</v>
      </c>
      <c r="C41" s="191" t="s">
        <v>236</v>
      </c>
      <c r="D41" s="299"/>
      <c r="E41" s="299">
        <v>0</v>
      </c>
      <c r="F41" s="299">
        <v>0</v>
      </c>
      <c r="G41" s="299">
        <v>0</v>
      </c>
      <c r="H41" s="299">
        <v>0</v>
      </c>
      <c r="I41" s="299">
        <v>0</v>
      </c>
      <c r="J41" s="299">
        <v>0</v>
      </c>
      <c r="K41" s="299">
        <v>0</v>
      </c>
      <c r="L41" s="299">
        <v>0</v>
      </c>
      <c r="M41" s="299">
        <v>0</v>
      </c>
      <c r="N41" s="299">
        <v>0</v>
      </c>
      <c r="O41" s="299">
        <v>0</v>
      </c>
      <c r="P41" s="299">
        <v>0</v>
      </c>
      <c r="Q41" s="299">
        <v>0</v>
      </c>
      <c r="R41" s="299">
        <v>0</v>
      </c>
      <c r="S41" s="299">
        <v>0</v>
      </c>
      <c r="T41" s="299">
        <v>0</v>
      </c>
      <c r="U41" s="299">
        <v>0</v>
      </c>
      <c r="V41" s="299">
        <v>0</v>
      </c>
      <c r="W41" s="299">
        <v>0</v>
      </c>
      <c r="X41" s="299">
        <v>0</v>
      </c>
      <c r="Y41" s="299">
        <v>0</v>
      </c>
      <c r="Z41" s="299">
        <v>0</v>
      </c>
      <c r="AA41" s="299">
        <v>0</v>
      </c>
      <c r="AB41" s="299">
        <v>0</v>
      </c>
      <c r="AC41" s="299">
        <v>0</v>
      </c>
      <c r="AD41" s="299">
        <v>0</v>
      </c>
    </row>
    <row r="42" spans="2:30" x14ac:dyDescent="0.25">
      <c r="B42" s="192"/>
      <c r="C42" s="309" t="s">
        <v>328</v>
      </c>
      <c r="D42" s="281">
        <f>SUM(D38:D41)</f>
        <v>0</v>
      </c>
      <c r="E42" s="281">
        <f>SUM(E38:E41)</f>
        <v>0</v>
      </c>
      <c r="F42" s="281">
        <f t="shared" ref="F42:AD42" si="10">SUM(F38:F41)</f>
        <v>0</v>
      </c>
      <c r="G42" s="281">
        <f t="shared" si="10"/>
        <v>0</v>
      </c>
      <c r="H42" s="281">
        <f t="shared" si="10"/>
        <v>0</v>
      </c>
      <c r="I42" s="281">
        <f t="shared" si="10"/>
        <v>0</v>
      </c>
      <c r="J42" s="281">
        <f t="shared" si="10"/>
        <v>0</v>
      </c>
      <c r="K42" s="281">
        <f t="shared" si="10"/>
        <v>0</v>
      </c>
      <c r="L42" s="281">
        <f t="shared" si="10"/>
        <v>0</v>
      </c>
      <c r="M42" s="281">
        <f t="shared" si="10"/>
        <v>0</v>
      </c>
      <c r="N42" s="281">
        <f t="shared" si="10"/>
        <v>0</v>
      </c>
      <c r="O42" s="281">
        <f t="shared" si="10"/>
        <v>0</v>
      </c>
      <c r="P42" s="281">
        <f t="shared" si="10"/>
        <v>0</v>
      </c>
      <c r="Q42" s="281">
        <f t="shared" si="10"/>
        <v>0</v>
      </c>
      <c r="R42" s="281">
        <f t="shared" si="10"/>
        <v>0</v>
      </c>
      <c r="S42" s="281">
        <f t="shared" si="10"/>
        <v>0</v>
      </c>
      <c r="T42" s="281">
        <f t="shared" si="10"/>
        <v>0</v>
      </c>
      <c r="U42" s="281">
        <f t="shared" si="10"/>
        <v>0</v>
      </c>
      <c r="V42" s="281">
        <f t="shared" si="10"/>
        <v>0</v>
      </c>
      <c r="W42" s="281">
        <f t="shared" si="10"/>
        <v>0</v>
      </c>
      <c r="X42" s="281">
        <f t="shared" si="10"/>
        <v>0</v>
      </c>
      <c r="Y42" s="281">
        <f t="shared" si="10"/>
        <v>0</v>
      </c>
      <c r="Z42" s="281">
        <f t="shared" si="10"/>
        <v>0</v>
      </c>
      <c r="AA42" s="281">
        <f t="shared" si="10"/>
        <v>0</v>
      </c>
      <c r="AB42" s="281">
        <f t="shared" si="10"/>
        <v>0</v>
      </c>
      <c r="AC42" s="281"/>
      <c r="AD42" s="452">
        <f t="shared" si="10"/>
        <v>0</v>
      </c>
    </row>
    <row r="43" spans="2:30" x14ac:dyDescent="0.25">
      <c r="B43" s="193"/>
      <c r="C43" s="194" t="s">
        <v>133</v>
      </c>
      <c r="D43" s="310"/>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451"/>
    </row>
    <row r="44" spans="2:30" x14ac:dyDescent="0.25">
      <c r="B44" s="414">
        <v>3.4</v>
      </c>
      <c r="C44" s="191" t="s">
        <v>216</v>
      </c>
      <c r="D44" s="299"/>
      <c r="E44" s="281">
        <f>D48</f>
        <v>0</v>
      </c>
      <c r="F44" s="281">
        <f t="shared" ref="F44:AB44" si="11">E48</f>
        <v>0</v>
      </c>
      <c r="G44" s="281">
        <f t="shared" si="11"/>
        <v>0</v>
      </c>
      <c r="H44" s="281">
        <f t="shared" si="11"/>
        <v>0</v>
      </c>
      <c r="I44" s="281">
        <f t="shared" si="11"/>
        <v>0</v>
      </c>
      <c r="J44" s="281">
        <f t="shared" si="11"/>
        <v>0</v>
      </c>
      <c r="K44" s="281">
        <f t="shared" si="11"/>
        <v>6336.8043977130692</v>
      </c>
      <c r="L44" s="281">
        <f t="shared" si="11"/>
        <v>6614.730863582763</v>
      </c>
      <c r="M44" s="281">
        <f t="shared" si="11"/>
        <v>6295.3400703348325</v>
      </c>
      <c r="N44" s="281">
        <f t="shared" si="11"/>
        <v>5956.6466273852338</v>
      </c>
      <c r="O44" s="281">
        <f t="shared" si="11"/>
        <v>5685.948274516335</v>
      </c>
      <c r="P44" s="281">
        <f t="shared" si="11"/>
        <v>5270.4466681626918</v>
      </c>
      <c r="Q44" s="281">
        <f t="shared" si="11"/>
        <v>55127.697927883426</v>
      </c>
      <c r="R44" s="281">
        <f t="shared" si="11"/>
        <v>51867.440663803478</v>
      </c>
      <c r="S44" s="281">
        <f t="shared" si="11"/>
        <v>49328.095785249432</v>
      </c>
      <c r="T44" s="281">
        <f t="shared" si="11"/>
        <v>46855.926003237502</v>
      </c>
      <c r="U44" s="281">
        <f t="shared" si="11"/>
        <v>43005.46678452054</v>
      </c>
      <c r="V44" s="281">
        <f t="shared" si="11"/>
        <v>39579.312028827611</v>
      </c>
      <c r="W44" s="281">
        <f t="shared" si="11"/>
        <v>36212.203435819007</v>
      </c>
      <c r="X44" s="281">
        <f t="shared" si="11"/>
        <v>67394.292851606413</v>
      </c>
      <c r="Y44" s="281">
        <f t="shared" si="11"/>
        <v>83169.445919728038</v>
      </c>
      <c r="Z44" s="281">
        <f t="shared" si="11"/>
        <v>77652.17241578229</v>
      </c>
      <c r="AA44" s="281">
        <f t="shared" si="11"/>
        <v>72002.23304763058</v>
      </c>
      <c r="AB44" s="281">
        <f t="shared" si="11"/>
        <v>65734.95361408894</v>
      </c>
      <c r="AC44" s="281">
        <f>AB48</f>
        <v>57973.591722606492</v>
      </c>
      <c r="AD44" s="452">
        <f>AC48</f>
        <v>52697.270027402119</v>
      </c>
    </row>
    <row r="45" spans="2:30" x14ac:dyDescent="0.25">
      <c r="B45" s="414">
        <v>3.4</v>
      </c>
      <c r="C45" s="191" t="s">
        <v>192</v>
      </c>
      <c r="D45" s="299"/>
      <c r="E45" s="299">
        <v>0</v>
      </c>
      <c r="F45" s="299">
        <v>0</v>
      </c>
      <c r="G45" s="299">
        <v>0</v>
      </c>
      <c r="H45" s="299">
        <v>0</v>
      </c>
      <c r="I45" s="299">
        <v>0</v>
      </c>
      <c r="J45" s="299">
        <v>6336.8043977130692</v>
      </c>
      <c r="K45" s="299">
        <v>541.98430506139709</v>
      </c>
      <c r="L45" s="299">
        <v>0</v>
      </c>
      <c r="M45" s="299">
        <v>0</v>
      </c>
      <c r="N45" s="299">
        <v>0</v>
      </c>
      <c r="O45" s="299">
        <v>0</v>
      </c>
      <c r="P45" s="299">
        <v>50164.146869151824</v>
      </c>
      <c r="Q45" s="299">
        <v>0</v>
      </c>
      <c r="R45" s="299">
        <v>0</v>
      </c>
      <c r="S45" s="299">
        <v>0</v>
      </c>
      <c r="T45" s="299">
        <v>0</v>
      </c>
      <c r="U45" s="299">
        <v>0</v>
      </c>
      <c r="V45" s="299">
        <v>0</v>
      </c>
      <c r="W45" s="299">
        <v>35333.151403327647</v>
      </c>
      <c r="X45" s="299">
        <v>22245.829704132011</v>
      </c>
      <c r="Y45" s="299">
        <v>0</v>
      </c>
      <c r="Z45" s="299">
        <v>0</v>
      </c>
      <c r="AA45" s="299">
        <v>0</v>
      </c>
      <c r="AB45" s="299">
        <v>0</v>
      </c>
      <c r="AC45" s="299">
        <v>0</v>
      </c>
      <c r="AD45" s="299">
        <v>0</v>
      </c>
    </row>
    <row r="46" spans="2:30" ht="13.95" customHeight="1" x14ac:dyDescent="0.25">
      <c r="B46" s="414">
        <v>3.4</v>
      </c>
      <c r="C46" s="308" t="s">
        <v>431</v>
      </c>
      <c r="D46" s="299"/>
      <c r="E46" s="299">
        <v>0</v>
      </c>
      <c r="F46" s="299">
        <v>0</v>
      </c>
      <c r="G46" s="299">
        <v>0</v>
      </c>
      <c r="H46" s="299">
        <v>0</v>
      </c>
      <c r="I46" s="299">
        <v>0</v>
      </c>
      <c r="J46" s="299">
        <v>0</v>
      </c>
      <c r="K46" s="299">
        <v>-264.05783919170307</v>
      </c>
      <c r="L46" s="299">
        <v>-319.3907932479305</v>
      </c>
      <c r="M46" s="299">
        <v>-338.69344294959893</v>
      </c>
      <c r="N46" s="299">
        <v>-270.6983528688985</v>
      </c>
      <c r="O46" s="299">
        <v>-415.50160635364318</v>
      </c>
      <c r="P46" s="299">
        <v>-306.89560943109331</v>
      </c>
      <c r="Q46" s="299">
        <v>-3260.2572640799449</v>
      </c>
      <c r="R46" s="299">
        <v>-2539.3448785540445</v>
      </c>
      <c r="S46" s="299">
        <v>-2472.1697820119321</v>
      </c>
      <c r="T46" s="299">
        <v>-3850.4592187169646</v>
      </c>
      <c r="U46" s="299">
        <v>-3426.1547556929281</v>
      </c>
      <c r="V46" s="299">
        <v>-3367.1085930086037</v>
      </c>
      <c r="W46" s="299">
        <v>-4151.0619875402417</v>
      </c>
      <c r="X46" s="299">
        <v>-6470.6766360103911</v>
      </c>
      <c r="Y46" s="299">
        <v>-5517.273503945742</v>
      </c>
      <c r="Z46" s="299">
        <v>-5649.9393681517158</v>
      </c>
      <c r="AA46" s="299">
        <v>-6267.2794335416411</v>
      </c>
      <c r="AB46" s="299">
        <v>-7761.3618914824501</v>
      </c>
      <c r="AC46" s="299">
        <v>-5276.3216952043695</v>
      </c>
      <c r="AD46" s="299">
        <v>-4556.6385114232053</v>
      </c>
    </row>
    <row r="47" spans="2:30" ht="11.25" customHeight="1" x14ac:dyDescent="0.25">
      <c r="B47" s="414">
        <v>3.4</v>
      </c>
      <c r="C47" s="191" t="s">
        <v>236</v>
      </c>
      <c r="D47" s="299"/>
      <c r="E47" s="299">
        <v>0</v>
      </c>
      <c r="F47" s="299">
        <v>0</v>
      </c>
      <c r="G47" s="299">
        <v>0</v>
      </c>
      <c r="H47" s="299">
        <v>0</v>
      </c>
      <c r="I47" s="299">
        <v>0</v>
      </c>
      <c r="J47" s="299">
        <v>0</v>
      </c>
      <c r="K47" s="299">
        <v>0</v>
      </c>
      <c r="L47" s="299">
        <v>0</v>
      </c>
      <c r="M47" s="299">
        <v>0</v>
      </c>
      <c r="N47" s="299">
        <v>0</v>
      </c>
      <c r="O47" s="299">
        <v>0</v>
      </c>
      <c r="P47" s="299">
        <v>0</v>
      </c>
      <c r="Q47" s="299">
        <v>0</v>
      </c>
      <c r="R47" s="299">
        <v>0</v>
      </c>
      <c r="S47" s="299">
        <v>0</v>
      </c>
      <c r="T47" s="299">
        <v>0</v>
      </c>
      <c r="U47" s="299">
        <v>0</v>
      </c>
      <c r="V47" s="299">
        <v>0</v>
      </c>
      <c r="W47" s="299">
        <v>0</v>
      </c>
      <c r="X47" s="299">
        <v>0</v>
      </c>
      <c r="Y47" s="299">
        <v>0</v>
      </c>
      <c r="Z47" s="299">
        <v>0</v>
      </c>
      <c r="AA47" s="299">
        <v>0</v>
      </c>
      <c r="AB47" s="299">
        <v>0</v>
      </c>
      <c r="AC47" s="299">
        <v>0</v>
      </c>
      <c r="AD47" s="299">
        <v>0</v>
      </c>
    </row>
    <row r="48" spans="2:30" x14ac:dyDescent="0.25">
      <c r="B48" s="192"/>
      <c r="C48" s="309" t="s">
        <v>134</v>
      </c>
      <c r="D48" s="281">
        <f>SUM(D44:D47)</f>
        <v>0</v>
      </c>
      <c r="E48" s="281">
        <f>SUM(E44:E47)</f>
        <v>0</v>
      </c>
      <c r="F48" s="281">
        <f t="shared" ref="F48:AD48" si="12">SUM(F44:F47)</f>
        <v>0</v>
      </c>
      <c r="G48" s="281">
        <f t="shared" si="12"/>
        <v>0</v>
      </c>
      <c r="H48" s="281">
        <f t="shared" si="12"/>
        <v>0</v>
      </c>
      <c r="I48" s="281">
        <f t="shared" si="12"/>
        <v>0</v>
      </c>
      <c r="J48" s="281">
        <f t="shared" si="12"/>
        <v>6336.8043977130692</v>
      </c>
      <c r="K48" s="281">
        <f t="shared" si="12"/>
        <v>6614.730863582763</v>
      </c>
      <c r="L48" s="281">
        <f t="shared" si="12"/>
        <v>6295.3400703348325</v>
      </c>
      <c r="M48" s="281">
        <f t="shared" si="12"/>
        <v>5956.6466273852338</v>
      </c>
      <c r="N48" s="281">
        <f t="shared" si="12"/>
        <v>5685.948274516335</v>
      </c>
      <c r="O48" s="281">
        <f t="shared" si="12"/>
        <v>5270.4466681626918</v>
      </c>
      <c r="P48" s="281">
        <f t="shared" si="12"/>
        <v>55127.697927883426</v>
      </c>
      <c r="Q48" s="281">
        <f t="shared" si="12"/>
        <v>51867.440663803478</v>
      </c>
      <c r="R48" s="281">
        <f t="shared" si="12"/>
        <v>49328.095785249432</v>
      </c>
      <c r="S48" s="281">
        <f t="shared" si="12"/>
        <v>46855.926003237502</v>
      </c>
      <c r="T48" s="281">
        <f t="shared" si="12"/>
        <v>43005.46678452054</v>
      </c>
      <c r="U48" s="281">
        <f t="shared" si="12"/>
        <v>39579.312028827611</v>
      </c>
      <c r="V48" s="281">
        <f t="shared" si="12"/>
        <v>36212.203435819007</v>
      </c>
      <c r="W48" s="281">
        <f t="shared" si="12"/>
        <v>67394.292851606413</v>
      </c>
      <c r="X48" s="281">
        <f t="shared" si="12"/>
        <v>83169.445919728038</v>
      </c>
      <c r="Y48" s="281">
        <f t="shared" si="12"/>
        <v>77652.17241578229</v>
      </c>
      <c r="Z48" s="281">
        <f t="shared" si="12"/>
        <v>72002.23304763058</v>
      </c>
      <c r="AA48" s="281">
        <f t="shared" si="12"/>
        <v>65734.95361408894</v>
      </c>
      <c r="AB48" s="281">
        <f t="shared" si="12"/>
        <v>57973.591722606492</v>
      </c>
      <c r="AC48" s="452">
        <f t="shared" si="12"/>
        <v>52697.270027402119</v>
      </c>
      <c r="AD48" s="452">
        <f t="shared" si="12"/>
        <v>48140.631515978916</v>
      </c>
    </row>
    <row r="49" spans="2:30" x14ac:dyDescent="0.25">
      <c r="B49" s="193"/>
      <c r="C49" s="194" t="s">
        <v>0</v>
      </c>
      <c r="D49" s="310"/>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451"/>
    </row>
    <row r="50" spans="2:30" x14ac:dyDescent="0.25">
      <c r="B50" s="414">
        <v>3.4</v>
      </c>
      <c r="C50" s="191" t="s">
        <v>216</v>
      </c>
      <c r="D50" s="299"/>
      <c r="E50" s="281">
        <f>D54</f>
        <v>0</v>
      </c>
      <c r="F50" s="281">
        <f t="shared" ref="F50:AB50" si="13">E54</f>
        <v>0</v>
      </c>
      <c r="G50" s="281">
        <f t="shared" si="13"/>
        <v>0</v>
      </c>
      <c r="H50" s="281">
        <f t="shared" si="13"/>
        <v>0</v>
      </c>
      <c r="I50" s="281">
        <f t="shared" si="13"/>
        <v>0</v>
      </c>
      <c r="J50" s="281">
        <f t="shared" si="13"/>
        <v>0</v>
      </c>
      <c r="K50" s="281">
        <f t="shared" si="13"/>
        <v>0</v>
      </c>
      <c r="L50" s="281">
        <f t="shared" si="13"/>
        <v>0</v>
      </c>
      <c r="M50" s="281">
        <f t="shared" si="13"/>
        <v>0</v>
      </c>
      <c r="N50" s="281">
        <f t="shared" si="13"/>
        <v>0</v>
      </c>
      <c r="O50" s="281">
        <f t="shared" si="13"/>
        <v>0</v>
      </c>
      <c r="P50" s="281">
        <f t="shared" si="13"/>
        <v>0</v>
      </c>
      <c r="Q50" s="281">
        <f t="shared" si="13"/>
        <v>0</v>
      </c>
      <c r="R50" s="281">
        <f t="shared" si="13"/>
        <v>0</v>
      </c>
      <c r="S50" s="281">
        <f t="shared" si="13"/>
        <v>0</v>
      </c>
      <c r="T50" s="281">
        <f t="shared" si="13"/>
        <v>0</v>
      </c>
      <c r="U50" s="281">
        <f t="shared" si="13"/>
        <v>0</v>
      </c>
      <c r="V50" s="281">
        <f t="shared" si="13"/>
        <v>0</v>
      </c>
      <c r="W50" s="281">
        <f t="shared" si="13"/>
        <v>0</v>
      </c>
      <c r="X50" s="281">
        <f t="shared" si="13"/>
        <v>0</v>
      </c>
      <c r="Y50" s="281">
        <f t="shared" si="13"/>
        <v>0</v>
      </c>
      <c r="Z50" s="281">
        <f t="shared" si="13"/>
        <v>0</v>
      </c>
      <c r="AA50" s="281">
        <f t="shared" si="13"/>
        <v>0</v>
      </c>
      <c r="AB50" s="281">
        <f t="shared" si="13"/>
        <v>0</v>
      </c>
      <c r="AC50" s="281">
        <f>AB54</f>
        <v>0</v>
      </c>
      <c r="AD50" s="452">
        <f>AC54</f>
        <v>0</v>
      </c>
    </row>
    <row r="51" spans="2:30" x14ac:dyDescent="0.25">
      <c r="B51" s="414">
        <v>3.4</v>
      </c>
      <c r="C51" s="191" t="s">
        <v>192</v>
      </c>
      <c r="D51" s="299"/>
      <c r="E51" s="299">
        <v>0</v>
      </c>
      <c r="F51" s="299">
        <v>0</v>
      </c>
      <c r="G51" s="299">
        <v>0</v>
      </c>
      <c r="H51" s="299">
        <v>0</v>
      </c>
      <c r="I51" s="299">
        <v>0</v>
      </c>
      <c r="J51" s="299">
        <v>0</v>
      </c>
      <c r="K51" s="299">
        <v>0</v>
      </c>
      <c r="L51" s="299">
        <v>0</v>
      </c>
      <c r="M51" s="299">
        <v>0</v>
      </c>
      <c r="N51" s="299">
        <v>0</v>
      </c>
      <c r="O51" s="299">
        <v>0</v>
      </c>
      <c r="P51" s="299">
        <v>0</v>
      </c>
      <c r="Q51" s="299">
        <v>0</v>
      </c>
      <c r="R51" s="299">
        <v>0</v>
      </c>
      <c r="S51" s="299">
        <v>0</v>
      </c>
      <c r="T51" s="299">
        <v>0</v>
      </c>
      <c r="U51" s="299">
        <v>0</v>
      </c>
      <c r="V51" s="299">
        <v>0</v>
      </c>
      <c r="W51" s="299">
        <v>0</v>
      </c>
      <c r="X51" s="299">
        <v>0</v>
      </c>
      <c r="Y51" s="299">
        <v>0</v>
      </c>
      <c r="Z51" s="299">
        <v>0</v>
      </c>
      <c r="AA51" s="299">
        <v>0</v>
      </c>
      <c r="AB51" s="299">
        <v>0</v>
      </c>
      <c r="AC51" s="299">
        <v>0</v>
      </c>
      <c r="AD51" s="461">
        <v>0</v>
      </c>
    </row>
    <row r="52" spans="2:30" x14ac:dyDescent="0.25">
      <c r="B52" s="414">
        <v>3.4</v>
      </c>
      <c r="C52" s="308" t="s">
        <v>431</v>
      </c>
      <c r="D52" s="299"/>
      <c r="E52" s="299">
        <v>0</v>
      </c>
      <c r="F52" s="299">
        <v>0</v>
      </c>
      <c r="G52" s="299">
        <v>0</v>
      </c>
      <c r="H52" s="299">
        <v>0</v>
      </c>
      <c r="I52" s="299">
        <v>0</v>
      </c>
      <c r="J52" s="299">
        <v>0</v>
      </c>
      <c r="K52" s="299">
        <v>0</v>
      </c>
      <c r="L52" s="299">
        <v>0</v>
      </c>
      <c r="M52" s="299">
        <v>0</v>
      </c>
      <c r="N52" s="299">
        <v>0</v>
      </c>
      <c r="O52" s="299">
        <v>0</v>
      </c>
      <c r="P52" s="299">
        <v>0</v>
      </c>
      <c r="Q52" s="299">
        <v>0</v>
      </c>
      <c r="R52" s="299">
        <v>0</v>
      </c>
      <c r="S52" s="299">
        <v>0</v>
      </c>
      <c r="T52" s="299">
        <v>0</v>
      </c>
      <c r="U52" s="299">
        <v>0</v>
      </c>
      <c r="V52" s="299">
        <v>0</v>
      </c>
      <c r="W52" s="299">
        <v>0</v>
      </c>
      <c r="X52" s="299">
        <v>0</v>
      </c>
      <c r="Y52" s="299">
        <v>0</v>
      </c>
      <c r="Z52" s="299">
        <v>0</v>
      </c>
      <c r="AA52" s="299">
        <v>0</v>
      </c>
      <c r="AB52" s="299">
        <v>0</v>
      </c>
      <c r="AC52" s="299">
        <v>0</v>
      </c>
      <c r="AD52" s="461">
        <v>0</v>
      </c>
    </row>
    <row r="53" spans="2:30" ht="11.25" customHeight="1" x14ac:dyDescent="0.25">
      <c r="B53" s="414">
        <v>3.4</v>
      </c>
      <c r="C53" s="191" t="s">
        <v>236</v>
      </c>
      <c r="D53" s="299"/>
      <c r="E53" s="299">
        <v>0</v>
      </c>
      <c r="F53" s="299">
        <v>0</v>
      </c>
      <c r="G53" s="299">
        <v>0</v>
      </c>
      <c r="H53" s="299">
        <v>0</v>
      </c>
      <c r="I53" s="299">
        <v>0</v>
      </c>
      <c r="J53" s="299">
        <v>0</v>
      </c>
      <c r="K53" s="299">
        <v>0</v>
      </c>
      <c r="L53" s="299">
        <v>0</v>
      </c>
      <c r="M53" s="299">
        <v>0</v>
      </c>
      <c r="N53" s="299">
        <v>0</v>
      </c>
      <c r="O53" s="299">
        <v>0</v>
      </c>
      <c r="P53" s="299">
        <v>0</v>
      </c>
      <c r="Q53" s="299">
        <v>0</v>
      </c>
      <c r="R53" s="299">
        <v>0</v>
      </c>
      <c r="S53" s="299">
        <v>0</v>
      </c>
      <c r="T53" s="299">
        <v>0</v>
      </c>
      <c r="U53" s="299">
        <v>0</v>
      </c>
      <c r="V53" s="299">
        <v>0</v>
      </c>
      <c r="W53" s="299">
        <v>0</v>
      </c>
      <c r="X53" s="299">
        <v>0</v>
      </c>
      <c r="Y53" s="299">
        <v>0</v>
      </c>
      <c r="Z53" s="299">
        <v>0</v>
      </c>
      <c r="AA53" s="299">
        <v>0</v>
      </c>
      <c r="AB53" s="299">
        <v>0</v>
      </c>
      <c r="AC53" s="299">
        <v>0</v>
      </c>
      <c r="AD53" s="461">
        <v>0</v>
      </c>
    </row>
    <row r="54" spans="2:30" x14ac:dyDescent="0.25">
      <c r="B54" s="192"/>
      <c r="C54" s="309" t="s">
        <v>80</v>
      </c>
      <c r="D54" s="281">
        <f>SUM(D50:D53)</f>
        <v>0</v>
      </c>
      <c r="E54" s="281">
        <f>SUM(E50:E53)</f>
        <v>0</v>
      </c>
      <c r="F54" s="281">
        <f t="shared" ref="F54:AB54" si="14">SUM(F50:F53)</f>
        <v>0</v>
      </c>
      <c r="G54" s="281">
        <f t="shared" si="14"/>
        <v>0</v>
      </c>
      <c r="H54" s="281">
        <f t="shared" si="14"/>
        <v>0</v>
      </c>
      <c r="I54" s="281">
        <f t="shared" si="14"/>
        <v>0</v>
      </c>
      <c r="J54" s="281">
        <f t="shared" si="14"/>
        <v>0</v>
      </c>
      <c r="K54" s="281">
        <f t="shared" si="14"/>
        <v>0</v>
      </c>
      <c r="L54" s="281">
        <f t="shared" si="14"/>
        <v>0</v>
      </c>
      <c r="M54" s="281">
        <f t="shared" si="14"/>
        <v>0</v>
      </c>
      <c r="N54" s="281">
        <f t="shared" si="14"/>
        <v>0</v>
      </c>
      <c r="O54" s="281">
        <f t="shared" si="14"/>
        <v>0</v>
      </c>
      <c r="P54" s="281">
        <f t="shared" si="14"/>
        <v>0</v>
      </c>
      <c r="Q54" s="281">
        <f t="shared" si="14"/>
        <v>0</v>
      </c>
      <c r="R54" s="281">
        <f t="shared" si="14"/>
        <v>0</v>
      </c>
      <c r="S54" s="281">
        <f t="shared" si="14"/>
        <v>0</v>
      </c>
      <c r="T54" s="281">
        <f t="shared" si="14"/>
        <v>0</v>
      </c>
      <c r="U54" s="281">
        <f t="shared" si="14"/>
        <v>0</v>
      </c>
      <c r="V54" s="281">
        <f t="shared" si="14"/>
        <v>0</v>
      </c>
      <c r="W54" s="281">
        <f t="shared" si="14"/>
        <v>0</v>
      </c>
      <c r="X54" s="281">
        <f t="shared" si="14"/>
        <v>0</v>
      </c>
      <c r="Y54" s="281">
        <f t="shared" si="14"/>
        <v>0</v>
      </c>
      <c r="Z54" s="281">
        <f t="shared" si="14"/>
        <v>0</v>
      </c>
      <c r="AA54" s="281">
        <f t="shared" si="14"/>
        <v>0</v>
      </c>
      <c r="AB54" s="281">
        <f t="shared" si="14"/>
        <v>0</v>
      </c>
      <c r="AC54" s="452">
        <f>SUM(AC50:AC53)</f>
        <v>0</v>
      </c>
      <c r="AD54" s="452">
        <f>SUM(AD50:AD53)</f>
        <v>0</v>
      </c>
    </row>
    <row r="55" spans="2:30" x14ac:dyDescent="0.25">
      <c r="B55" s="193"/>
      <c r="C55" s="194" t="s">
        <v>135</v>
      </c>
      <c r="D55" s="310"/>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462"/>
    </row>
    <row r="56" spans="2:30" x14ac:dyDescent="0.25">
      <c r="B56" s="414">
        <v>3.4</v>
      </c>
      <c r="C56" s="191" t="s">
        <v>216</v>
      </c>
      <c r="D56" s="299"/>
      <c r="E56" s="281">
        <f>D60</f>
        <v>0</v>
      </c>
      <c r="F56" s="281">
        <f t="shared" ref="F56:AB56" si="15">E60</f>
        <v>0</v>
      </c>
      <c r="G56" s="281">
        <f t="shared" si="15"/>
        <v>0</v>
      </c>
      <c r="H56" s="281">
        <f t="shared" si="15"/>
        <v>0</v>
      </c>
      <c r="I56" s="281">
        <f t="shared" si="15"/>
        <v>0</v>
      </c>
      <c r="J56" s="281">
        <f t="shared" si="15"/>
        <v>0</v>
      </c>
      <c r="K56" s="281">
        <f t="shared" si="15"/>
        <v>0</v>
      </c>
      <c r="L56" s="281">
        <f t="shared" si="15"/>
        <v>0</v>
      </c>
      <c r="M56" s="281">
        <f t="shared" si="15"/>
        <v>0</v>
      </c>
      <c r="N56" s="281">
        <f t="shared" si="15"/>
        <v>0</v>
      </c>
      <c r="O56" s="281">
        <f t="shared" si="15"/>
        <v>0</v>
      </c>
      <c r="P56" s="281">
        <f t="shared" si="15"/>
        <v>0</v>
      </c>
      <c r="Q56" s="281">
        <f t="shared" si="15"/>
        <v>0</v>
      </c>
      <c r="R56" s="281">
        <f t="shared" si="15"/>
        <v>0</v>
      </c>
      <c r="S56" s="281">
        <f t="shared" si="15"/>
        <v>0</v>
      </c>
      <c r="T56" s="281">
        <f t="shared" si="15"/>
        <v>0</v>
      </c>
      <c r="U56" s="281">
        <f t="shared" si="15"/>
        <v>0</v>
      </c>
      <c r="V56" s="281">
        <f t="shared" si="15"/>
        <v>0</v>
      </c>
      <c r="W56" s="281">
        <f t="shared" si="15"/>
        <v>0</v>
      </c>
      <c r="X56" s="281">
        <f t="shared" si="15"/>
        <v>0</v>
      </c>
      <c r="Y56" s="281">
        <f t="shared" si="15"/>
        <v>0</v>
      </c>
      <c r="Z56" s="281">
        <f t="shared" si="15"/>
        <v>0</v>
      </c>
      <c r="AA56" s="281">
        <f t="shared" si="15"/>
        <v>0</v>
      </c>
      <c r="AB56" s="281">
        <f t="shared" si="15"/>
        <v>0</v>
      </c>
      <c r="AC56" s="281">
        <f>AB60</f>
        <v>0</v>
      </c>
      <c r="AD56" s="452">
        <f>AC60</f>
        <v>0</v>
      </c>
    </row>
    <row r="57" spans="2:30" x14ac:dyDescent="0.25">
      <c r="B57" s="414">
        <v>3.4</v>
      </c>
      <c r="C57" s="191" t="s">
        <v>192</v>
      </c>
      <c r="D57" s="299"/>
      <c r="E57" s="299">
        <v>0</v>
      </c>
      <c r="F57" s="299">
        <v>0</v>
      </c>
      <c r="G57" s="299">
        <v>0</v>
      </c>
      <c r="H57" s="299">
        <v>0</v>
      </c>
      <c r="I57" s="299">
        <v>0</v>
      </c>
      <c r="J57" s="299">
        <v>0</v>
      </c>
      <c r="K57" s="299">
        <v>0</v>
      </c>
      <c r="L57" s="299">
        <v>0</v>
      </c>
      <c r="M57" s="299">
        <v>0</v>
      </c>
      <c r="N57" s="299">
        <v>0</v>
      </c>
      <c r="O57" s="299">
        <v>0</v>
      </c>
      <c r="P57" s="299">
        <v>0</v>
      </c>
      <c r="Q57" s="299">
        <v>0</v>
      </c>
      <c r="R57" s="299">
        <v>0</v>
      </c>
      <c r="S57" s="299">
        <v>0</v>
      </c>
      <c r="T57" s="299">
        <v>0</v>
      </c>
      <c r="U57" s="299">
        <v>0</v>
      </c>
      <c r="V57" s="299">
        <v>0</v>
      </c>
      <c r="W57" s="299">
        <v>0</v>
      </c>
      <c r="X57" s="299">
        <v>0</v>
      </c>
      <c r="Y57" s="299">
        <v>0</v>
      </c>
      <c r="Z57" s="299">
        <v>0</v>
      </c>
      <c r="AA57" s="299">
        <v>0</v>
      </c>
      <c r="AB57" s="299">
        <v>0</v>
      </c>
      <c r="AC57" s="299">
        <v>0</v>
      </c>
      <c r="AD57" s="461">
        <v>0</v>
      </c>
    </row>
    <row r="58" spans="2:30" x14ac:dyDescent="0.25">
      <c r="B58" s="414">
        <v>3.4</v>
      </c>
      <c r="C58" s="308" t="s">
        <v>431</v>
      </c>
      <c r="D58" s="299"/>
      <c r="E58" s="299">
        <v>0</v>
      </c>
      <c r="F58" s="299">
        <v>0</v>
      </c>
      <c r="G58" s="299">
        <v>0</v>
      </c>
      <c r="H58" s="299">
        <v>0</v>
      </c>
      <c r="I58" s="299">
        <v>0</v>
      </c>
      <c r="J58" s="299">
        <v>0</v>
      </c>
      <c r="K58" s="299">
        <v>0</v>
      </c>
      <c r="L58" s="299">
        <v>0</v>
      </c>
      <c r="M58" s="299">
        <v>0</v>
      </c>
      <c r="N58" s="299">
        <v>0</v>
      </c>
      <c r="O58" s="299">
        <v>0</v>
      </c>
      <c r="P58" s="299">
        <v>0</v>
      </c>
      <c r="Q58" s="299">
        <v>0</v>
      </c>
      <c r="R58" s="299">
        <v>0</v>
      </c>
      <c r="S58" s="299">
        <v>0</v>
      </c>
      <c r="T58" s="299">
        <v>0</v>
      </c>
      <c r="U58" s="299">
        <v>0</v>
      </c>
      <c r="V58" s="299">
        <v>0</v>
      </c>
      <c r="W58" s="299">
        <v>0</v>
      </c>
      <c r="X58" s="299">
        <v>0</v>
      </c>
      <c r="Y58" s="299">
        <v>0</v>
      </c>
      <c r="Z58" s="299">
        <v>0</v>
      </c>
      <c r="AA58" s="299">
        <v>0</v>
      </c>
      <c r="AB58" s="299">
        <v>0</v>
      </c>
      <c r="AC58" s="299">
        <v>0</v>
      </c>
      <c r="AD58" s="461">
        <v>0</v>
      </c>
    </row>
    <row r="59" spans="2:30" ht="11.25" customHeight="1" x14ac:dyDescent="0.25">
      <c r="B59" s="414">
        <v>3.4</v>
      </c>
      <c r="C59" s="191" t="s">
        <v>236</v>
      </c>
      <c r="D59" s="299"/>
      <c r="E59" s="299">
        <v>0</v>
      </c>
      <c r="F59" s="299">
        <v>0</v>
      </c>
      <c r="G59" s="299">
        <v>0</v>
      </c>
      <c r="H59" s="299">
        <v>0</v>
      </c>
      <c r="I59" s="299">
        <v>0</v>
      </c>
      <c r="J59" s="299">
        <v>0</v>
      </c>
      <c r="K59" s="299">
        <v>0</v>
      </c>
      <c r="L59" s="299">
        <v>0</v>
      </c>
      <c r="M59" s="299">
        <v>0</v>
      </c>
      <c r="N59" s="299">
        <v>0</v>
      </c>
      <c r="O59" s="299">
        <v>0</v>
      </c>
      <c r="P59" s="299">
        <v>0</v>
      </c>
      <c r="Q59" s="299">
        <v>0</v>
      </c>
      <c r="R59" s="299">
        <v>0</v>
      </c>
      <c r="S59" s="299">
        <v>0</v>
      </c>
      <c r="T59" s="299">
        <v>0</v>
      </c>
      <c r="U59" s="299">
        <v>0</v>
      </c>
      <c r="V59" s="299">
        <v>0</v>
      </c>
      <c r="W59" s="299">
        <v>0</v>
      </c>
      <c r="X59" s="299">
        <v>0</v>
      </c>
      <c r="Y59" s="299">
        <v>0</v>
      </c>
      <c r="Z59" s="299">
        <v>0</v>
      </c>
      <c r="AA59" s="299">
        <v>0</v>
      </c>
      <c r="AB59" s="299">
        <v>0</v>
      </c>
      <c r="AC59" s="299">
        <v>0</v>
      </c>
      <c r="AD59" s="461">
        <v>0</v>
      </c>
    </row>
    <row r="60" spans="2:30" x14ac:dyDescent="0.25">
      <c r="B60" s="192"/>
      <c r="C60" s="309" t="s">
        <v>136</v>
      </c>
      <c r="D60" s="281">
        <f>SUM(D56:D59)</f>
        <v>0</v>
      </c>
      <c r="E60" s="281">
        <f>SUM(E56:E59)</f>
        <v>0</v>
      </c>
      <c r="F60" s="281">
        <f t="shared" ref="F60:AD60" si="16">SUM(F56:F59)</f>
        <v>0</v>
      </c>
      <c r="G60" s="281">
        <f t="shared" si="16"/>
        <v>0</v>
      </c>
      <c r="H60" s="281">
        <f t="shared" si="16"/>
        <v>0</v>
      </c>
      <c r="I60" s="281">
        <f t="shared" si="16"/>
        <v>0</v>
      </c>
      <c r="J60" s="281">
        <f t="shared" si="16"/>
        <v>0</v>
      </c>
      <c r="K60" s="281">
        <f t="shared" si="16"/>
        <v>0</v>
      </c>
      <c r="L60" s="281">
        <f t="shared" si="16"/>
        <v>0</v>
      </c>
      <c r="M60" s="281">
        <f t="shared" si="16"/>
        <v>0</v>
      </c>
      <c r="N60" s="281">
        <f t="shared" si="16"/>
        <v>0</v>
      </c>
      <c r="O60" s="281">
        <f t="shared" si="16"/>
        <v>0</v>
      </c>
      <c r="P60" s="281">
        <f t="shared" si="16"/>
        <v>0</v>
      </c>
      <c r="Q60" s="281">
        <f t="shared" si="16"/>
        <v>0</v>
      </c>
      <c r="R60" s="281">
        <f t="shared" si="16"/>
        <v>0</v>
      </c>
      <c r="S60" s="281">
        <f t="shared" si="16"/>
        <v>0</v>
      </c>
      <c r="T60" s="281">
        <f t="shared" si="16"/>
        <v>0</v>
      </c>
      <c r="U60" s="281">
        <f t="shared" si="16"/>
        <v>0</v>
      </c>
      <c r="V60" s="281">
        <f t="shared" si="16"/>
        <v>0</v>
      </c>
      <c r="W60" s="281">
        <f t="shared" si="16"/>
        <v>0</v>
      </c>
      <c r="X60" s="281">
        <f t="shared" si="16"/>
        <v>0</v>
      </c>
      <c r="Y60" s="281">
        <f t="shared" si="16"/>
        <v>0</v>
      </c>
      <c r="Z60" s="281">
        <f t="shared" si="16"/>
        <v>0</v>
      </c>
      <c r="AA60" s="281">
        <f t="shared" si="16"/>
        <v>0</v>
      </c>
      <c r="AB60" s="281">
        <f t="shared" si="16"/>
        <v>0</v>
      </c>
      <c r="AC60" s="281"/>
      <c r="AD60" s="452">
        <f t="shared" si="16"/>
        <v>0</v>
      </c>
    </row>
    <row r="61" spans="2:30" x14ac:dyDescent="0.25">
      <c r="B61" s="193"/>
      <c r="C61" s="194" t="s">
        <v>203</v>
      </c>
      <c r="D61" s="310"/>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462"/>
    </row>
    <row r="62" spans="2:30" x14ac:dyDescent="0.25">
      <c r="B62" s="414">
        <v>3.4</v>
      </c>
      <c r="C62" s="191" t="s">
        <v>216</v>
      </c>
      <c r="D62" s="299"/>
      <c r="E62" s="281">
        <f>D66</f>
        <v>0</v>
      </c>
      <c r="F62" s="281">
        <f t="shared" ref="F62:AB62" si="17">E66</f>
        <v>0</v>
      </c>
      <c r="G62" s="281">
        <f t="shared" si="17"/>
        <v>0</v>
      </c>
      <c r="H62" s="281">
        <f t="shared" si="17"/>
        <v>0</v>
      </c>
      <c r="I62" s="281">
        <f t="shared" si="17"/>
        <v>5106.2343192166027</v>
      </c>
      <c r="J62" s="281">
        <f t="shared" si="17"/>
        <v>5347.8779738938374</v>
      </c>
      <c r="K62" s="281">
        <f t="shared" si="17"/>
        <v>5429.9311683662481</v>
      </c>
      <c r="L62" s="281">
        <f t="shared" si="17"/>
        <v>5504.1265481153278</v>
      </c>
      <c r="M62" s="281">
        <f t="shared" si="17"/>
        <v>8848.4113504335292</v>
      </c>
      <c r="N62" s="281">
        <f t="shared" si="17"/>
        <v>8320.2330671664604</v>
      </c>
      <c r="O62" s="281">
        <f t="shared" si="17"/>
        <v>7884.2567713418484</v>
      </c>
      <c r="P62" s="281">
        <f t="shared" si="17"/>
        <v>7235.8895829103458</v>
      </c>
      <c r="Q62" s="281">
        <f t="shared" si="17"/>
        <v>34560.618994061275</v>
      </c>
      <c r="R62" s="281">
        <f t="shared" si="17"/>
        <v>32960.019096354838</v>
      </c>
      <c r="S62" s="281">
        <f t="shared" si="17"/>
        <v>32622.240409174803</v>
      </c>
      <c r="T62" s="281">
        <f t="shared" si="17"/>
        <v>32412.078196710041</v>
      </c>
      <c r="U62" s="281">
        <f t="shared" si="17"/>
        <v>31358.517877588678</v>
      </c>
      <c r="V62" s="281">
        <f t="shared" si="17"/>
        <v>229703.93582798945</v>
      </c>
      <c r="W62" s="281">
        <f t="shared" si="17"/>
        <v>195429.94104904606</v>
      </c>
      <c r="X62" s="281">
        <f t="shared" si="17"/>
        <v>155939.30953256442</v>
      </c>
      <c r="Y62" s="281">
        <f t="shared" si="17"/>
        <v>114450.45737843492</v>
      </c>
      <c r="Z62" s="281">
        <f t="shared" si="17"/>
        <v>74147.123611754563</v>
      </c>
      <c r="AA62" s="281">
        <f t="shared" si="17"/>
        <v>32349.063358691288</v>
      </c>
      <c r="AB62" s="281">
        <f t="shared" si="17"/>
        <v>32398.962330391088</v>
      </c>
      <c r="AC62" s="281">
        <f>AB66</f>
        <v>31813.264731930936</v>
      </c>
      <c r="AD62" s="452">
        <f>AC66</f>
        <v>32565.690027947003</v>
      </c>
    </row>
    <row r="63" spans="2:30" x14ac:dyDescent="0.25">
      <c r="B63" s="414">
        <v>3.4</v>
      </c>
      <c r="C63" s="191" t="s">
        <v>192</v>
      </c>
      <c r="D63" s="299"/>
      <c r="E63" s="299">
        <v>0</v>
      </c>
      <c r="F63" s="299">
        <v>0</v>
      </c>
      <c r="G63" s="299">
        <v>0</v>
      </c>
      <c r="H63" s="299">
        <v>5106.2343192166027</v>
      </c>
      <c r="I63" s="299">
        <v>0</v>
      </c>
      <c r="J63" s="299">
        <v>0</v>
      </c>
      <c r="K63" s="299">
        <v>0</v>
      </c>
      <c r="L63" s="299">
        <v>3281.6915871516944</v>
      </c>
      <c r="M63" s="299">
        <v>0</v>
      </c>
      <c r="N63" s="299">
        <v>0</v>
      </c>
      <c r="O63" s="299">
        <v>0</v>
      </c>
      <c r="P63" s="299">
        <v>27827.254856311793</v>
      </c>
      <c r="Q63" s="299">
        <v>0</v>
      </c>
      <c r="R63" s="299">
        <v>0</v>
      </c>
      <c r="S63" s="299">
        <v>0</v>
      </c>
      <c r="T63" s="299">
        <v>0</v>
      </c>
      <c r="U63" s="299">
        <v>199048.02345965998</v>
      </c>
      <c r="V63" s="299">
        <v>0</v>
      </c>
      <c r="W63" s="299">
        <v>0</v>
      </c>
      <c r="X63" s="299">
        <v>5.1343536504439957E-2</v>
      </c>
      <c r="Y63" s="299">
        <v>0</v>
      </c>
      <c r="Z63" s="299">
        <v>0</v>
      </c>
      <c r="AA63" s="299">
        <v>0</v>
      </c>
      <c r="AB63" s="299">
        <v>0</v>
      </c>
      <c r="AC63" s="299">
        <v>0</v>
      </c>
      <c r="AD63" s="461">
        <v>0</v>
      </c>
    </row>
    <row r="64" spans="2:30" x14ac:dyDescent="0.25">
      <c r="B64" s="414">
        <v>3.4</v>
      </c>
      <c r="C64" s="308" t="s">
        <v>237</v>
      </c>
      <c r="D64" s="299"/>
      <c r="E64" s="299">
        <v>0</v>
      </c>
      <c r="F64" s="299">
        <v>0</v>
      </c>
      <c r="G64" s="299">
        <v>0</v>
      </c>
      <c r="H64" s="299">
        <v>0</v>
      </c>
      <c r="I64" s="299">
        <v>241.64365467723439</v>
      </c>
      <c r="J64" s="299">
        <v>82.053194472410624</v>
      </c>
      <c r="K64" s="299">
        <v>74.195379749079422</v>
      </c>
      <c r="L64" s="299">
        <v>62.593215166507306</v>
      </c>
      <c r="M64" s="299">
        <v>-528.17828326706922</v>
      </c>
      <c r="N64" s="299">
        <v>-435.97629582461161</v>
      </c>
      <c r="O64" s="299">
        <v>-648.36718843150277</v>
      </c>
      <c r="P64" s="299">
        <v>-502.52544516086186</v>
      </c>
      <c r="Q64" s="299">
        <v>-1600.5998977064355</v>
      </c>
      <c r="R64" s="299">
        <v>-337.77868718003373</v>
      </c>
      <c r="S64" s="299">
        <v>-210.16221246476107</v>
      </c>
      <c r="T64" s="299">
        <v>-1053.5603191213631</v>
      </c>
      <c r="U64" s="299">
        <v>-702.60550925922632</v>
      </c>
      <c r="V64" s="299">
        <v>-34273.994778943379</v>
      </c>
      <c r="W64" s="299">
        <v>-39490.631516481626</v>
      </c>
      <c r="X64" s="299">
        <v>-41488.903497666011</v>
      </c>
      <c r="Y64" s="299">
        <v>-40303.333766680349</v>
      </c>
      <c r="Z64" s="299">
        <v>-41798.060253063275</v>
      </c>
      <c r="AA64" s="299">
        <v>49.898971699798558</v>
      </c>
      <c r="AB64" s="299">
        <v>-585.69759846015313</v>
      </c>
      <c r="AC64" s="299">
        <v>752.42529601606611</v>
      </c>
      <c r="AD64" s="299">
        <v>1511.8069634062631</v>
      </c>
    </row>
    <row r="65" spans="2:30" x14ac:dyDescent="0.25">
      <c r="B65" s="414">
        <v>3.4</v>
      </c>
      <c r="C65" s="191" t="s">
        <v>236</v>
      </c>
      <c r="D65" s="299"/>
      <c r="E65" s="299">
        <v>0</v>
      </c>
      <c r="F65" s="299">
        <v>0</v>
      </c>
      <c r="G65" s="299">
        <v>0</v>
      </c>
      <c r="H65" s="299">
        <v>0</v>
      </c>
      <c r="I65" s="299">
        <v>0</v>
      </c>
      <c r="J65" s="299">
        <v>0</v>
      </c>
      <c r="K65" s="299">
        <v>0</v>
      </c>
      <c r="L65" s="299">
        <v>0</v>
      </c>
      <c r="M65" s="299">
        <v>0</v>
      </c>
      <c r="N65" s="299">
        <v>0</v>
      </c>
      <c r="O65" s="299">
        <v>0</v>
      </c>
      <c r="P65" s="299">
        <v>0</v>
      </c>
      <c r="Q65" s="299">
        <v>0</v>
      </c>
      <c r="R65" s="299">
        <v>0</v>
      </c>
      <c r="S65" s="299">
        <v>0</v>
      </c>
      <c r="T65" s="299">
        <v>0</v>
      </c>
      <c r="U65" s="299">
        <v>0</v>
      </c>
      <c r="V65" s="299">
        <v>0</v>
      </c>
      <c r="W65" s="299">
        <v>0</v>
      </c>
      <c r="X65" s="299">
        <v>0</v>
      </c>
      <c r="Y65" s="299">
        <v>0</v>
      </c>
      <c r="Z65" s="299">
        <v>0</v>
      </c>
      <c r="AA65" s="299">
        <v>0</v>
      </c>
      <c r="AB65" s="299">
        <v>0</v>
      </c>
      <c r="AC65" s="299">
        <v>0</v>
      </c>
      <c r="AD65" s="461">
        <v>0</v>
      </c>
    </row>
    <row r="66" spans="2:30" x14ac:dyDescent="0.25">
      <c r="B66" s="192"/>
      <c r="C66" s="309" t="s">
        <v>204</v>
      </c>
      <c r="D66" s="281">
        <f>SUM(D62:D65)</f>
        <v>0</v>
      </c>
      <c r="E66" s="281">
        <f>SUM(E62:E65)</f>
        <v>0</v>
      </c>
      <c r="F66" s="281">
        <f t="shared" ref="F66:AD66" si="18">SUM(F62:F65)</f>
        <v>0</v>
      </c>
      <c r="G66" s="281">
        <f t="shared" si="18"/>
        <v>0</v>
      </c>
      <c r="H66" s="281">
        <f t="shared" si="18"/>
        <v>5106.2343192166027</v>
      </c>
      <c r="I66" s="281">
        <f t="shared" si="18"/>
        <v>5347.8779738938374</v>
      </c>
      <c r="J66" s="281">
        <f t="shared" si="18"/>
        <v>5429.9311683662481</v>
      </c>
      <c r="K66" s="281">
        <f t="shared" si="18"/>
        <v>5504.1265481153278</v>
      </c>
      <c r="L66" s="281">
        <f t="shared" si="18"/>
        <v>8848.4113504335292</v>
      </c>
      <c r="M66" s="281">
        <f t="shared" si="18"/>
        <v>8320.2330671664604</v>
      </c>
      <c r="N66" s="281">
        <f t="shared" si="18"/>
        <v>7884.2567713418484</v>
      </c>
      <c r="O66" s="281">
        <f t="shared" si="18"/>
        <v>7235.8895829103458</v>
      </c>
      <c r="P66" s="281">
        <f t="shared" si="18"/>
        <v>34560.618994061275</v>
      </c>
      <c r="Q66" s="281">
        <f t="shared" si="18"/>
        <v>32960.019096354838</v>
      </c>
      <c r="R66" s="281">
        <f t="shared" si="18"/>
        <v>32622.240409174803</v>
      </c>
      <c r="S66" s="281">
        <f t="shared" si="18"/>
        <v>32412.078196710041</v>
      </c>
      <c r="T66" s="281">
        <f t="shared" si="18"/>
        <v>31358.517877588678</v>
      </c>
      <c r="U66" s="281">
        <f t="shared" si="18"/>
        <v>229703.93582798945</v>
      </c>
      <c r="V66" s="281">
        <f t="shared" si="18"/>
        <v>195429.94104904606</v>
      </c>
      <c r="W66" s="281">
        <f t="shared" si="18"/>
        <v>155939.30953256442</v>
      </c>
      <c r="X66" s="281">
        <f t="shared" si="18"/>
        <v>114450.45737843492</v>
      </c>
      <c r="Y66" s="281">
        <f t="shared" si="18"/>
        <v>74147.123611754563</v>
      </c>
      <c r="Z66" s="281">
        <f t="shared" si="18"/>
        <v>32349.063358691288</v>
      </c>
      <c r="AA66" s="281">
        <f t="shared" si="18"/>
        <v>32398.962330391088</v>
      </c>
      <c r="AB66" s="281">
        <f t="shared" si="18"/>
        <v>31813.264731930936</v>
      </c>
      <c r="AC66" s="452">
        <f t="shared" si="18"/>
        <v>32565.690027947003</v>
      </c>
      <c r="AD66" s="452">
        <f t="shared" si="18"/>
        <v>34077.49699135327</v>
      </c>
    </row>
    <row r="67" spans="2:30" x14ac:dyDescent="0.25">
      <c r="B67" s="193"/>
      <c r="C67" s="194" t="s">
        <v>262</v>
      </c>
      <c r="D67" s="310"/>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462"/>
    </row>
    <row r="68" spans="2:30" x14ac:dyDescent="0.25">
      <c r="B68" s="414">
        <v>3.4</v>
      </c>
      <c r="C68" s="191" t="s">
        <v>216</v>
      </c>
      <c r="D68" s="299"/>
      <c r="E68" s="281">
        <f>D72</f>
        <v>0</v>
      </c>
      <c r="F68" s="281">
        <f t="shared" ref="F68:AB68" si="19">E72</f>
        <v>0</v>
      </c>
      <c r="G68" s="281">
        <f t="shared" si="19"/>
        <v>0</v>
      </c>
      <c r="H68" s="281">
        <f t="shared" si="19"/>
        <v>0</v>
      </c>
      <c r="I68" s="281">
        <f t="shared" si="19"/>
        <v>0</v>
      </c>
      <c r="J68" s="281">
        <f t="shared" si="19"/>
        <v>0</v>
      </c>
      <c r="K68" s="281">
        <f t="shared" si="19"/>
        <v>0</v>
      </c>
      <c r="L68" s="281">
        <f t="shared" si="19"/>
        <v>0</v>
      </c>
      <c r="M68" s="281">
        <f t="shared" si="19"/>
        <v>0</v>
      </c>
      <c r="N68" s="281">
        <f t="shared" si="19"/>
        <v>0</v>
      </c>
      <c r="O68" s="281">
        <f t="shared" si="19"/>
        <v>0</v>
      </c>
      <c r="P68" s="281">
        <f t="shared" si="19"/>
        <v>0</v>
      </c>
      <c r="Q68" s="281">
        <f t="shared" si="19"/>
        <v>0</v>
      </c>
      <c r="R68" s="281">
        <f t="shared" si="19"/>
        <v>0</v>
      </c>
      <c r="S68" s="281">
        <f t="shared" si="19"/>
        <v>0</v>
      </c>
      <c r="T68" s="281">
        <f t="shared" si="19"/>
        <v>0</v>
      </c>
      <c r="U68" s="281">
        <f t="shared" si="19"/>
        <v>0</v>
      </c>
      <c r="V68" s="281">
        <f t="shared" si="19"/>
        <v>0</v>
      </c>
      <c r="W68" s="281">
        <f t="shared" si="19"/>
        <v>0</v>
      </c>
      <c r="X68" s="281">
        <f t="shared" si="19"/>
        <v>0</v>
      </c>
      <c r="Y68" s="281">
        <f t="shared" si="19"/>
        <v>0</v>
      </c>
      <c r="Z68" s="281">
        <f t="shared" si="19"/>
        <v>0</v>
      </c>
      <c r="AA68" s="281">
        <f t="shared" si="19"/>
        <v>0</v>
      </c>
      <c r="AB68" s="281">
        <f t="shared" si="19"/>
        <v>0</v>
      </c>
      <c r="AC68" s="281">
        <f>AB72</f>
        <v>0</v>
      </c>
      <c r="AD68" s="452">
        <f>AC72</f>
        <v>0</v>
      </c>
    </row>
    <row r="69" spans="2:30" x14ac:dyDescent="0.25">
      <c r="B69" s="414">
        <v>3.4</v>
      </c>
      <c r="C69" s="191" t="s">
        <v>192</v>
      </c>
      <c r="D69" s="299"/>
      <c r="E69" s="299">
        <v>0</v>
      </c>
      <c r="F69" s="299">
        <v>0</v>
      </c>
      <c r="G69" s="299">
        <v>0</v>
      </c>
      <c r="H69" s="299">
        <v>0</v>
      </c>
      <c r="I69" s="299">
        <v>0</v>
      </c>
      <c r="J69" s="299">
        <v>0</v>
      </c>
      <c r="K69" s="299">
        <v>0</v>
      </c>
      <c r="L69" s="299">
        <v>0</v>
      </c>
      <c r="M69" s="299">
        <v>0</v>
      </c>
      <c r="N69" s="299">
        <v>0</v>
      </c>
      <c r="O69" s="299">
        <v>0</v>
      </c>
      <c r="P69" s="299">
        <v>0</v>
      </c>
      <c r="Q69" s="299">
        <v>0</v>
      </c>
      <c r="R69" s="299">
        <v>0</v>
      </c>
      <c r="S69" s="299">
        <v>0</v>
      </c>
      <c r="T69" s="299">
        <v>0</v>
      </c>
      <c r="U69" s="299">
        <v>0</v>
      </c>
      <c r="V69" s="299">
        <v>0</v>
      </c>
      <c r="W69" s="299">
        <v>0</v>
      </c>
      <c r="X69" s="299">
        <v>0</v>
      </c>
      <c r="Y69" s="299">
        <v>0</v>
      </c>
      <c r="Z69" s="299">
        <v>0</v>
      </c>
      <c r="AA69" s="299">
        <v>0</v>
      </c>
      <c r="AB69" s="299">
        <v>0</v>
      </c>
      <c r="AC69" s="299">
        <v>0</v>
      </c>
      <c r="AD69" s="461">
        <v>0</v>
      </c>
    </row>
    <row r="70" spans="2:30" x14ac:dyDescent="0.25">
      <c r="B70" s="414">
        <v>3.4</v>
      </c>
      <c r="C70" s="308" t="s">
        <v>237</v>
      </c>
      <c r="D70" s="299"/>
      <c r="E70" s="299">
        <v>0</v>
      </c>
      <c r="F70" s="299">
        <v>0</v>
      </c>
      <c r="G70" s="299">
        <v>0</v>
      </c>
      <c r="H70" s="299">
        <v>0</v>
      </c>
      <c r="I70" s="299">
        <v>0</v>
      </c>
      <c r="J70" s="299">
        <v>0</v>
      </c>
      <c r="K70" s="299">
        <v>0</v>
      </c>
      <c r="L70" s="299">
        <v>0</v>
      </c>
      <c r="M70" s="299">
        <v>0</v>
      </c>
      <c r="N70" s="299">
        <v>0</v>
      </c>
      <c r="O70" s="299">
        <v>0</v>
      </c>
      <c r="P70" s="299">
        <v>0</v>
      </c>
      <c r="Q70" s="299">
        <v>0</v>
      </c>
      <c r="R70" s="299">
        <v>0</v>
      </c>
      <c r="S70" s="299">
        <v>0</v>
      </c>
      <c r="T70" s="299">
        <v>0</v>
      </c>
      <c r="U70" s="299">
        <v>0</v>
      </c>
      <c r="V70" s="299">
        <v>0</v>
      </c>
      <c r="W70" s="299">
        <v>0</v>
      </c>
      <c r="X70" s="299">
        <v>0</v>
      </c>
      <c r="Y70" s="299">
        <v>0</v>
      </c>
      <c r="Z70" s="299">
        <v>0</v>
      </c>
      <c r="AA70" s="299">
        <v>0</v>
      </c>
      <c r="AB70" s="299">
        <v>0</v>
      </c>
      <c r="AC70" s="299">
        <v>0</v>
      </c>
      <c r="AD70" s="461">
        <v>0</v>
      </c>
    </row>
    <row r="71" spans="2:30" x14ac:dyDescent="0.25">
      <c r="B71" s="414">
        <v>3.4</v>
      </c>
      <c r="C71" s="191" t="s">
        <v>236</v>
      </c>
      <c r="D71" s="299"/>
      <c r="E71" s="299">
        <v>0</v>
      </c>
      <c r="F71" s="299">
        <v>0</v>
      </c>
      <c r="G71" s="299">
        <v>0</v>
      </c>
      <c r="H71" s="299">
        <v>0</v>
      </c>
      <c r="I71" s="299">
        <v>0</v>
      </c>
      <c r="J71" s="299">
        <v>0</v>
      </c>
      <c r="K71" s="299">
        <v>0</v>
      </c>
      <c r="L71" s="299">
        <v>0</v>
      </c>
      <c r="M71" s="299">
        <v>0</v>
      </c>
      <c r="N71" s="299">
        <v>0</v>
      </c>
      <c r="O71" s="299">
        <v>0</v>
      </c>
      <c r="P71" s="299">
        <v>0</v>
      </c>
      <c r="Q71" s="299">
        <v>0</v>
      </c>
      <c r="R71" s="299">
        <v>0</v>
      </c>
      <c r="S71" s="299">
        <v>0</v>
      </c>
      <c r="T71" s="299">
        <v>0</v>
      </c>
      <c r="U71" s="299">
        <v>0</v>
      </c>
      <c r="V71" s="299">
        <v>0</v>
      </c>
      <c r="W71" s="299">
        <v>0</v>
      </c>
      <c r="X71" s="299">
        <v>0</v>
      </c>
      <c r="Y71" s="299">
        <v>0</v>
      </c>
      <c r="Z71" s="299">
        <v>0</v>
      </c>
      <c r="AA71" s="299">
        <v>0</v>
      </c>
      <c r="AB71" s="299">
        <v>0</v>
      </c>
      <c r="AC71" s="299">
        <v>0</v>
      </c>
      <c r="AD71" s="461">
        <v>0</v>
      </c>
    </row>
    <row r="72" spans="2:30" x14ac:dyDescent="0.25">
      <c r="B72" s="192"/>
      <c r="C72" s="309" t="s">
        <v>263</v>
      </c>
      <c r="D72" s="281">
        <f>SUM(D68:D70)</f>
        <v>0</v>
      </c>
      <c r="E72" s="281">
        <f>SUM(E68:E70)</f>
        <v>0</v>
      </c>
      <c r="F72" s="281">
        <f t="shared" ref="F72:AB72" si="20">SUM(F68:F70)</f>
        <v>0</v>
      </c>
      <c r="G72" s="281">
        <f t="shared" si="20"/>
        <v>0</v>
      </c>
      <c r="H72" s="281">
        <f t="shared" si="20"/>
        <v>0</v>
      </c>
      <c r="I72" s="281">
        <f t="shared" si="20"/>
        <v>0</v>
      </c>
      <c r="J72" s="281">
        <f t="shared" si="20"/>
        <v>0</v>
      </c>
      <c r="K72" s="281">
        <f t="shared" si="20"/>
        <v>0</v>
      </c>
      <c r="L72" s="281">
        <f t="shared" si="20"/>
        <v>0</v>
      </c>
      <c r="M72" s="281">
        <f t="shared" si="20"/>
        <v>0</v>
      </c>
      <c r="N72" s="281">
        <f t="shared" si="20"/>
        <v>0</v>
      </c>
      <c r="O72" s="281">
        <f t="shared" si="20"/>
        <v>0</v>
      </c>
      <c r="P72" s="281">
        <f t="shared" si="20"/>
        <v>0</v>
      </c>
      <c r="Q72" s="281">
        <f t="shared" si="20"/>
        <v>0</v>
      </c>
      <c r="R72" s="281">
        <f t="shared" si="20"/>
        <v>0</v>
      </c>
      <c r="S72" s="281">
        <f t="shared" si="20"/>
        <v>0</v>
      </c>
      <c r="T72" s="281">
        <f t="shared" si="20"/>
        <v>0</v>
      </c>
      <c r="U72" s="281">
        <f t="shared" si="20"/>
        <v>0</v>
      </c>
      <c r="V72" s="281">
        <f t="shared" si="20"/>
        <v>0</v>
      </c>
      <c r="W72" s="281">
        <f t="shared" si="20"/>
        <v>0</v>
      </c>
      <c r="X72" s="281">
        <f t="shared" si="20"/>
        <v>0</v>
      </c>
      <c r="Y72" s="281">
        <f t="shared" si="20"/>
        <v>0</v>
      </c>
      <c r="Z72" s="281">
        <f t="shared" si="20"/>
        <v>0</v>
      </c>
      <c r="AA72" s="281">
        <f t="shared" si="20"/>
        <v>0</v>
      </c>
      <c r="AB72" s="281">
        <f t="shared" si="20"/>
        <v>0</v>
      </c>
      <c r="AC72" s="452">
        <f>SUM(AC68:AC70)</f>
        <v>0</v>
      </c>
      <c r="AD72" s="452">
        <f>SUM(AD68:AD70)</f>
        <v>0</v>
      </c>
    </row>
    <row r="73" spans="2:30" x14ac:dyDescent="0.25">
      <c r="B73" s="192"/>
      <c r="C73" s="340" t="s">
        <v>71</v>
      </c>
      <c r="D73" s="281">
        <f>SUM(D18,D24,D30,D36,D42,D48,D54,D60,D66,D72)</f>
        <v>0</v>
      </c>
      <c r="E73" s="281">
        <f>SUM(E18,E24,E30,E36,E42,E48,E54,E60,E66,E72)</f>
        <v>12709612.786901509</v>
      </c>
      <c r="F73" s="281">
        <f t="shared" ref="F73:AB73" si="21">SUM(F18,F24,F30,F36,F42,F48,F54,F60,F66,F72)</f>
        <v>12634801.944744714</v>
      </c>
      <c r="G73" s="281">
        <f t="shared" si="21"/>
        <v>12610086.237071574</v>
      </c>
      <c r="H73" s="281">
        <f t="shared" si="21"/>
        <v>12855127.484274568</v>
      </c>
      <c r="I73" s="281">
        <f t="shared" si="21"/>
        <v>13462703.795742095</v>
      </c>
      <c r="J73" s="281">
        <f t="shared" si="21"/>
        <v>13713364.760320211</v>
      </c>
      <c r="K73" s="281">
        <f t="shared" si="21"/>
        <v>13906063.083004871</v>
      </c>
      <c r="L73" s="281">
        <f t="shared" si="21"/>
        <v>14065861.011732386</v>
      </c>
      <c r="M73" s="281">
        <f t="shared" si="21"/>
        <v>14407136.546208311</v>
      </c>
      <c r="N73" s="281">
        <f t="shared" si="21"/>
        <v>14778429.724106289</v>
      </c>
      <c r="O73" s="281">
        <f t="shared" si="21"/>
        <v>14867306.79015228</v>
      </c>
      <c r="P73" s="281">
        <f t="shared" si="21"/>
        <v>15738998.009820029</v>
      </c>
      <c r="Q73" s="281">
        <f t="shared" si="21"/>
        <v>15727100.530059466</v>
      </c>
      <c r="R73" s="281">
        <f t="shared" si="21"/>
        <v>15963275.81885092</v>
      </c>
      <c r="S73" s="281">
        <f t="shared" si="21"/>
        <v>16286793.503460212</v>
      </c>
      <c r="T73" s="281">
        <f t="shared" si="21"/>
        <v>16217986.504419096</v>
      </c>
      <c r="U73" s="281">
        <f t="shared" si="21"/>
        <v>16541014.527064595</v>
      </c>
      <c r="V73" s="281">
        <f t="shared" si="21"/>
        <v>16730100.939588439</v>
      </c>
      <c r="W73" s="281">
        <f t="shared" si="21"/>
        <v>16699144.116663236</v>
      </c>
      <c r="X73" s="281">
        <f t="shared" si="21"/>
        <v>16565995.046507442</v>
      </c>
      <c r="Y73" s="281">
        <f t="shared" si="21"/>
        <v>16828402.438250024</v>
      </c>
      <c r="Z73" s="281">
        <f t="shared" si="21"/>
        <v>16849906.939418729</v>
      </c>
      <c r="AA73" s="281">
        <f t="shared" si="21"/>
        <v>16825077.810336601</v>
      </c>
      <c r="AB73" s="281">
        <f t="shared" si="21"/>
        <v>16468548.123852521</v>
      </c>
      <c r="AC73" s="281">
        <f>SUM(AC18,AC24,AC30,AC36,AC42,AC48,AC54,AC60,AC66,AC72)</f>
        <v>16805086.097966958</v>
      </c>
      <c r="AD73" s="452">
        <f>SUM(AD18,AD24,AD30,AD36,AD42,AD48,AD54,AD60,AD66,AD72)</f>
        <v>17529436.147577759</v>
      </c>
    </row>
    <row r="74" spans="2:30" x14ac:dyDescent="0.25">
      <c r="B74" s="195"/>
      <c r="C74" s="339" t="s">
        <v>108</v>
      </c>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463"/>
    </row>
    <row r="75" spans="2:30" x14ac:dyDescent="0.25">
      <c r="B75" s="193"/>
      <c r="C75" s="341" t="s">
        <v>432</v>
      </c>
      <c r="D75" s="310"/>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462"/>
    </row>
    <row r="76" spans="2:30" x14ac:dyDescent="0.25">
      <c r="B76" s="414">
        <v>3.4</v>
      </c>
      <c r="C76" s="191" t="s">
        <v>216</v>
      </c>
      <c r="D76" s="299"/>
      <c r="E76" s="281">
        <f>D80</f>
        <v>0</v>
      </c>
      <c r="F76" s="281">
        <f t="shared" ref="F76:AB76" si="22">E80</f>
        <v>0</v>
      </c>
      <c r="G76" s="281">
        <f t="shared" si="22"/>
        <v>0</v>
      </c>
      <c r="H76" s="281">
        <f t="shared" si="22"/>
        <v>0</v>
      </c>
      <c r="I76" s="281">
        <f t="shared" si="22"/>
        <v>0</v>
      </c>
      <c r="J76" s="281">
        <f t="shared" si="22"/>
        <v>0</v>
      </c>
      <c r="K76" s="281">
        <f t="shared" si="22"/>
        <v>0</v>
      </c>
      <c r="L76" s="281">
        <f t="shared" si="22"/>
        <v>0</v>
      </c>
      <c r="M76" s="281">
        <f t="shared" si="22"/>
        <v>0</v>
      </c>
      <c r="N76" s="281">
        <f t="shared" si="22"/>
        <v>0</v>
      </c>
      <c r="O76" s="281">
        <f t="shared" si="22"/>
        <v>0</v>
      </c>
      <c r="P76" s="281">
        <f t="shared" si="22"/>
        <v>0</v>
      </c>
      <c r="Q76" s="281">
        <f t="shared" si="22"/>
        <v>0</v>
      </c>
      <c r="R76" s="281">
        <f t="shared" si="22"/>
        <v>0</v>
      </c>
      <c r="S76" s="281">
        <f t="shared" si="22"/>
        <v>0</v>
      </c>
      <c r="T76" s="281">
        <f t="shared" si="22"/>
        <v>0</v>
      </c>
      <c r="U76" s="281">
        <f t="shared" si="22"/>
        <v>0</v>
      </c>
      <c r="V76" s="281">
        <f t="shared" si="22"/>
        <v>0</v>
      </c>
      <c r="W76" s="281">
        <f t="shared" si="22"/>
        <v>0</v>
      </c>
      <c r="X76" s="281">
        <f t="shared" si="22"/>
        <v>0</v>
      </c>
      <c r="Y76" s="281">
        <f t="shared" si="22"/>
        <v>4390.7814891740345</v>
      </c>
      <c r="Z76" s="281">
        <f t="shared" si="22"/>
        <v>4586.1338266909825</v>
      </c>
      <c r="AA76" s="281">
        <f t="shared" si="22"/>
        <v>7404.1886789062974</v>
      </c>
      <c r="AB76" s="281">
        <f t="shared" si="22"/>
        <v>70835.155063026614</v>
      </c>
      <c r="AC76" s="281">
        <f>AB80</f>
        <v>122309.76411550841</v>
      </c>
      <c r="AD76" s="452">
        <f>AC80</f>
        <v>140803.55724391594</v>
      </c>
    </row>
    <row r="77" spans="2:30" x14ac:dyDescent="0.25">
      <c r="B77" s="414">
        <v>3.4</v>
      </c>
      <c r="C77" s="191" t="s">
        <v>192</v>
      </c>
      <c r="D77" s="299"/>
      <c r="E77" s="299">
        <v>0</v>
      </c>
      <c r="F77" s="299">
        <v>0</v>
      </c>
      <c r="G77" s="299">
        <v>0</v>
      </c>
      <c r="H77" s="299">
        <v>0</v>
      </c>
      <c r="I77" s="299">
        <v>0</v>
      </c>
      <c r="J77" s="299">
        <v>0</v>
      </c>
      <c r="K77" s="299">
        <v>0</v>
      </c>
      <c r="L77" s="299">
        <v>0</v>
      </c>
      <c r="M77" s="299">
        <v>0</v>
      </c>
      <c r="N77" s="299">
        <v>0</v>
      </c>
      <c r="O77" s="299">
        <v>0</v>
      </c>
      <c r="P77" s="299">
        <v>0</v>
      </c>
      <c r="Q77" s="299">
        <v>0</v>
      </c>
      <c r="R77" s="299">
        <v>0</v>
      </c>
      <c r="S77" s="299">
        <v>0</v>
      </c>
      <c r="T77" s="299">
        <v>0</v>
      </c>
      <c r="U77" s="299">
        <v>0</v>
      </c>
      <c r="V77" s="299">
        <v>0</v>
      </c>
      <c r="W77" s="299">
        <v>0</v>
      </c>
      <c r="X77" s="299">
        <v>4410.3200700693606</v>
      </c>
      <c r="Y77" s="299">
        <v>1018.2906946515785</v>
      </c>
      <c r="Z77" s="299">
        <v>3836.9358585765935</v>
      </c>
      <c r="AA77" s="299">
        <v>65505.815079092805</v>
      </c>
      <c r="AB77" s="299">
        <v>67280.866289838334</v>
      </c>
      <c r="AC77" s="299">
        <v>43092.339531434205</v>
      </c>
      <c r="AD77" s="299">
        <v>193206.81259003113</v>
      </c>
    </row>
    <row r="78" spans="2:30" x14ac:dyDescent="0.25">
      <c r="B78" s="414">
        <v>3.4</v>
      </c>
      <c r="C78" s="308" t="s">
        <v>431</v>
      </c>
      <c r="D78" s="299"/>
      <c r="E78" s="299">
        <v>0</v>
      </c>
      <c r="F78" s="299">
        <v>0</v>
      </c>
      <c r="G78" s="299">
        <v>0</v>
      </c>
      <c r="H78" s="299">
        <v>0</v>
      </c>
      <c r="I78" s="299">
        <v>0</v>
      </c>
      <c r="J78" s="299">
        <v>0</v>
      </c>
      <c r="K78" s="299">
        <v>0</v>
      </c>
      <c r="L78" s="299">
        <v>0</v>
      </c>
      <c r="M78" s="299">
        <v>0</v>
      </c>
      <c r="N78" s="299">
        <v>0</v>
      </c>
      <c r="O78" s="299">
        <v>0</v>
      </c>
      <c r="P78" s="299">
        <v>0</v>
      </c>
      <c r="Q78" s="299">
        <v>0</v>
      </c>
      <c r="R78" s="299">
        <v>0</v>
      </c>
      <c r="S78" s="299">
        <v>0</v>
      </c>
      <c r="T78" s="299">
        <v>0</v>
      </c>
      <c r="U78" s="299">
        <v>0</v>
      </c>
      <c r="V78" s="299">
        <v>0</v>
      </c>
      <c r="W78" s="299">
        <v>0</v>
      </c>
      <c r="X78" s="299">
        <v>0</v>
      </c>
      <c r="Y78" s="299">
        <v>-802.23746877645806</v>
      </c>
      <c r="Z78" s="299">
        <v>-1012.3872810963235</v>
      </c>
      <c r="AA78" s="299">
        <v>-1794.7493077957304</v>
      </c>
      <c r="AB78" s="299">
        <v>-15442.9140642774</v>
      </c>
      <c r="AC78" s="299">
        <v>-23775.804094141386</v>
      </c>
      <c r="AD78" s="299">
        <v>-28731.946333599066</v>
      </c>
    </row>
    <row r="79" spans="2:30" x14ac:dyDescent="0.25">
      <c r="B79" s="414">
        <v>3.4</v>
      </c>
      <c r="C79" s="191" t="s">
        <v>242</v>
      </c>
      <c r="D79" s="299"/>
      <c r="E79" s="299">
        <v>0</v>
      </c>
      <c r="F79" s="299">
        <v>0</v>
      </c>
      <c r="G79" s="299">
        <v>0</v>
      </c>
      <c r="H79" s="299">
        <v>0</v>
      </c>
      <c r="I79" s="299">
        <v>0</v>
      </c>
      <c r="J79" s="299">
        <v>0</v>
      </c>
      <c r="K79" s="299">
        <v>0</v>
      </c>
      <c r="L79" s="299">
        <v>0</v>
      </c>
      <c r="M79" s="299">
        <v>0</v>
      </c>
      <c r="N79" s="299">
        <v>0</v>
      </c>
      <c r="O79" s="299">
        <v>0</v>
      </c>
      <c r="P79" s="299">
        <v>0</v>
      </c>
      <c r="Q79" s="299">
        <v>0</v>
      </c>
      <c r="R79" s="299">
        <v>0</v>
      </c>
      <c r="S79" s="299">
        <v>0</v>
      </c>
      <c r="T79" s="299">
        <v>0</v>
      </c>
      <c r="U79" s="299">
        <v>0</v>
      </c>
      <c r="V79" s="299">
        <v>0</v>
      </c>
      <c r="W79" s="299">
        <v>0</v>
      </c>
      <c r="X79" s="299">
        <v>-19.538580895326092</v>
      </c>
      <c r="Y79" s="299">
        <v>-20.700888358172797</v>
      </c>
      <c r="Z79" s="299">
        <v>-6.49372526495402</v>
      </c>
      <c r="AA79" s="299">
        <v>-280.09938717675305</v>
      </c>
      <c r="AB79" s="299">
        <v>-363.34317307914114</v>
      </c>
      <c r="AC79" s="299">
        <v>-822.74230888529235</v>
      </c>
      <c r="AD79" s="299">
        <v>-51.032771762521122</v>
      </c>
    </row>
    <row r="80" spans="2:30" x14ac:dyDescent="0.25">
      <c r="B80" s="192"/>
      <c r="C80" s="342" t="s">
        <v>433</v>
      </c>
      <c r="D80" s="281">
        <f>SUM(D76:D79)</f>
        <v>0</v>
      </c>
      <c r="E80" s="281">
        <f>SUM(E76:E79)</f>
        <v>0</v>
      </c>
      <c r="F80" s="281">
        <f t="shared" ref="F80:W80" si="23">SUM(F76:F79)</f>
        <v>0</v>
      </c>
      <c r="G80" s="281">
        <f t="shared" si="23"/>
        <v>0</v>
      </c>
      <c r="H80" s="281">
        <f t="shared" si="23"/>
        <v>0</v>
      </c>
      <c r="I80" s="281">
        <f t="shared" si="23"/>
        <v>0</v>
      </c>
      <c r="J80" s="281">
        <f t="shared" si="23"/>
        <v>0</v>
      </c>
      <c r="K80" s="281">
        <f t="shared" si="23"/>
        <v>0</v>
      </c>
      <c r="L80" s="281">
        <f t="shared" si="23"/>
        <v>0</v>
      </c>
      <c r="M80" s="281">
        <f t="shared" si="23"/>
        <v>0</v>
      </c>
      <c r="N80" s="281">
        <f t="shared" si="23"/>
        <v>0</v>
      </c>
      <c r="O80" s="281">
        <f t="shared" si="23"/>
        <v>0</v>
      </c>
      <c r="P80" s="281">
        <f t="shared" si="23"/>
        <v>0</v>
      </c>
      <c r="Q80" s="281">
        <f t="shared" si="23"/>
        <v>0</v>
      </c>
      <c r="R80" s="281">
        <f t="shared" si="23"/>
        <v>0</v>
      </c>
      <c r="S80" s="281">
        <f t="shared" si="23"/>
        <v>0</v>
      </c>
      <c r="T80" s="281">
        <f t="shared" si="23"/>
        <v>0</v>
      </c>
      <c r="U80" s="281">
        <f t="shared" si="23"/>
        <v>0</v>
      </c>
      <c r="V80" s="281">
        <f t="shared" si="23"/>
        <v>0</v>
      </c>
      <c r="W80" s="281">
        <f t="shared" si="23"/>
        <v>0</v>
      </c>
      <c r="X80" s="281">
        <f t="shared" ref="X80" si="24">SUM(X76:X79)</f>
        <v>4390.7814891740345</v>
      </c>
      <c r="Y80" s="281">
        <f t="shared" ref="Y80" si="25">SUM(Y76:Y79)</f>
        <v>4586.1338266909825</v>
      </c>
      <c r="Z80" s="281">
        <f t="shared" ref="Z80" si="26">SUM(Z76:Z79)</f>
        <v>7404.1886789062974</v>
      </c>
      <c r="AA80" s="281">
        <f t="shared" ref="AA80" si="27">SUM(AA76:AA79)</f>
        <v>70835.155063026614</v>
      </c>
      <c r="AB80" s="281">
        <f t="shared" ref="AB80" si="28">SUM(AB76:AB79)</f>
        <v>122309.76411550841</v>
      </c>
      <c r="AC80" s="452">
        <f t="shared" ref="AC80:AD80" si="29">SUM(AC76:AC79)</f>
        <v>140803.55724391594</v>
      </c>
      <c r="AD80" s="452">
        <f t="shared" si="29"/>
        <v>305227.39072858548</v>
      </c>
    </row>
    <row r="81" spans="2:30" x14ac:dyDescent="0.25">
      <c r="B81" s="193"/>
      <c r="C81" s="194" t="s">
        <v>264</v>
      </c>
      <c r="D81" s="310"/>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462"/>
    </row>
    <row r="82" spans="2:30" x14ac:dyDescent="0.25">
      <c r="B82" s="414">
        <v>3.4</v>
      </c>
      <c r="C82" s="191" t="s">
        <v>216</v>
      </c>
      <c r="D82" s="299"/>
      <c r="E82" s="281">
        <f>D86</f>
        <v>0</v>
      </c>
      <c r="F82" s="281">
        <f t="shared" ref="F82:AB82" si="30">E86</f>
        <v>0</v>
      </c>
      <c r="G82" s="281">
        <f t="shared" si="30"/>
        <v>0</v>
      </c>
      <c r="H82" s="281">
        <f t="shared" si="30"/>
        <v>0</v>
      </c>
      <c r="I82" s="281">
        <f t="shared" si="30"/>
        <v>0</v>
      </c>
      <c r="J82" s="281">
        <f t="shared" si="30"/>
        <v>0</v>
      </c>
      <c r="K82" s="281">
        <f t="shared" si="30"/>
        <v>0</v>
      </c>
      <c r="L82" s="281">
        <f t="shared" si="30"/>
        <v>0</v>
      </c>
      <c r="M82" s="281">
        <f t="shared" si="30"/>
        <v>0</v>
      </c>
      <c r="N82" s="281">
        <f t="shared" si="30"/>
        <v>0</v>
      </c>
      <c r="O82" s="281">
        <f t="shared" si="30"/>
        <v>0</v>
      </c>
      <c r="P82" s="281">
        <f t="shared" si="30"/>
        <v>0</v>
      </c>
      <c r="Q82" s="281">
        <f t="shared" si="30"/>
        <v>0</v>
      </c>
      <c r="R82" s="281">
        <f t="shared" si="30"/>
        <v>0</v>
      </c>
      <c r="S82" s="281">
        <f t="shared" si="30"/>
        <v>0</v>
      </c>
      <c r="T82" s="281">
        <f t="shared" si="30"/>
        <v>0</v>
      </c>
      <c r="U82" s="281">
        <f t="shared" si="30"/>
        <v>0</v>
      </c>
      <c r="V82" s="281">
        <f t="shared" si="30"/>
        <v>0</v>
      </c>
      <c r="W82" s="281">
        <f t="shared" si="30"/>
        <v>0</v>
      </c>
      <c r="X82" s="281">
        <f t="shared" si="30"/>
        <v>0</v>
      </c>
      <c r="Y82" s="281">
        <f t="shared" si="30"/>
        <v>0</v>
      </c>
      <c r="Z82" s="281">
        <f t="shared" si="30"/>
        <v>0</v>
      </c>
      <c r="AA82" s="281">
        <f t="shared" si="30"/>
        <v>0</v>
      </c>
      <c r="AB82" s="281">
        <f t="shared" si="30"/>
        <v>0</v>
      </c>
      <c r="AC82" s="281">
        <f>AB86</f>
        <v>54553.325426531497</v>
      </c>
      <c r="AD82" s="452">
        <f>AC86</f>
        <v>59392.433897467665</v>
      </c>
    </row>
    <row r="83" spans="2:30" x14ac:dyDescent="0.25">
      <c r="B83" s="414">
        <v>3.4</v>
      </c>
      <c r="C83" s="191" t="s">
        <v>192</v>
      </c>
      <c r="D83" s="299"/>
      <c r="E83" s="299">
        <v>0</v>
      </c>
      <c r="F83" s="299">
        <v>0</v>
      </c>
      <c r="G83" s="299">
        <v>0</v>
      </c>
      <c r="H83" s="299">
        <v>0</v>
      </c>
      <c r="I83" s="299">
        <v>0</v>
      </c>
      <c r="J83" s="299">
        <v>0</v>
      </c>
      <c r="K83" s="299">
        <v>0</v>
      </c>
      <c r="L83" s="299">
        <v>0</v>
      </c>
      <c r="M83" s="299">
        <v>0</v>
      </c>
      <c r="N83" s="299">
        <v>0</v>
      </c>
      <c r="O83" s="299">
        <v>0</v>
      </c>
      <c r="P83" s="299">
        <v>0</v>
      </c>
      <c r="Q83" s="299">
        <v>0</v>
      </c>
      <c r="R83" s="299">
        <v>0</v>
      </c>
      <c r="S83" s="299">
        <v>0</v>
      </c>
      <c r="T83" s="299">
        <v>0</v>
      </c>
      <c r="U83" s="299">
        <v>0</v>
      </c>
      <c r="V83" s="299">
        <v>0</v>
      </c>
      <c r="W83" s="299">
        <v>0</v>
      </c>
      <c r="X83" s="299">
        <v>0</v>
      </c>
      <c r="Y83" s="299">
        <v>0</v>
      </c>
      <c r="Z83" s="299">
        <v>0</v>
      </c>
      <c r="AA83" s="299">
        <v>0</v>
      </c>
      <c r="AB83" s="299">
        <v>54553.325426531497</v>
      </c>
      <c r="AC83" s="299">
        <v>13613.552477492471</v>
      </c>
      <c r="AD83" s="461">
        <v>14608.929522846651</v>
      </c>
    </row>
    <row r="84" spans="2:30" x14ac:dyDescent="0.25">
      <c r="B84" s="414">
        <v>3.4</v>
      </c>
      <c r="C84" s="191" t="s">
        <v>237</v>
      </c>
      <c r="D84" s="299"/>
      <c r="E84" s="299">
        <v>0</v>
      </c>
      <c r="F84" s="299">
        <v>0</v>
      </c>
      <c r="G84" s="299">
        <v>0</v>
      </c>
      <c r="H84" s="299">
        <v>0</v>
      </c>
      <c r="I84" s="299">
        <v>0</v>
      </c>
      <c r="J84" s="299">
        <v>0</v>
      </c>
      <c r="K84" s="299">
        <v>0</v>
      </c>
      <c r="L84" s="299">
        <v>0</v>
      </c>
      <c r="M84" s="299">
        <v>0</v>
      </c>
      <c r="N84" s="299">
        <v>0</v>
      </c>
      <c r="O84" s="299">
        <v>0</v>
      </c>
      <c r="P84" s="299">
        <v>0</v>
      </c>
      <c r="Q84" s="299">
        <v>0</v>
      </c>
      <c r="R84" s="299">
        <v>0</v>
      </c>
      <c r="S84" s="299">
        <v>0</v>
      </c>
      <c r="T84" s="299">
        <v>0</v>
      </c>
      <c r="U84" s="299">
        <v>0</v>
      </c>
      <c r="V84" s="299">
        <v>0</v>
      </c>
      <c r="W84" s="299">
        <v>0</v>
      </c>
      <c r="X84" s="299">
        <v>0</v>
      </c>
      <c r="Y84" s="299">
        <v>0</v>
      </c>
      <c r="Z84" s="299">
        <v>0</v>
      </c>
      <c r="AA84" s="299">
        <v>0</v>
      </c>
      <c r="AB84" s="299">
        <v>0</v>
      </c>
      <c r="AC84" s="299">
        <v>-8774.4440065563085</v>
      </c>
      <c r="AD84" s="299">
        <v>-10468.722682215199</v>
      </c>
    </row>
    <row r="85" spans="2:30" x14ac:dyDescent="0.25">
      <c r="B85" s="414">
        <v>3.4</v>
      </c>
      <c r="C85" s="191" t="s">
        <v>236</v>
      </c>
      <c r="D85" s="299"/>
      <c r="E85" s="299">
        <v>0</v>
      </c>
      <c r="F85" s="299">
        <v>0</v>
      </c>
      <c r="G85" s="299">
        <v>0</v>
      </c>
      <c r="H85" s="299">
        <v>0</v>
      </c>
      <c r="I85" s="299">
        <v>0</v>
      </c>
      <c r="J85" s="299">
        <v>0</v>
      </c>
      <c r="K85" s="299">
        <v>0</v>
      </c>
      <c r="L85" s="299">
        <v>0</v>
      </c>
      <c r="M85" s="299">
        <v>0</v>
      </c>
      <c r="N85" s="299">
        <v>0</v>
      </c>
      <c r="O85" s="299">
        <v>0</v>
      </c>
      <c r="P85" s="299">
        <v>0</v>
      </c>
      <c r="Q85" s="299">
        <v>0</v>
      </c>
      <c r="R85" s="299">
        <v>0</v>
      </c>
      <c r="S85" s="299">
        <v>0</v>
      </c>
      <c r="T85" s="299">
        <v>0</v>
      </c>
      <c r="U85" s="299">
        <v>0</v>
      </c>
      <c r="V85" s="299">
        <v>0</v>
      </c>
      <c r="W85" s="299">
        <v>0</v>
      </c>
      <c r="X85" s="299">
        <v>0</v>
      </c>
      <c r="Y85" s="299">
        <v>0</v>
      </c>
      <c r="Z85" s="299">
        <v>0</v>
      </c>
      <c r="AA85" s="299">
        <v>0</v>
      </c>
      <c r="AB85" s="299">
        <v>0</v>
      </c>
      <c r="AC85" s="299">
        <v>0</v>
      </c>
      <c r="AD85" s="461">
        <v>0</v>
      </c>
    </row>
    <row r="86" spans="2:30" x14ac:dyDescent="0.25">
      <c r="B86" s="192"/>
      <c r="C86" s="309" t="s">
        <v>265</v>
      </c>
      <c r="D86" s="281">
        <f>SUM(D82:D85)</f>
        <v>0</v>
      </c>
      <c r="E86" s="281">
        <f>SUM(E82:E85)</f>
        <v>0</v>
      </c>
      <c r="F86" s="281">
        <f t="shared" ref="F86:AD86" si="31">SUM(F82:F85)</f>
        <v>0</v>
      </c>
      <c r="G86" s="281">
        <f t="shared" si="31"/>
        <v>0</v>
      </c>
      <c r="H86" s="281">
        <f t="shared" si="31"/>
        <v>0</v>
      </c>
      <c r="I86" s="281">
        <f t="shared" si="31"/>
        <v>0</v>
      </c>
      <c r="J86" s="281">
        <f t="shared" si="31"/>
        <v>0</v>
      </c>
      <c r="K86" s="281">
        <f t="shared" si="31"/>
        <v>0</v>
      </c>
      <c r="L86" s="281">
        <f t="shared" si="31"/>
        <v>0</v>
      </c>
      <c r="M86" s="281">
        <f t="shared" si="31"/>
        <v>0</v>
      </c>
      <c r="N86" s="281">
        <f t="shared" si="31"/>
        <v>0</v>
      </c>
      <c r="O86" s="281">
        <f t="shared" si="31"/>
        <v>0</v>
      </c>
      <c r="P86" s="281">
        <f t="shared" si="31"/>
        <v>0</v>
      </c>
      <c r="Q86" s="281">
        <f t="shared" si="31"/>
        <v>0</v>
      </c>
      <c r="R86" s="281">
        <f t="shared" si="31"/>
        <v>0</v>
      </c>
      <c r="S86" s="281">
        <f t="shared" si="31"/>
        <v>0</v>
      </c>
      <c r="T86" s="281">
        <f t="shared" si="31"/>
        <v>0</v>
      </c>
      <c r="U86" s="281">
        <f t="shared" si="31"/>
        <v>0</v>
      </c>
      <c r="V86" s="281">
        <f t="shared" si="31"/>
        <v>0</v>
      </c>
      <c r="W86" s="281">
        <f t="shared" si="31"/>
        <v>0</v>
      </c>
      <c r="X86" s="281">
        <f t="shared" si="31"/>
        <v>0</v>
      </c>
      <c r="Y86" s="281">
        <f t="shared" si="31"/>
        <v>0</v>
      </c>
      <c r="Z86" s="281">
        <f t="shared" si="31"/>
        <v>0</v>
      </c>
      <c r="AA86" s="281">
        <f t="shared" si="31"/>
        <v>0</v>
      </c>
      <c r="AB86" s="281">
        <f t="shared" si="31"/>
        <v>54553.325426531497</v>
      </c>
      <c r="AC86" s="452">
        <f t="shared" si="31"/>
        <v>59392.433897467665</v>
      </c>
      <c r="AD86" s="452">
        <f t="shared" si="31"/>
        <v>63532.640738099115</v>
      </c>
    </row>
    <row r="87" spans="2:30" x14ac:dyDescent="0.25">
      <c r="B87" s="193"/>
      <c r="C87" s="341" t="s">
        <v>434</v>
      </c>
      <c r="D87" s="310"/>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462"/>
    </row>
    <row r="88" spans="2:30" x14ac:dyDescent="0.25">
      <c r="B88" s="190"/>
      <c r="C88" s="191" t="s">
        <v>239</v>
      </c>
      <c r="D88" s="299"/>
      <c r="E88" s="281">
        <f>D90</f>
        <v>0</v>
      </c>
      <c r="F88" s="281">
        <f t="shared" ref="F88:AB88" si="32">E90</f>
        <v>0</v>
      </c>
      <c r="G88" s="281">
        <f t="shared" si="32"/>
        <v>0</v>
      </c>
      <c r="H88" s="281">
        <f t="shared" si="32"/>
        <v>0</v>
      </c>
      <c r="I88" s="281">
        <f t="shared" si="32"/>
        <v>0</v>
      </c>
      <c r="J88" s="281">
        <f t="shared" si="32"/>
        <v>0</v>
      </c>
      <c r="K88" s="281">
        <f t="shared" si="32"/>
        <v>0</v>
      </c>
      <c r="L88" s="281">
        <f t="shared" si="32"/>
        <v>0</v>
      </c>
      <c r="M88" s="281">
        <f t="shared" si="32"/>
        <v>0</v>
      </c>
      <c r="N88" s="281">
        <f t="shared" si="32"/>
        <v>0</v>
      </c>
      <c r="O88" s="281">
        <f t="shared" si="32"/>
        <v>0</v>
      </c>
      <c r="P88" s="281">
        <f t="shared" si="32"/>
        <v>0</v>
      </c>
      <c r="Q88" s="281">
        <f t="shared" si="32"/>
        <v>0</v>
      </c>
      <c r="R88" s="281">
        <f t="shared" si="32"/>
        <v>0</v>
      </c>
      <c r="S88" s="281">
        <f t="shared" si="32"/>
        <v>0</v>
      </c>
      <c r="T88" s="281">
        <f t="shared" si="32"/>
        <v>0</v>
      </c>
      <c r="U88" s="281">
        <f t="shared" si="32"/>
        <v>0</v>
      </c>
      <c r="V88" s="281">
        <f t="shared" si="32"/>
        <v>0</v>
      </c>
      <c r="W88" s="281">
        <f t="shared" si="32"/>
        <v>0</v>
      </c>
      <c r="X88" s="281">
        <f t="shared" si="32"/>
        <v>0</v>
      </c>
      <c r="Y88" s="281">
        <f t="shared" si="32"/>
        <v>0</v>
      </c>
      <c r="Z88" s="281">
        <f t="shared" si="32"/>
        <v>0</v>
      </c>
      <c r="AA88" s="281">
        <f t="shared" si="32"/>
        <v>0</v>
      </c>
      <c r="AB88" s="281">
        <f t="shared" si="32"/>
        <v>0</v>
      </c>
      <c r="AC88" s="281">
        <f>AB90</f>
        <v>0</v>
      </c>
      <c r="AD88" s="452">
        <f>AB90</f>
        <v>0</v>
      </c>
    </row>
    <row r="89" spans="2:30" x14ac:dyDescent="0.25">
      <c r="B89" s="190"/>
      <c r="C89" s="191" t="s">
        <v>240</v>
      </c>
      <c r="D89" s="299"/>
      <c r="E89" s="299">
        <v>0</v>
      </c>
      <c r="F89" s="299">
        <v>0</v>
      </c>
      <c r="G89" s="299">
        <v>0</v>
      </c>
      <c r="H89" s="299">
        <v>0</v>
      </c>
      <c r="I89" s="299">
        <v>0</v>
      </c>
      <c r="J89" s="299">
        <v>0</v>
      </c>
      <c r="K89" s="299">
        <v>0</v>
      </c>
      <c r="L89" s="299">
        <v>0</v>
      </c>
      <c r="M89" s="299">
        <v>0</v>
      </c>
      <c r="N89" s="299">
        <v>0</v>
      </c>
      <c r="O89" s="299">
        <v>0</v>
      </c>
      <c r="P89" s="299">
        <v>0</v>
      </c>
      <c r="Q89" s="299">
        <v>0</v>
      </c>
      <c r="R89" s="299">
        <v>0</v>
      </c>
      <c r="S89" s="299">
        <v>0</v>
      </c>
      <c r="T89" s="299">
        <v>0</v>
      </c>
      <c r="U89" s="299">
        <v>0</v>
      </c>
      <c r="V89" s="299">
        <v>0</v>
      </c>
      <c r="W89" s="299">
        <v>0</v>
      </c>
      <c r="X89" s="299">
        <v>0</v>
      </c>
      <c r="Y89" s="299">
        <v>0</v>
      </c>
      <c r="Z89" s="299">
        <v>0</v>
      </c>
      <c r="AA89" s="299">
        <v>0</v>
      </c>
      <c r="AB89" s="299">
        <v>0</v>
      </c>
      <c r="AC89" s="299">
        <v>0</v>
      </c>
      <c r="AD89" s="461">
        <v>0</v>
      </c>
    </row>
    <row r="90" spans="2:30" x14ac:dyDescent="0.25">
      <c r="B90" s="192"/>
      <c r="C90" s="309" t="s">
        <v>241</v>
      </c>
      <c r="D90" s="281">
        <f>D88+D89</f>
        <v>0</v>
      </c>
      <c r="E90" s="281">
        <f>E88+E89</f>
        <v>0</v>
      </c>
      <c r="F90" s="281">
        <f>F88+F89</f>
        <v>0</v>
      </c>
      <c r="G90" s="281">
        <f t="shared" ref="G90:AB90" si="33">G88+G89</f>
        <v>0</v>
      </c>
      <c r="H90" s="281">
        <f t="shared" si="33"/>
        <v>0</v>
      </c>
      <c r="I90" s="281">
        <f t="shared" si="33"/>
        <v>0</v>
      </c>
      <c r="J90" s="281">
        <f t="shared" si="33"/>
        <v>0</v>
      </c>
      <c r="K90" s="281">
        <f t="shared" si="33"/>
        <v>0</v>
      </c>
      <c r="L90" s="281">
        <f t="shared" si="33"/>
        <v>0</v>
      </c>
      <c r="M90" s="281">
        <f t="shared" si="33"/>
        <v>0</v>
      </c>
      <c r="N90" s="281">
        <f t="shared" si="33"/>
        <v>0</v>
      </c>
      <c r="O90" s="281">
        <f t="shared" si="33"/>
        <v>0</v>
      </c>
      <c r="P90" s="281">
        <f t="shared" si="33"/>
        <v>0</v>
      </c>
      <c r="Q90" s="281">
        <f t="shared" si="33"/>
        <v>0</v>
      </c>
      <c r="R90" s="281">
        <f t="shared" si="33"/>
        <v>0</v>
      </c>
      <c r="S90" s="281">
        <f t="shared" si="33"/>
        <v>0</v>
      </c>
      <c r="T90" s="281">
        <f t="shared" si="33"/>
        <v>0</v>
      </c>
      <c r="U90" s="281">
        <f t="shared" si="33"/>
        <v>0</v>
      </c>
      <c r="V90" s="281">
        <f t="shared" si="33"/>
        <v>0</v>
      </c>
      <c r="W90" s="281">
        <f t="shared" si="33"/>
        <v>0</v>
      </c>
      <c r="X90" s="281">
        <f t="shared" si="33"/>
        <v>0</v>
      </c>
      <c r="Y90" s="281">
        <f t="shared" si="33"/>
        <v>0</v>
      </c>
      <c r="Z90" s="281">
        <f t="shared" si="33"/>
        <v>0</v>
      </c>
      <c r="AA90" s="281">
        <f t="shared" si="33"/>
        <v>0</v>
      </c>
      <c r="AB90" s="281">
        <f t="shared" si="33"/>
        <v>0</v>
      </c>
      <c r="AC90" s="450">
        <f>AC88+AC89</f>
        <v>0</v>
      </c>
      <c r="AD90" s="452">
        <f>AD88+AD89</f>
        <v>0</v>
      </c>
    </row>
    <row r="91" spans="2:30" x14ac:dyDescent="0.25">
      <c r="B91" s="192"/>
      <c r="C91" s="343" t="s">
        <v>109</v>
      </c>
      <c r="D91" s="281">
        <f>D80+D86+D90</f>
        <v>0</v>
      </c>
      <c r="E91" s="281">
        <f>E80+E86+E90</f>
        <v>0</v>
      </c>
      <c r="F91" s="281">
        <f>F80+F86+F90</f>
        <v>0</v>
      </c>
      <c r="G91" s="281">
        <f t="shared" ref="G91:AB91" si="34">G80+G86+G90</f>
        <v>0</v>
      </c>
      <c r="H91" s="281">
        <f t="shared" si="34"/>
        <v>0</v>
      </c>
      <c r="I91" s="281">
        <f t="shared" si="34"/>
        <v>0</v>
      </c>
      <c r="J91" s="281">
        <f t="shared" si="34"/>
        <v>0</v>
      </c>
      <c r="K91" s="281">
        <f t="shared" si="34"/>
        <v>0</v>
      </c>
      <c r="L91" s="281">
        <f t="shared" si="34"/>
        <v>0</v>
      </c>
      <c r="M91" s="281">
        <f t="shared" si="34"/>
        <v>0</v>
      </c>
      <c r="N91" s="281">
        <f t="shared" si="34"/>
        <v>0</v>
      </c>
      <c r="O91" s="281">
        <f t="shared" si="34"/>
        <v>0</v>
      </c>
      <c r="P91" s="281">
        <f t="shared" si="34"/>
        <v>0</v>
      </c>
      <c r="Q91" s="281">
        <f t="shared" si="34"/>
        <v>0</v>
      </c>
      <c r="R91" s="281">
        <f t="shared" si="34"/>
        <v>0</v>
      </c>
      <c r="S91" s="281">
        <f t="shared" si="34"/>
        <v>0</v>
      </c>
      <c r="T91" s="281">
        <f t="shared" si="34"/>
        <v>0</v>
      </c>
      <c r="U91" s="281">
        <f t="shared" si="34"/>
        <v>0</v>
      </c>
      <c r="V91" s="281">
        <f t="shared" si="34"/>
        <v>0</v>
      </c>
      <c r="W91" s="281">
        <f t="shared" si="34"/>
        <v>0</v>
      </c>
      <c r="X91" s="281">
        <f t="shared" si="34"/>
        <v>4390.7814891740345</v>
      </c>
      <c r="Y91" s="281">
        <f t="shared" si="34"/>
        <v>4586.1338266909825</v>
      </c>
      <c r="Z91" s="281">
        <f t="shared" si="34"/>
        <v>7404.1886789062974</v>
      </c>
      <c r="AA91" s="281">
        <f t="shared" si="34"/>
        <v>70835.155063026614</v>
      </c>
      <c r="AB91" s="281">
        <f t="shared" si="34"/>
        <v>176863.0895420399</v>
      </c>
      <c r="AC91" s="452">
        <f>AC80+AC86+AC90</f>
        <v>200195.99114138359</v>
      </c>
      <c r="AD91" s="452">
        <f>AD80+AD86+AD90</f>
        <v>368760.0314666846</v>
      </c>
    </row>
    <row r="92" spans="2:30" ht="12.75" customHeight="1" x14ac:dyDescent="0.25">
      <c r="B92" s="192"/>
      <c r="C92" s="344" t="s">
        <v>22</v>
      </c>
      <c r="D92" s="283">
        <f>D73+D91</f>
        <v>0</v>
      </c>
      <c r="E92" s="283">
        <f>E73+E91</f>
        <v>12709612.786901509</v>
      </c>
      <c r="F92" s="283">
        <f>F73+F91</f>
        <v>12634801.944744714</v>
      </c>
      <c r="G92" s="283">
        <f t="shared" ref="G92:AB92" si="35">G73+G91</f>
        <v>12610086.237071574</v>
      </c>
      <c r="H92" s="283">
        <f t="shared" si="35"/>
        <v>12855127.484274568</v>
      </c>
      <c r="I92" s="283">
        <f t="shared" si="35"/>
        <v>13462703.795742095</v>
      </c>
      <c r="J92" s="283">
        <f t="shared" si="35"/>
        <v>13713364.760320211</v>
      </c>
      <c r="K92" s="283">
        <f t="shared" si="35"/>
        <v>13906063.083004871</v>
      </c>
      <c r="L92" s="283">
        <f t="shared" si="35"/>
        <v>14065861.011732386</v>
      </c>
      <c r="M92" s="283">
        <f t="shared" si="35"/>
        <v>14407136.546208311</v>
      </c>
      <c r="N92" s="283">
        <f t="shared" si="35"/>
        <v>14778429.724106289</v>
      </c>
      <c r="O92" s="283">
        <f t="shared" si="35"/>
        <v>14867306.79015228</v>
      </c>
      <c r="P92" s="283">
        <f t="shared" si="35"/>
        <v>15738998.009820029</v>
      </c>
      <c r="Q92" s="283">
        <f t="shared" si="35"/>
        <v>15727100.530059466</v>
      </c>
      <c r="R92" s="283">
        <f t="shared" si="35"/>
        <v>15963275.81885092</v>
      </c>
      <c r="S92" s="283">
        <f t="shared" si="35"/>
        <v>16286793.503460212</v>
      </c>
      <c r="T92" s="283">
        <f t="shared" si="35"/>
        <v>16217986.504419096</v>
      </c>
      <c r="U92" s="283">
        <f t="shared" si="35"/>
        <v>16541014.527064595</v>
      </c>
      <c r="V92" s="283">
        <f t="shared" si="35"/>
        <v>16730100.939588439</v>
      </c>
      <c r="W92" s="283">
        <f t="shared" si="35"/>
        <v>16699144.116663236</v>
      </c>
      <c r="X92" s="283">
        <f t="shared" si="35"/>
        <v>16570385.827996617</v>
      </c>
      <c r="Y92" s="283">
        <f t="shared" si="35"/>
        <v>16832988.572076716</v>
      </c>
      <c r="Z92" s="283">
        <f t="shared" si="35"/>
        <v>16857311.128097635</v>
      </c>
      <c r="AA92" s="283">
        <f t="shared" si="35"/>
        <v>16895912.965399627</v>
      </c>
      <c r="AB92" s="283">
        <f t="shared" si="35"/>
        <v>16645411.213394562</v>
      </c>
      <c r="AC92" s="453">
        <f>AC73+AC91</f>
        <v>17005282.08910834</v>
      </c>
      <c r="AD92" s="453">
        <f>AD73+AD91</f>
        <v>17898196.179044444</v>
      </c>
    </row>
    <row r="93" spans="2:30" x14ac:dyDescent="0.25">
      <c r="B93" s="192"/>
      <c r="C93" s="344" t="s">
        <v>231</v>
      </c>
      <c r="D93" s="371"/>
      <c r="E93" s="371">
        <v>3.3388981636059967E-3</v>
      </c>
      <c r="F93" s="371">
        <v>6.6555740432612254E-3</v>
      </c>
      <c r="G93" s="371">
        <v>1.074380165289246E-2</v>
      </c>
      <c r="H93" s="371">
        <v>3.1888798037612576E-2</v>
      </c>
      <c r="I93" s="371">
        <v>6.0221870047543646E-2</v>
      </c>
      <c r="J93" s="371">
        <v>2.8400597907324299E-2</v>
      </c>
      <c r="K93" s="371">
        <v>2.6889534883721034E-2</v>
      </c>
      <c r="L93" s="371">
        <v>2.4769992922859085E-2</v>
      </c>
      <c r="M93" s="371">
        <v>2.4861878453038555E-2</v>
      </c>
      <c r="N93" s="371">
        <v>3.9757412398921943E-2</v>
      </c>
      <c r="O93" s="371">
        <v>2.0738820479585085E-2</v>
      </c>
      <c r="P93" s="371">
        <v>4.5079365079365052E-2</v>
      </c>
      <c r="Q93" s="371">
        <v>1.4580801944106936E-2</v>
      </c>
      <c r="R93" s="371">
        <v>3.0538922155688653E-2</v>
      </c>
      <c r="S93" s="371">
        <v>3.6025566531086683E-2</v>
      </c>
      <c r="T93" s="371">
        <v>1.1777902411665764E-2</v>
      </c>
      <c r="U93" s="371">
        <v>2.3904382470119501E-2</v>
      </c>
      <c r="V93" s="371">
        <v>3.0155642023346418E-2</v>
      </c>
      <c r="W93" s="371">
        <v>1.5108593012275628E-2</v>
      </c>
      <c r="X93" s="371">
        <v>1.0232558139534831E-2</v>
      </c>
      <c r="Y93" s="371">
        <v>1.9337016574585641E-2</v>
      </c>
      <c r="Z93" s="371">
        <v>2.0776874435411097E-2</v>
      </c>
      <c r="AA93" s="371">
        <v>1.5929203539823078E-2</v>
      </c>
      <c r="AB93" s="413">
        <v>-3.4843205574912606E-3</v>
      </c>
      <c r="AC93" s="413">
        <v>3.8461538461538325E-2</v>
      </c>
      <c r="AD93" s="413">
        <v>6.1447811447811418E-2</v>
      </c>
    </row>
    <row r="96" spans="2:30" x14ac:dyDescent="0.25">
      <c r="D96" s="53" t="s">
        <v>15</v>
      </c>
    </row>
  </sheetData>
  <mergeCells count="5">
    <mergeCell ref="B1:C1"/>
    <mergeCell ref="B7:C7"/>
    <mergeCell ref="D8:AD8"/>
    <mergeCell ref="B9:B10"/>
    <mergeCell ref="C9:C10"/>
  </mergeCells>
  <phoneticPr fontId="27" type="noConversion"/>
  <pageMargins left="0.23622047244094491" right="0.23622047244094491" top="0.74803149606299213" bottom="0.74803149606299213" header="0.31496062992125984" footer="0.31496062992125984"/>
  <pageSetup paperSize="9" scale="48" orientation="landscape" r:id="rId1"/>
  <headerFooter alignWithMargins="0">
    <oddFooter>&amp;A&amp;RPage &amp;P</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pageSetUpPr fitToPage="1"/>
  </sheetPr>
  <dimension ref="B1:F37"/>
  <sheetViews>
    <sheetView zoomScale="80" zoomScaleNormal="80" workbookViewId="0"/>
  </sheetViews>
  <sheetFormatPr defaultColWidth="9" defaultRowHeight="13.2" x14ac:dyDescent="0.25"/>
  <cols>
    <col min="1" max="1" width="12" style="30" customWidth="1"/>
    <col min="2" max="2" width="20.8984375" style="30" customWidth="1"/>
    <col min="3" max="3" width="42.19921875" style="30" customWidth="1"/>
    <col min="4" max="4" width="21.69921875" style="30" customWidth="1"/>
    <col min="5" max="5" width="18" style="30" customWidth="1"/>
    <col min="6" max="6" width="42.19921875" style="30" customWidth="1"/>
    <col min="7" max="7" width="9.3984375" style="30" customWidth="1"/>
    <col min="8" max="8" width="25" style="30" customWidth="1"/>
    <col min="9" max="16384" width="9" style="30"/>
  </cols>
  <sheetData>
    <row r="1" spans="2:6" ht="21" x14ac:dyDescent="0.4">
      <c r="B1" s="31" t="s">
        <v>126</v>
      </c>
      <c r="C1" s="31"/>
      <c r="D1" s="18"/>
      <c r="E1" s="18"/>
    </row>
    <row r="2" spans="2:6" ht="21" x14ac:dyDescent="0.4">
      <c r="B2" s="46" t="str">
        <f>Tradingname</f>
        <v>Southern Cross Pipelines Australia Pty Limited</v>
      </c>
      <c r="C2" s="47"/>
      <c r="D2" s="31"/>
      <c r="E2" s="31"/>
    </row>
    <row r="3" spans="2:6" ht="18" customHeight="1" x14ac:dyDescent="0.55000000000000004">
      <c r="B3" s="48" t="s">
        <v>157</v>
      </c>
      <c r="C3" s="49">
        <f>Yearending</f>
        <v>44742</v>
      </c>
      <c r="F3" s="42"/>
    </row>
    <row r="5" spans="2:6" ht="15.6" x14ac:dyDescent="0.3">
      <c r="B5" s="34" t="s">
        <v>185</v>
      </c>
      <c r="C5" s="32"/>
      <c r="D5" s="32"/>
      <c r="E5" s="32"/>
    </row>
    <row r="6" spans="2:6" ht="15.6" x14ac:dyDescent="0.3">
      <c r="B6" s="34"/>
      <c r="C6" s="32"/>
      <c r="D6" s="32"/>
      <c r="E6" s="32"/>
    </row>
    <row r="7" spans="2:6" ht="40.5" customHeight="1" x14ac:dyDescent="0.25">
      <c r="B7" s="179" t="s">
        <v>194</v>
      </c>
      <c r="C7" s="179" t="s">
        <v>111</v>
      </c>
      <c r="D7" s="179" t="s">
        <v>333</v>
      </c>
      <c r="E7" s="179" t="s">
        <v>112</v>
      </c>
      <c r="F7" s="196" t="s">
        <v>114</v>
      </c>
    </row>
    <row r="8" spans="2:6" x14ac:dyDescent="0.25">
      <c r="B8" s="181"/>
      <c r="C8" s="181"/>
      <c r="D8" s="187"/>
      <c r="E8" s="197" t="s">
        <v>113</v>
      </c>
      <c r="F8" s="198"/>
    </row>
    <row r="9" spans="2:6" x14ac:dyDescent="0.25">
      <c r="B9" s="199" t="s">
        <v>555</v>
      </c>
      <c r="C9" s="200" t="str">
        <f>'3. Statement of pipeline assets'!C12</f>
        <v>Pipelines</v>
      </c>
      <c r="D9" s="410" t="s">
        <v>539</v>
      </c>
      <c r="E9" s="412">
        <v>80</v>
      </c>
      <c r="F9" s="300" t="s">
        <v>556</v>
      </c>
    </row>
    <row r="10" spans="2:6" x14ac:dyDescent="0.25">
      <c r="B10" s="199" t="s">
        <v>555</v>
      </c>
      <c r="C10" s="200" t="str">
        <f>'3. Statement of pipeline assets'!C19</f>
        <v>Compressors</v>
      </c>
      <c r="D10" s="239"/>
      <c r="E10" s="412">
        <v>35</v>
      </c>
      <c r="F10" s="300" t="s">
        <v>556</v>
      </c>
    </row>
    <row r="11" spans="2:6" x14ac:dyDescent="0.25">
      <c r="B11" s="199" t="s">
        <v>555</v>
      </c>
      <c r="C11" s="200" t="str">
        <f>'3. Statement of pipeline assets'!C25</f>
        <v>City Gates, supply regulators and valve stations</v>
      </c>
      <c r="D11" s="410" t="s">
        <v>540</v>
      </c>
      <c r="E11" s="412">
        <v>50</v>
      </c>
      <c r="F11" s="300" t="s">
        <v>556</v>
      </c>
    </row>
    <row r="12" spans="2:6" x14ac:dyDescent="0.25">
      <c r="B12" s="199" t="s">
        <v>555</v>
      </c>
      <c r="C12" s="200" t="str">
        <f>'3. Statement of pipeline assets'!C31</f>
        <v>Metering</v>
      </c>
      <c r="D12" s="410" t="s">
        <v>541</v>
      </c>
      <c r="E12" s="412">
        <v>50</v>
      </c>
      <c r="F12" s="300" t="s">
        <v>556</v>
      </c>
    </row>
    <row r="13" spans="2:6" x14ac:dyDescent="0.25">
      <c r="B13" s="199" t="s">
        <v>555</v>
      </c>
      <c r="C13" s="200" t="str">
        <f>'3. Statement of pipeline assets'!C37</f>
        <v>Odorant plants</v>
      </c>
      <c r="D13" s="410"/>
      <c r="E13" s="412">
        <v>80</v>
      </c>
      <c r="F13" s="300" t="s">
        <v>556</v>
      </c>
    </row>
    <row r="14" spans="2:6" x14ac:dyDescent="0.25">
      <c r="B14" s="199" t="s">
        <v>555</v>
      </c>
      <c r="C14" s="200" t="str">
        <f>'3. Statement of pipeline assets'!C43</f>
        <v>SCADA (Communications)</v>
      </c>
      <c r="D14" s="410" t="s">
        <v>542</v>
      </c>
      <c r="E14" s="412">
        <v>15</v>
      </c>
      <c r="F14" s="300" t="s">
        <v>556</v>
      </c>
    </row>
    <row r="15" spans="2:6" x14ac:dyDescent="0.25">
      <c r="B15" s="199" t="s">
        <v>555</v>
      </c>
      <c r="C15" s="200" t="str">
        <f>'3. Statement of pipeline assets'!C49</f>
        <v>Buildings</v>
      </c>
      <c r="D15" s="410"/>
      <c r="E15" s="412">
        <v>80</v>
      </c>
      <c r="F15" s="300" t="s">
        <v>556</v>
      </c>
    </row>
    <row r="16" spans="2:6" x14ac:dyDescent="0.25">
      <c r="B16" s="199" t="s">
        <v>555</v>
      </c>
      <c r="C16" s="200" t="str">
        <f>'3. Statement of pipeline assets'!C61</f>
        <v>Other depreciable pipeline assets</v>
      </c>
      <c r="D16" s="410" t="s">
        <v>543</v>
      </c>
      <c r="E16" s="412" t="s">
        <v>545</v>
      </c>
      <c r="F16" s="300" t="s">
        <v>556</v>
      </c>
    </row>
    <row r="17" spans="2:6" x14ac:dyDescent="0.25">
      <c r="B17" s="199"/>
      <c r="C17" s="202" t="s">
        <v>135</v>
      </c>
      <c r="D17" s="239"/>
      <c r="E17" s="411" t="s">
        <v>544</v>
      </c>
      <c r="F17" s="300" t="s">
        <v>557</v>
      </c>
    </row>
    <row r="18" spans="2:6" x14ac:dyDescent="0.25">
      <c r="B18" s="199"/>
      <c r="C18" s="202" t="s">
        <v>184</v>
      </c>
      <c r="D18" s="239"/>
      <c r="E18" s="201"/>
      <c r="F18" s="300"/>
    </row>
    <row r="19" spans="2:6" x14ac:dyDescent="0.25">
      <c r="B19" s="199"/>
      <c r="C19" s="202" t="s">
        <v>184</v>
      </c>
      <c r="D19" s="239"/>
      <c r="E19" s="201"/>
      <c r="F19" s="300"/>
    </row>
    <row r="20" spans="2:6" x14ac:dyDescent="0.25">
      <c r="B20" s="199"/>
      <c r="C20" s="202" t="s">
        <v>184</v>
      </c>
      <c r="D20" s="239"/>
      <c r="E20" s="201"/>
      <c r="F20" s="300"/>
    </row>
    <row r="21" spans="2:6" x14ac:dyDescent="0.25">
      <c r="B21" s="199" t="s">
        <v>555</v>
      </c>
      <c r="C21" s="226" t="str">
        <f>'3. Statement of pipeline assets'!C67</f>
        <v>Leased pipeline assets</v>
      </c>
      <c r="D21" s="239"/>
      <c r="E21" s="35"/>
      <c r="F21" s="301"/>
    </row>
    <row r="22" spans="2:6" x14ac:dyDescent="0.25">
      <c r="B22" s="35"/>
      <c r="C22" s="202" t="s">
        <v>184</v>
      </c>
      <c r="D22" s="239"/>
      <c r="E22" s="35"/>
      <c r="F22" s="301"/>
    </row>
    <row r="23" spans="2:6" x14ac:dyDescent="0.25">
      <c r="B23" s="35"/>
      <c r="C23" s="202" t="s">
        <v>184</v>
      </c>
      <c r="D23" s="239"/>
      <c r="E23" s="35"/>
      <c r="F23" s="301"/>
    </row>
    <row r="24" spans="2:6" x14ac:dyDescent="0.25">
      <c r="B24" s="35"/>
      <c r="C24" s="202" t="s">
        <v>184</v>
      </c>
      <c r="D24" s="239"/>
      <c r="E24" s="35"/>
      <c r="F24" s="301"/>
    </row>
    <row r="25" spans="2:6" x14ac:dyDescent="0.25">
      <c r="B25" s="199"/>
      <c r="C25" s="202" t="s">
        <v>184</v>
      </c>
      <c r="D25" s="239"/>
      <c r="E25" s="35"/>
      <c r="F25" s="301"/>
    </row>
    <row r="26" spans="2:6" x14ac:dyDescent="0.25">
      <c r="B26" s="199" t="s">
        <v>555</v>
      </c>
      <c r="C26" s="226" t="str">
        <f>'3. Statement of pipeline assets'!C75</f>
        <v>Shared property, plant and equipment</v>
      </c>
      <c r="D26" s="410" t="s">
        <v>586</v>
      </c>
      <c r="E26" s="412">
        <v>5</v>
      </c>
      <c r="F26" s="300" t="s">
        <v>556</v>
      </c>
    </row>
    <row r="27" spans="2:6" x14ac:dyDescent="0.25">
      <c r="B27" s="35"/>
      <c r="C27" s="202" t="s">
        <v>184</v>
      </c>
      <c r="D27" s="239"/>
      <c r="E27" s="35"/>
      <c r="F27" s="301"/>
    </row>
    <row r="28" spans="2:6" x14ac:dyDescent="0.25">
      <c r="B28" s="35"/>
      <c r="C28" s="202" t="s">
        <v>184</v>
      </c>
      <c r="D28" s="239"/>
      <c r="E28" s="35"/>
      <c r="F28" s="301"/>
    </row>
    <row r="29" spans="2:6" x14ac:dyDescent="0.25">
      <c r="B29" s="35"/>
      <c r="C29" s="202" t="s">
        <v>184</v>
      </c>
      <c r="D29" s="239"/>
      <c r="E29" s="35"/>
      <c r="F29" s="301"/>
    </row>
    <row r="30" spans="2:6" x14ac:dyDescent="0.25">
      <c r="B30" s="35"/>
      <c r="C30" s="202" t="s">
        <v>184</v>
      </c>
      <c r="D30" s="239"/>
      <c r="E30" s="35"/>
      <c r="F30" s="301"/>
    </row>
    <row r="31" spans="2:6" x14ac:dyDescent="0.25">
      <c r="B31" s="35"/>
      <c r="C31" s="202" t="s">
        <v>184</v>
      </c>
      <c r="D31" s="239"/>
      <c r="E31" s="35"/>
      <c r="F31" s="301"/>
    </row>
    <row r="32" spans="2:6" x14ac:dyDescent="0.25">
      <c r="B32" s="199" t="s">
        <v>555</v>
      </c>
      <c r="C32" s="226" t="str">
        <f>'3. Statement of pipeline assets'!C81</f>
        <v>Shared leased assets</v>
      </c>
      <c r="D32" s="410" t="s">
        <v>587</v>
      </c>
      <c r="E32" s="412">
        <v>5</v>
      </c>
      <c r="F32" s="300" t="s">
        <v>558</v>
      </c>
    </row>
    <row r="33" spans="2:6" x14ac:dyDescent="0.25">
      <c r="B33" s="199"/>
      <c r="C33" s="202" t="s">
        <v>184</v>
      </c>
      <c r="D33" s="239"/>
      <c r="E33" s="35"/>
      <c r="F33" s="301"/>
    </row>
    <row r="34" spans="2:6" x14ac:dyDescent="0.25">
      <c r="B34" s="35"/>
      <c r="C34" s="202" t="s">
        <v>184</v>
      </c>
      <c r="D34" s="239"/>
      <c r="E34" s="35"/>
      <c r="F34" s="301"/>
    </row>
    <row r="35" spans="2:6" x14ac:dyDescent="0.25">
      <c r="B35" s="35"/>
      <c r="C35" s="202" t="s">
        <v>184</v>
      </c>
      <c r="D35" s="239"/>
      <c r="E35" s="35"/>
      <c r="F35" s="301"/>
    </row>
    <row r="36" spans="2:6" x14ac:dyDescent="0.25">
      <c r="B36" s="35"/>
      <c r="C36" s="202" t="s">
        <v>184</v>
      </c>
      <c r="D36" s="239"/>
      <c r="E36" s="35"/>
      <c r="F36" s="301"/>
    </row>
    <row r="37" spans="2:6" x14ac:dyDescent="0.25">
      <c r="B37" s="35"/>
      <c r="C37" s="202" t="s">
        <v>184</v>
      </c>
      <c r="D37" s="239"/>
      <c r="E37" s="35"/>
      <c r="F37" s="301"/>
    </row>
  </sheetData>
  <pageMargins left="0.23622047244094491" right="0.23622047244094491" top="0.74803149606299213" bottom="0.74803149606299213" header="0.31496062992125984" footer="0.31496062992125984"/>
  <pageSetup paperSize="9" scale="90" orientation="landscape" r:id="rId1"/>
  <headerFooter alignWithMargins="0">
    <oddFooter>&amp;A&amp;RPage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9999"/>
    <pageSetUpPr fitToPage="1"/>
  </sheetPr>
  <dimension ref="B1:G44"/>
  <sheetViews>
    <sheetView zoomScale="80" zoomScaleNormal="80" workbookViewId="0"/>
  </sheetViews>
  <sheetFormatPr defaultColWidth="9" defaultRowHeight="13.2" x14ac:dyDescent="0.25"/>
  <cols>
    <col min="1" max="1" width="12" style="30" customWidth="1"/>
    <col min="2" max="2" width="20.8984375" style="30" customWidth="1"/>
    <col min="3" max="3" width="42.19921875" style="30" customWidth="1"/>
    <col min="4" max="4" width="43.59765625" style="30" customWidth="1"/>
    <col min="5" max="5" width="22.5" style="30" customWidth="1"/>
    <col min="6" max="6" width="20.5" style="30" customWidth="1"/>
    <col min="7" max="7" width="22.5" style="30" customWidth="1"/>
    <col min="8" max="8" width="9.3984375" style="30" customWidth="1"/>
    <col min="9" max="9" width="25" style="30" customWidth="1"/>
    <col min="10" max="16384" width="9" style="30"/>
  </cols>
  <sheetData>
    <row r="1" spans="2:7" ht="21" x14ac:dyDescent="0.4">
      <c r="B1" s="31" t="s">
        <v>108</v>
      </c>
      <c r="C1" s="31"/>
      <c r="D1" s="18"/>
      <c r="E1" s="18"/>
      <c r="F1" s="18"/>
      <c r="G1" s="18"/>
    </row>
    <row r="2" spans="2:7" ht="21" x14ac:dyDescent="0.4">
      <c r="B2" s="46" t="str">
        <f>Tradingname</f>
        <v>Southern Cross Pipelines Australia Pty Limited</v>
      </c>
      <c r="C2" s="47"/>
      <c r="D2" s="31"/>
      <c r="E2" s="519" t="s">
        <v>367</v>
      </c>
      <c r="F2" s="519"/>
      <c r="G2" s="519"/>
    </row>
    <row r="3" spans="2:7" ht="17.25" customHeight="1" x14ac:dyDescent="0.25">
      <c r="B3" s="48" t="s">
        <v>157</v>
      </c>
      <c r="C3" s="49">
        <f>Yearending</f>
        <v>44742</v>
      </c>
      <c r="E3" s="519"/>
      <c r="F3" s="519"/>
      <c r="G3" s="519"/>
    </row>
    <row r="4" spans="2:7" x14ac:dyDescent="0.25">
      <c r="E4" s="519"/>
      <c r="F4" s="519"/>
      <c r="G4" s="519"/>
    </row>
    <row r="5" spans="2:7" ht="15.6" x14ac:dyDescent="0.3">
      <c r="B5" s="34" t="s">
        <v>234</v>
      </c>
      <c r="C5" s="32"/>
      <c r="D5" s="32"/>
      <c r="E5" s="32"/>
      <c r="F5" s="33"/>
      <c r="G5" s="32"/>
    </row>
    <row r="6" spans="2:7" ht="15.6" x14ac:dyDescent="0.3">
      <c r="B6" s="34"/>
      <c r="C6" s="32"/>
      <c r="D6" s="32"/>
      <c r="E6" s="32"/>
      <c r="F6" s="33"/>
      <c r="G6" s="32"/>
    </row>
    <row r="7" spans="2:7" ht="40.5" customHeight="1" x14ac:dyDescent="0.25">
      <c r="B7" s="148" t="s">
        <v>194</v>
      </c>
      <c r="C7" s="148" t="s">
        <v>146</v>
      </c>
      <c r="D7" s="148" t="s">
        <v>147</v>
      </c>
      <c r="E7" s="148" t="s">
        <v>148</v>
      </c>
      <c r="F7" s="148" t="s">
        <v>66</v>
      </c>
      <c r="G7" s="148" t="s">
        <v>122</v>
      </c>
    </row>
    <row r="8" spans="2:7" x14ac:dyDescent="0.25">
      <c r="B8" s="148"/>
      <c r="C8" s="148"/>
      <c r="D8" s="148"/>
      <c r="E8" s="148" t="s">
        <v>159</v>
      </c>
      <c r="F8" s="148"/>
      <c r="G8" s="148" t="s">
        <v>159</v>
      </c>
    </row>
    <row r="9" spans="2:7" x14ac:dyDescent="0.25">
      <c r="B9" s="240" t="s">
        <v>552</v>
      </c>
      <c r="C9" s="240" t="s">
        <v>553</v>
      </c>
      <c r="D9" s="240" t="s">
        <v>108</v>
      </c>
      <c r="E9" s="467">
        <v>375612457.14510602</v>
      </c>
      <c r="F9" s="468">
        <f>SUM('3. Statement of pipeline assets'!E77:AD77)/E9</f>
        <v>1.0072918853368325E-3</v>
      </c>
      <c r="G9" s="281">
        <f t="shared" ref="G9:G40" si="0">E9*F9</f>
        <v>378351.38011369406</v>
      </c>
    </row>
    <row r="10" spans="2:7" x14ac:dyDescent="0.25">
      <c r="B10" s="240" t="s">
        <v>554</v>
      </c>
      <c r="C10" s="240" t="s">
        <v>264</v>
      </c>
      <c r="D10" s="240" t="s">
        <v>264</v>
      </c>
      <c r="E10" s="467">
        <v>44673750.691473022</v>
      </c>
      <c r="F10" s="468">
        <f>SUM('3. Statement of pipeline assets'!E83:AD83)/E10</f>
        <v>1.8528958537316238E-3</v>
      </c>
      <c r="G10" s="281">
        <f t="shared" si="0"/>
        <v>82775.807426870626</v>
      </c>
    </row>
    <row r="11" spans="2:7" x14ac:dyDescent="0.25">
      <c r="B11" s="240"/>
      <c r="C11" s="240"/>
      <c r="D11" s="240"/>
      <c r="E11" s="293"/>
      <c r="F11" s="184"/>
      <c r="G11" s="281">
        <f t="shared" si="0"/>
        <v>0</v>
      </c>
    </row>
    <row r="12" spans="2:7" x14ac:dyDescent="0.25">
      <c r="B12" s="240"/>
      <c r="C12" s="240"/>
      <c r="D12" s="240"/>
      <c r="E12" s="293"/>
      <c r="F12" s="184"/>
      <c r="G12" s="281">
        <f t="shared" si="0"/>
        <v>0</v>
      </c>
    </row>
    <row r="13" spans="2:7" x14ac:dyDescent="0.25">
      <c r="B13" s="240"/>
      <c r="C13" s="240"/>
      <c r="D13" s="240"/>
      <c r="E13" s="293"/>
      <c r="F13" s="184"/>
      <c r="G13" s="281">
        <f t="shared" si="0"/>
        <v>0</v>
      </c>
    </row>
    <row r="14" spans="2:7" x14ac:dyDescent="0.25">
      <c r="B14" s="240"/>
      <c r="C14" s="240"/>
      <c r="D14" s="240"/>
      <c r="E14" s="293"/>
      <c r="F14" s="184"/>
      <c r="G14" s="281">
        <f t="shared" si="0"/>
        <v>0</v>
      </c>
    </row>
    <row r="15" spans="2:7" x14ac:dyDescent="0.25">
      <c r="B15" s="240"/>
      <c r="C15" s="240"/>
      <c r="D15" s="240"/>
      <c r="E15" s="293"/>
      <c r="F15" s="184"/>
      <c r="G15" s="281">
        <f>E15*F15</f>
        <v>0</v>
      </c>
    </row>
    <row r="16" spans="2:7" x14ac:dyDescent="0.25">
      <c r="B16" s="240"/>
      <c r="C16" s="240"/>
      <c r="D16" s="240"/>
      <c r="E16" s="293"/>
      <c r="F16" s="184"/>
      <c r="G16" s="281">
        <f t="shared" si="0"/>
        <v>0</v>
      </c>
    </row>
    <row r="17" spans="2:7" x14ac:dyDescent="0.25">
      <c r="B17" s="240"/>
      <c r="C17" s="240"/>
      <c r="D17" s="240"/>
      <c r="E17" s="293"/>
      <c r="F17" s="184"/>
      <c r="G17" s="281">
        <f t="shared" si="0"/>
        <v>0</v>
      </c>
    </row>
    <row r="18" spans="2:7" x14ac:dyDescent="0.25">
      <c r="B18" s="240"/>
      <c r="C18" s="240"/>
      <c r="D18" s="240"/>
      <c r="E18" s="293"/>
      <c r="F18" s="184"/>
      <c r="G18" s="281">
        <f t="shared" si="0"/>
        <v>0</v>
      </c>
    </row>
    <row r="19" spans="2:7" x14ac:dyDescent="0.25">
      <c r="B19" s="240"/>
      <c r="C19" s="240"/>
      <c r="D19" s="240"/>
      <c r="E19" s="293"/>
      <c r="F19" s="184"/>
      <c r="G19" s="281">
        <f t="shared" si="0"/>
        <v>0</v>
      </c>
    </row>
    <row r="20" spans="2:7" x14ac:dyDescent="0.25">
      <c r="B20" s="240"/>
      <c r="C20" s="240"/>
      <c r="D20" s="240"/>
      <c r="E20" s="293"/>
      <c r="F20" s="184"/>
      <c r="G20" s="281">
        <f t="shared" si="0"/>
        <v>0</v>
      </c>
    </row>
    <row r="21" spans="2:7" x14ac:dyDescent="0.25">
      <c r="B21" s="240"/>
      <c r="C21" s="240"/>
      <c r="D21" s="240"/>
      <c r="E21" s="293"/>
      <c r="F21" s="184"/>
      <c r="G21" s="281">
        <f t="shared" si="0"/>
        <v>0</v>
      </c>
    </row>
    <row r="22" spans="2:7" x14ac:dyDescent="0.25">
      <c r="B22" s="240"/>
      <c r="C22" s="240"/>
      <c r="D22" s="240"/>
      <c r="E22" s="293"/>
      <c r="F22" s="184"/>
      <c r="G22" s="281">
        <f t="shared" si="0"/>
        <v>0</v>
      </c>
    </row>
    <row r="23" spans="2:7" x14ac:dyDescent="0.25">
      <c r="B23" s="240"/>
      <c r="C23" s="240"/>
      <c r="D23" s="240"/>
      <c r="E23" s="293"/>
      <c r="F23" s="184"/>
      <c r="G23" s="281">
        <f t="shared" si="0"/>
        <v>0</v>
      </c>
    </row>
    <row r="24" spans="2:7" x14ac:dyDescent="0.25">
      <c r="B24" s="240"/>
      <c r="C24" s="240"/>
      <c r="D24" s="240"/>
      <c r="E24" s="293"/>
      <c r="F24" s="184"/>
      <c r="G24" s="281">
        <f>E24*F24</f>
        <v>0</v>
      </c>
    </row>
    <row r="25" spans="2:7" x14ac:dyDescent="0.25">
      <c r="B25" s="240"/>
      <c r="C25" s="240"/>
      <c r="D25" s="240"/>
      <c r="E25" s="293"/>
      <c r="F25" s="184"/>
      <c r="G25" s="281">
        <f t="shared" si="0"/>
        <v>0</v>
      </c>
    </row>
    <row r="26" spans="2:7" x14ac:dyDescent="0.25">
      <c r="B26" s="240"/>
      <c r="C26" s="240"/>
      <c r="D26" s="240"/>
      <c r="E26" s="293"/>
      <c r="F26" s="184"/>
      <c r="G26" s="281">
        <f t="shared" si="0"/>
        <v>0</v>
      </c>
    </row>
    <row r="27" spans="2:7" x14ac:dyDescent="0.25">
      <c r="B27" s="240"/>
      <c r="C27" s="240"/>
      <c r="D27" s="240"/>
      <c r="E27" s="293"/>
      <c r="F27" s="184"/>
      <c r="G27" s="281">
        <f t="shared" si="0"/>
        <v>0</v>
      </c>
    </row>
    <row r="28" spans="2:7" x14ac:dyDescent="0.25">
      <c r="B28" s="240"/>
      <c r="C28" s="240"/>
      <c r="D28" s="240"/>
      <c r="E28" s="293"/>
      <c r="F28" s="184"/>
      <c r="G28" s="281">
        <f t="shared" si="0"/>
        <v>0</v>
      </c>
    </row>
    <row r="29" spans="2:7" x14ac:dyDescent="0.25">
      <c r="B29" s="240"/>
      <c r="C29" s="240"/>
      <c r="D29" s="240"/>
      <c r="E29" s="293"/>
      <c r="F29" s="184"/>
      <c r="G29" s="281">
        <f t="shared" si="0"/>
        <v>0</v>
      </c>
    </row>
    <row r="30" spans="2:7" x14ac:dyDescent="0.25">
      <c r="B30" s="240"/>
      <c r="C30" s="240"/>
      <c r="D30" s="240"/>
      <c r="E30" s="293"/>
      <c r="F30" s="184"/>
      <c r="G30" s="281">
        <f t="shared" si="0"/>
        <v>0</v>
      </c>
    </row>
    <row r="31" spans="2:7" x14ac:dyDescent="0.25">
      <c r="B31" s="240"/>
      <c r="C31" s="240"/>
      <c r="D31" s="240"/>
      <c r="E31" s="293"/>
      <c r="F31" s="184"/>
      <c r="G31" s="281">
        <f t="shared" si="0"/>
        <v>0</v>
      </c>
    </row>
    <row r="32" spans="2:7" x14ac:dyDescent="0.25">
      <c r="B32" s="240"/>
      <c r="C32" s="240"/>
      <c r="D32" s="240"/>
      <c r="E32" s="293"/>
      <c r="F32" s="184"/>
      <c r="G32" s="281">
        <f t="shared" si="0"/>
        <v>0</v>
      </c>
    </row>
    <row r="33" spans="2:7" x14ac:dyDescent="0.25">
      <c r="B33" s="240"/>
      <c r="C33" s="240"/>
      <c r="D33" s="240"/>
      <c r="E33" s="293"/>
      <c r="F33" s="184"/>
      <c r="G33" s="281">
        <f t="shared" si="0"/>
        <v>0</v>
      </c>
    </row>
    <row r="34" spans="2:7" x14ac:dyDescent="0.25">
      <c r="B34" s="240"/>
      <c r="C34" s="240"/>
      <c r="D34" s="240"/>
      <c r="E34" s="293"/>
      <c r="F34" s="184"/>
      <c r="G34" s="281">
        <f t="shared" si="0"/>
        <v>0</v>
      </c>
    </row>
    <row r="35" spans="2:7" x14ac:dyDescent="0.25">
      <c r="B35" s="240"/>
      <c r="C35" s="240"/>
      <c r="D35" s="240"/>
      <c r="E35" s="293"/>
      <c r="F35" s="184"/>
      <c r="G35" s="281">
        <f t="shared" si="0"/>
        <v>0</v>
      </c>
    </row>
    <row r="36" spans="2:7" x14ac:dyDescent="0.25">
      <c r="B36" s="240"/>
      <c r="C36" s="240"/>
      <c r="D36" s="240"/>
      <c r="E36" s="293"/>
      <c r="F36" s="184"/>
      <c r="G36" s="281">
        <f t="shared" si="0"/>
        <v>0</v>
      </c>
    </row>
    <row r="37" spans="2:7" x14ac:dyDescent="0.25">
      <c r="B37" s="240"/>
      <c r="C37" s="240"/>
      <c r="D37" s="240"/>
      <c r="E37" s="293"/>
      <c r="F37" s="184"/>
      <c r="G37" s="281">
        <f t="shared" si="0"/>
        <v>0</v>
      </c>
    </row>
    <row r="38" spans="2:7" x14ac:dyDescent="0.25">
      <c r="B38" s="240"/>
      <c r="C38" s="240"/>
      <c r="D38" s="240"/>
      <c r="E38" s="293"/>
      <c r="F38" s="184"/>
      <c r="G38" s="281">
        <f t="shared" si="0"/>
        <v>0</v>
      </c>
    </row>
    <row r="39" spans="2:7" x14ac:dyDescent="0.25">
      <c r="B39" s="240"/>
      <c r="C39" s="240"/>
      <c r="D39" s="240"/>
      <c r="E39" s="293"/>
      <c r="F39" s="184"/>
      <c r="G39" s="281">
        <f t="shared" si="0"/>
        <v>0</v>
      </c>
    </row>
    <row r="40" spans="2:7" x14ac:dyDescent="0.25">
      <c r="B40" s="240"/>
      <c r="C40" s="240"/>
      <c r="D40" s="240"/>
      <c r="E40" s="293"/>
      <c r="F40" s="184"/>
      <c r="G40" s="281">
        <f t="shared" si="0"/>
        <v>0</v>
      </c>
    </row>
    <row r="41" spans="2:7" x14ac:dyDescent="0.25">
      <c r="B41" s="524" t="s">
        <v>23</v>
      </c>
      <c r="C41" s="525"/>
      <c r="D41" s="526"/>
      <c r="E41" s="470">
        <f>SUM(E9:E40)</f>
        <v>420286207.83657902</v>
      </c>
      <c r="F41" s="228"/>
      <c r="G41" s="281">
        <f>SUM(G9:G40)</f>
        <v>461127.18754056469</v>
      </c>
    </row>
    <row r="44" spans="2:7" x14ac:dyDescent="0.25">
      <c r="B44" s="50"/>
    </row>
  </sheetData>
  <mergeCells count="2">
    <mergeCell ref="B41:D41"/>
    <mergeCell ref="E2:G4"/>
  </mergeCells>
  <dataValidations count="1">
    <dataValidation type="list" allowBlank="1" showInputMessage="1" showErrorMessage="1" sqref="D9:D40" xr:uid="{00000000-0002-0000-0B00-000000000000}">
      <formula1>rsharedassets</formula1>
    </dataValidation>
  </dataValidations>
  <pageMargins left="0.23622047244094491" right="0.23622047244094491" top="0.74803149606299213" bottom="0.74803149606299213" header="0.31496062992125984" footer="0.31496062992125984"/>
  <pageSetup paperSize="9" scale="83" orientation="landscape" r:id="rId1"/>
  <headerFooter alignWithMargins="0">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7EDBD-790C-49E2-A0CA-76575ACFDCE5}">
  <sheetPr>
    <tabColor rgb="FFFF0000"/>
  </sheetPr>
  <dimension ref="A1"/>
  <sheetViews>
    <sheetView zoomScale="130" zoomScaleNormal="130" workbookViewId="0">
      <selection activeCell="G1" sqref="G1"/>
    </sheetView>
  </sheetViews>
  <sheetFormatPr defaultRowHeight="13.8" x14ac:dyDescent="0.25"/>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pageSetUpPr fitToPage="1"/>
  </sheetPr>
  <dimension ref="A1:BI38"/>
  <sheetViews>
    <sheetView showGridLines="0" zoomScale="80" zoomScaleNormal="80" workbookViewId="0"/>
  </sheetViews>
  <sheetFormatPr defaultRowHeight="13.8" x14ac:dyDescent="0.25"/>
  <cols>
    <col min="1" max="1" width="11.3984375" customWidth="1"/>
    <col min="2" max="2" width="22.19921875" customWidth="1"/>
    <col min="3" max="3" width="21" customWidth="1"/>
    <col min="4" max="4" width="50.5" customWidth="1"/>
    <col min="5" max="5" width="23.59765625" customWidth="1"/>
    <col min="6" max="27" width="11.69921875" customWidth="1"/>
    <col min="28" max="60" width="12.19921875" customWidth="1"/>
  </cols>
  <sheetData>
    <row r="1" spans="1:61" ht="21" x14ac:dyDescent="0.4">
      <c r="B1" s="36" t="s">
        <v>214</v>
      </c>
    </row>
    <row r="2" spans="1:61" x14ac:dyDescent="0.25">
      <c r="B2" s="46" t="str">
        <f>Tradingname</f>
        <v>Southern Cross Pipelines Australia Pty Limited</v>
      </c>
      <c r="C2" s="47"/>
    </row>
    <row r="3" spans="1:61" ht="19.5" customHeight="1" x14ac:dyDescent="0.55000000000000004">
      <c r="B3" s="48" t="s">
        <v>157</v>
      </c>
      <c r="C3" s="49">
        <f>Yearending</f>
        <v>44742</v>
      </c>
      <c r="K3" s="42"/>
    </row>
    <row r="4" spans="1:61" ht="21" x14ac:dyDescent="0.4">
      <c r="B4" s="36"/>
    </row>
    <row r="5" spans="1:61" ht="15.6" x14ac:dyDescent="0.3">
      <c r="B5" s="37" t="s">
        <v>175</v>
      </c>
      <c r="D5" s="41"/>
      <c r="E5" s="41"/>
    </row>
    <row r="7" spans="1:61" ht="45" customHeight="1" x14ac:dyDescent="0.25">
      <c r="B7" s="203" t="s">
        <v>194</v>
      </c>
      <c r="C7" s="204" t="s">
        <v>77</v>
      </c>
      <c r="D7" s="204"/>
      <c r="E7" s="205" t="s">
        <v>23</v>
      </c>
      <c r="F7" s="527" t="s">
        <v>76</v>
      </c>
      <c r="G7" s="528"/>
      <c r="H7" s="528"/>
      <c r="I7" s="528"/>
      <c r="J7" s="528"/>
      <c r="K7" s="528"/>
      <c r="L7" s="528"/>
      <c r="M7" s="528"/>
      <c r="N7" s="528"/>
      <c r="O7" s="528"/>
      <c r="P7" s="528"/>
      <c r="Q7" s="528"/>
      <c r="R7" s="528"/>
      <c r="S7" s="528"/>
      <c r="T7" s="528"/>
      <c r="U7" s="528"/>
      <c r="V7" s="528"/>
      <c r="W7" s="528"/>
      <c r="X7" s="528"/>
      <c r="Y7" s="528"/>
      <c r="Z7" s="528"/>
      <c r="AA7" s="528"/>
      <c r="AB7" s="528"/>
      <c r="AC7" s="528"/>
      <c r="AD7" s="528"/>
      <c r="AE7" s="528"/>
      <c r="AF7" s="528"/>
      <c r="AG7" s="528"/>
      <c r="AH7" s="528"/>
      <c r="AI7" s="528"/>
      <c r="AJ7" s="528"/>
      <c r="AK7" s="528"/>
      <c r="AL7" s="528"/>
      <c r="AM7" s="528"/>
      <c r="AN7" s="528"/>
      <c r="AO7" s="528"/>
      <c r="AP7" s="528"/>
      <c r="AQ7" s="528"/>
      <c r="AR7" s="528"/>
      <c r="AS7" s="528"/>
      <c r="AT7" s="528"/>
      <c r="AU7" s="528"/>
      <c r="AV7" s="528"/>
      <c r="AW7" s="528"/>
      <c r="AX7" s="528"/>
      <c r="AY7" s="528"/>
      <c r="AZ7" s="528"/>
      <c r="BA7" s="528"/>
      <c r="BB7" s="528"/>
      <c r="BC7" s="528"/>
      <c r="BD7" s="528"/>
      <c r="BE7" s="528"/>
      <c r="BF7" s="528"/>
      <c r="BG7" s="528"/>
      <c r="BH7" s="528"/>
      <c r="BI7" s="218" t="s">
        <v>182</v>
      </c>
    </row>
    <row r="8" spans="1:61" s="349" customFormat="1" x14ac:dyDescent="0.25">
      <c r="A8" s="345"/>
      <c r="B8" s="206"/>
      <c r="C8" s="346"/>
      <c r="D8" s="346"/>
      <c r="E8" s="346"/>
      <c r="F8" s="347" t="str">
        <f>RIGHT(TEXT(C37,"dd/mm/yyyy"),4)</f>
        <v>1996</v>
      </c>
      <c r="G8" s="348">
        <f>F8+1</f>
        <v>1997</v>
      </c>
      <c r="H8" s="348">
        <f t="shared" ref="H8:BH8" si="0">G8+1</f>
        <v>1998</v>
      </c>
      <c r="I8" s="348">
        <f t="shared" si="0"/>
        <v>1999</v>
      </c>
      <c r="J8" s="348">
        <f t="shared" si="0"/>
        <v>2000</v>
      </c>
      <c r="K8" s="348">
        <f t="shared" si="0"/>
        <v>2001</v>
      </c>
      <c r="L8" s="348">
        <f t="shared" si="0"/>
        <v>2002</v>
      </c>
      <c r="M8" s="348">
        <f t="shared" si="0"/>
        <v>2003</v>
      </c>
      <c r="N8" s="348">
        <f t="shared" si="0"/>
        <v>2004</v>
      </c>
      <c r="O8" s="348">
        <f t="shared" si="0"/>
        <v>2005</v>
      </c>
      <c r="P8" s="348">
        <f t="shared" si="0"/>
        <v>2006</v>
      </c>
      <c r="Q8" s="348">
        <f t="shared" si="0"/>
        <v>2007</v>
      </c>
      <c r="R8" s="348">
        <f t="shared" si="0"/>
        <v>2008</v>
      </c>
      <c r="S8" s="348">
        <f t="shared" si="0"/>
        <v>2009</v>
      </c>
      <c r="T8" s="348">
        <f t="shared" si="0"/>
        <v>2010</v>
      </c>
      <c r="U8" s="348">
        <f t="shared" si="0"/>
        <v>2011</v>
      </c>
      <c r="V8" s="348">
        <f t="shared" si="0"/>
        <v>2012</v>
      </c>
      <c r="W8" s="348">
        <f t="shared" si="0"/>
        <v>2013</v>
      </c>
      <c r="X8" s="348">
        <f t="shared" si="0"/>
        <v>2014</v>
      </c>
      <c r="Y8" s="348">
        <f t="shared" si="0"/>
        <v>2015</v>
      </c>
      <c r="Z8" s="348">
        <f t="shared" si="0"/>
        <v>2016</v>
      </c>
      <c r="AA8" s="348">
        <f t="shared" si="0"/>
        <v>2017</v>
      </c>
      <c r="AB8" s="348">
        <f t="shared" si="0"/>
        <v>2018</v>
      </c>
      <c r="AC8" s="348">
        <f t="shared" si="0"/>
        <v>2019</v>
      </c>
      <c r="AD8" s="348">
        <f t="shared" si="0"/>
        <v>2020</v>
      </c>
      <c r="AE8" s="348">
        <f t="shared" si="0"/>
        <v>2021</v>
      </c>
      <c r="AF8" s="348">
        <f t="shared" si="0"/>
        <v>2022</v>
      </c>
      <c r="AG8" s="348">
        <f t="shared" si="0"/>
        <v>2023</v>
      </c>
      <c r="AH8" s="348">
        <f t="shared" si="0"/>
        <v>2024</v>
      </c>
      <c r="AI8" s="348">
        <f t="shared" si="0"/>
        <v>2025</v>
      </c>
      <c r="AJ8" s="348">
        <f t="shared" si="0"/>
        <v>2026</v>
      </c>
      <c r="AK8" s="348">
        <f t="shared" si="0"/>
        <v>2027</v>
      </c>
      <c r="AL8" s="348">
        <f t="shared" si="0"/>
        <v>2028</v>
      </c>
      <c r="AM8" s="348">
        <f t="shared" si="0"/>
        <v>2029</v>
      </c>
      <c r="AN8" s="348">
        <f t="shared" si="0"/>
        <v>2030</v>
      </c>
      <c r="AO8" s="348">
        <f t="shared" si="0"/>
        <v>2031</v>
      </c>
      <c r="AP8" s="348">
        <f t="shared" si="0"/>
        <v>2032</v>
      </c>
      <c r="AQ8" s="348">
        <f t="shared" si="0"/>
        <v>2033</v>
      </c>
      <c r="AR8" s="348">
        <f t="shared" si="0"/>
        <v>2034</v>
      </c>
      <c r="AS8" s="348">
        <f t="shared" si="0"/>
        <v>2035</v>
      </c>
      <c r="AT8" s="348">
        <f t="shared" si="0"/>
        <v>2036</v>
      </c>
      <c r="AU8" s="348">
        <f t="shared" si="0"/>
        <v>2037</v>
      </c>
      <c r="AV8" s="348">
        <f t="shared" si="0"/>
        <v>2038</v>
      </c>
      <c r="AW8" s="348">
        <f t="shared" si="0"/>
        <v>2039</v>
      </c>
      <c r="AX8" s="348">
        <f t="shared" si="0"/>
        <v>2040</v>
      </c>
      <c r="AY8" s="348">
        <f t="shared" si="0"/>
        <v>2041</v>
      </c>
      <c r="AZ8" s="348">
        <f t="shared" si="0"/>
        <v>2042</v>
      </c>
      <c r="BA8" s="348">
        <f t="shared" si="0"/>
        <v>2043</v>
      </c>
      <c r="BB8" s="348">
        <f t="shared" si="0"/>
        <v>2044</v>
      </c>
      <c r="BC8" s="348">
        <f t="shared" si="0"/>
        <v>2045</v>
      </c>
      <c r="BD8" s="348">
        <f t="shared" si="0"/>
        <v>2046</v>
      </c>
      <c r="BE8" s="348">
        <f t="shared" si="0"/>
        <v>2047</v>
      </c>
      <c r="BF8" s="348">
        <f t="shared" si="0"/>
        <v>2048</v>
      </c>
      <c r="BG8" s="348">
        <f t="shared" si="0"/>
        <v>2049</v>
      </c>
      <c r="BH8" s="348">
        <f t="shared" si="0"/>
        <v>2050</v>
      </c>
    </row>
    <row r="9" spans="1:61" x14ac:dyDescent="0.25">
      <c r="B9" s="433">
        <v>4</v>
      </c>
      <c r="C9" s="229" t="s">
        <v>63</v>
      </c>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6"/>
    </row>
    <row r="10" spans="1:61" x14ac:dyDescent="0.25">
      <c r="B10" s="207"/>
      <c r="C10" s="208"/>
      <c r="D10" s="209" t="s">
        <v>68</v>
      </c>
      <c r="E10" s="262">
        <f t="shared" ref="E10:E30" si="1">SUM(F10:BH10)</f>
        <v>12808593.150175001</v>
      </c>
      <c r="F10" s="263"/>
      <c r="G10" s="263">
        <v>12808593.150175001</v>
      </c>
      <c r="H10" s="263">
        <v>0</v>
      </c>
      <c r="I10" s="263">
        <v>0</v>
      </c>
      <c r="J10" s="263">
        <v>0</v>
      </c>
      <c r="K10" s="263">
        <v>0</v>
      </c>
      <c r="L10" s="263">
        <v>0</v>
      </c>
      <c r="M10" s="263">
        <v>0</v>
      </c>
      <c r="N10" s="263">
        <v>0</v>
      </c>
      <c r="O10" s="263">
        <v>0</v>
      </c>
      <c r="P10" s="263">
        <v>0</v>
      </c>
      <c r="Q10" s="263">
        <v>0</v>
      </c>
      <c r="R10" s="263">
        <v>0</v>
      </c>
      <c r="S10" s="263">
        <v>0</v>
      </c>
      <c r="T10" s="263">
        <v>0</v>
      </c>
      <c r="U10" s="263">
        <v>0</v>
      </c>
      <c r="V10" s="263">
        <v>0</v>
      </c>
      <c r="W10" s="263">
        <v>0</v>
      </c>
      <c r="X10" s="263">
        <v>0</v>
      </c>
      <c r="Y10" s="263">
        <v>0</v>
      </c>
      <c r="Z10" s="263">
        <v>0</v>
      </c>
      <c r="AA10" s="263">
        <v>0</v>
      </c>
      <c r="AB10" s="263">
        <v>0</v>
      </c>
      <c r="AC10" s="263">
        <v>0</v>
      </c>
      <c r="AD10" s="263">
        <v>0</v>
      </c>
      <c r="AE10" s="263">
        <v>0</v>
      </c>
      <c r="AF10" s="263">
        <v>0</v>
      </c>
      <c r="AG10" s="263"/>
      <c r="AH10" s="263"/>
      <c r="AI10" s="263"/>
      <c r="AJ10" s="263"/>
      <c r="AK10" s="263"/>
      <c r="AL10" s="263"/>
      <c r="AM10" s="263"/>
      <c r="AN10" s="263"/>
      <c r="AO10" s="263"/>
      <c r="AP10" s="263"/>
      <c r="AQ10" s="263"/>
      <c r="AR10" s="263"/>
      <c r="AS10" s="263"/>
      <c r="AT10" s="263"/>
      <c r="AU10" s="263"/>
      <c r="AV10" s="263"/>
      <c r="AW10" s="263"/>
      <c r="AX10" s="263"/>
      <c r="AY10" s="263"/>
      <c r="AZ10" s="263"/>
      <c r="BA10" s="263"/>
      <c r="BB10" s="263"/>
      <c r="BC10" s="263"/>
      <c r="BD10" s="263"/>
      <c r="BE10" s="263"/>
      <c r="BF10" s="263"/>
      <c r="BG10" s="263"/>
      <c r="BH10" s="263"/>
    </row>
    <row r="11" spans="1:61" x14ac:dyDescent="0.25">
      <c r="B11" s="207"/>
      <c r="C11" s="208"/>
      <c r="D11" s="209" t="s">
        <v>145</v>
      </c>
      <c r="E11" s="262">
        <f t="shared" si="1"/>
        <v>1759310.697677481</v>
      </c>
      <c r="F11" s="263"/>
      <c r="G11" s="263">
        <v>933369.43437449227</v>
      </c>
      <c r="H11" s="263">
        <v>6975.8552643833682</v>
      </c>
      <c r="I11" s="263">
        <v>9766.1973701365059</v>
      </c>
      <c r="J11" s="263">
        <v>29298.592110410216</v>
      </c>
      <c r="K11" s="263">
        <v>59992.355273696827</v>
      </c>
      <c r="L11" s="263">
        <v>29298.592110409983</v>
      </c>
      <c r="M11" s="263">
        <v>27903.421057533473</v>
      </c>
      <c r="N11" s="263">
        <v>27903.421057533473</v>
      </c>
      <c r="O11" s="263">
        <v>27903.421057533473</v>
      </c>
      <c r="P11" s="263">
        <v>46040.644744930323</v>
      </c>
      <c r="Q11" s="263">
        <v>25113.078951779986</v>
      </c>
      <c r="R11" s="263">
        <v>54411.671062190086</v>
      </c>
      <c r="S11" s="263">
        <v>18137.22368739685</v>
      </c>
      <c r="T11" s="263">
        <v>40459.960533423349</v>
      </c>
      <c r="U11" s="263">
        <v>47435.815797806717</v>
      </c>
      <c r="V11" s="263">
        <v>16742.052634519991</v>
      </c>
      <c r="W11" s="263">
        <v>33484.105269039981</v>
      </c>
      <c r="X11" s="263">
        <v>43250.302639176836</v>
      </c>
      <c r="Y11" s="263">
        <v>22322.736846026732</v>
      </c>
      <c r="Z11" s="263">
        <v>15346.881581643131</v>
      </c>
      <c r="AA11" s="263">
        <v>29298.592110410333</v>
      </c>
      <c r="AB11" s="263">
        <v>32088.934216163354</v>
      </c>
      <c r="AC11" s="263">
        <v>25113.078951779986</v>
      </c>
      <c r="AD11" s="263">
        <v>-5580.6842115065083</v>
      </c>
      <c r="AE11" s="263">
        <v>61387.526326573454</v>
      </c>
      <c r="AF11" s="263">
        <v>101847.4868599968</v>
      </c>
      <c r="AG11" s="263"/>
      <c r="AH11" s="263"/>
      <c r="AI11" s="263"/>
      <c r="AJ11" s="263"/>
      <c r="AK11" s="263"/>
      <c r="AL11" s="263"/>
      <c r="AM11" s="263"/>
      <c r="AN11" s="263"/>
      <c r="AO11" s="263"/>
      <c r="AP11" s="263"/>
      <c r="AQ11" s="263"/>
      <c r="AR11" s="263"/>
      <c r="AS11" s="263"/>
      <c r="AT11" s="263"/>
      <c r="AU11" s="263"/>
      <c r="AV11" s="263"/>
      <c r="AW11" s="263"/>
      <c r="AX11" s="263"/>
      <c r="AY11" s="263"/>
      <c r="AZ11" s="263"/>
      <c r="BA11" s="263"/>
      <c r="BB11" s="263"/>
      <c r="BC11" s="263"/>
      <c r="BD11" s="263"/>
      <c r="BE11" s="263"/>
      <c r="BF11" s="263"/>
      <c r="BG11" s="263"/>
      <c r="BH11" s="263"/>
    </row>
    <row r="12" spans="1:61" x14ac:dyDescent="0.25">
      <c r="B12" s="207"/>
      <c r="C12" s="208"/>
      <c r="D12" s="209" t="s">
        <v>69</v>
      </c>
      <c r="E12" s="262">
        <f t="shared" si="1"/>
        <v>775760.33061228902</v>
      </c>
      <c r="F12" s="263"/>
      <c r="G12" s="263">
        <v>0</v>
      </c>
      <c r="H12" s="263">
        <v>0</v>
      </c>
      <c r="I12" s="263">
        <v>0</v>
      </c>
      <c r="J12" s="263">
        <v>5100.7609400000001</v>
      </c>
      <c r="K12" s="263">
        <v>827.54597084374996</v>
      </c>
      <c r="L12" s="263">
        <v>45742.390658650002</v>
      </c>
      <c r="M12" s="263">
        <v>7750.1163893875009</v>
      </c>
      <c r="N12" s="263">
        <v>4255.7331437500006</v>
      </c>
      <c r="O12" s="263">
        <v>0</v>
      </c>
      <c r="P12" s="263">
        <v>0</v>
      </c>
      <c r="Q12" s="263">
        <v>0</v>
      </c>
      <c r="R12" s="263">
        <v>190350.41548518627</v>
      </c>
      <c r="S12" s="263">
        <v>0</v>
      </c>
      <c r="T12" s="263">
        <v>0</v>
      </c>
      <c r="U12" s="263">
        <v>0</v>
      </c>
      <c r="V12" s="263">
        <v>0</v>
      </c>
      <c r="W12" s="263">
        <v>199359.21958733388</v>
      </c>
      <c r="X12" s="263">
        <v>0</v>
      </c>
      <c r="Y12" s="263">
        <v>35528.63540195</v>
      </c>
      <c r="Z12" s="263">
        <v>22420.2314195</v>
      </c>
      <c r="AA12" s="263">
        <v>262448.89290266251</v>
      </c>
      <c r="AB12" s="263">
        <v>1976.3887130249823</v>
      </c>
      <c r="AC12" s="263">
        <v>0</v>
      </c>
      <c r="AD12" s="263">
        <v>0</v>
      </c>
      <c r="AE12" s="263">
        <v>0</v>
      </c>
      <c r="AF12" s="263">
        <v>0</v>
      </c>
      <c r="AG12" s="263"/>
      <c r="AH12" s="263"/>
      <c r="AI12" s="263"/>
      <c r="AJ12" s="263"/>
      <c r="AK12" s="263"/>
      <c r="AL12" s="263"/>
      <c r="AM12" s="263"/>
      <c r="AN12" s="263"/>
      <c r="AO12" s="263"/>
      <c r="AP12" s="263"/>
      <c r="AQ12" s="263"/>
      <c r="AR12" s="263"/>
      <c r="AS12" s="263"/>
      <c r="AT12" s="263"/>
      <c r="AU12" s="263"/>
      <c r="AV12" s="263"/>
      <c r="AW12" s="263"/>
      <c r="AX12" s="263"/>
      <c r="AY12" s="263"/>
      <c r="AZ12" s="263"/>
      <c r="BA12" s="263"/>
      <c r="BB12" s="263"/>
      <c r="BC12" s="263"/>
      <c r="BD12" s="263"/>
      <c r="BE12" s="263"/>
      <c r="BF12" s="263"/>
      <c r="BG12" s="263"/>
      <c r="BH12" s="263"/>
    </row>
    <row r="13" spans="1:61" x14ac:dyDescent="0.25">
      <c r="B13" s="207"/>
      <c r="C13" s="208"/>
      <c r="D13" s="209" t="s">
        <v>110</v>
      </c>
      <c r="E13" s="262">
        <f t="shared" si="1"/>
        <v>415782.10877235752</v>
      </c>
      <c r="F13" s="263"/>
      <c r="G13" s="263">
        <v>0</v>
      </c>
      <c r="H13" s="263">
        <v>0</v>
      </c>
      <c r="I13" s="263">
        <v>0</v>
      </c>
      <c r="J13" s="263">
        <v>0</v>
      </c>
      <c r="K13" s="263">
        <v>0</v>
      </c>
      <c r="L13" s="263">
        <v>0</v>
      </c>
      <c r="M13" s="263">
        <v>0</v>
      </c>
      <c r="N13" s="263">
        <v>0</v>
      </c>
      <c r="O13" s="263">
        <v>185739.88670279252</v>
      </c>
      <c r="P13" s="263">
        <v>0</v>
      </c>
      <c r="Q13" s="263">
        <v>0</v>
      </c>
      <c r="R13" s="263">
        <v>230042.222069565</v>
      </c>
      <c r="S13" s="263">
        <v>0</v>
      </c>
      <c r="T13" s="263">
        <v>0</v>
      </c>
      <c r="U13" s="263">
        <v>0</v>
      </c>
      <c r="V13" s="263">
        <v>0</v>
      </c>
      <c r="W13" s="263">
        <v>0</v>
      </c>
      <c r="X13" s="263">
        <v>0</v>
      </c>
      <c r="Y13" s="263">
        <v>0</v>
      </c>
      <c r="Z13" s="263">
        <v>0</v>
      </c>
      <c r="AA13" s="263">
        <v>0</v>
      </c>
      <c r="AB13" s="263">
        <v>0</v>
      </c>
      <c r="AC13" s="263">
        <v>0</v>
      </c>
      <c r="AD13" s="263">
        <v>0</v>
      </c>
      <c r="AE13" s="263">
        <v>0</v>
      </c>
      <c r="AF13" s="263">
        <v>0</v>
      </c>
      <c r="AG13" s="263"/>
      <c r="AH13" s="263"/>
      <c r="AI13" s="263"/>
      <c r="AJ13" s="263"/>
      <c r="AK13" s="263"/>
      <c r="AL13" s="263"/>
      <c r="AM13" s="263"/>
      <c r="AN13" s="263"/>
      <c r="AO13" s="263"/>
      <c r="AP13" s="263"/>
      <c r="AQ13" s="263"/>
      <c r="AR13" s="263"/>
      <c r="AS13" s="263"/>
      <c r="AT13" s="263"/>
      <c r="AU13" s="263"/>
      <c r="AV13" s="263"/>
      <c r="AW13" s="263"/>
      <c r="AX13" s="263"/>
      <c r="AY13" s="263"/>
      <c r="AZ13" s="263"/>
      <c r="BA13" s="263"/>
      <c r="BB13" s="263"/>
      <c r="BC13" s="263"/>
      <c r="BD13" s="263"/>
      <c r="BE13" s="263"/>
      <c r="BF13" s="263"/>
      <c r="BG13" s="263"/>
      <c r="BH13" s="263"/>
    </row>
    <row r="14" spans="1:61" x14ac:dyDescent="0.25">
      <c r="B14" s="207"/>
      <c r="C14" s="208"/>
      <c r="D14" s="209" t="s">
        <v>280</v>
      </c>
      <c r="E14" s="262">
        <f t="shared" si="1"/>
        <v>0</v>
      </c>
      <c r="F14" s="263"/>
      <c r="G14" s="263">
        <v>0</v>
      </c>
      <c r="H14" s="263">
        <v>0</v>
      </c>
      <c r="I14" s="263">
        <v>0</v>
      </c>
      <c r="J14" s="263">
        <v>0</v>
      </c>
      <c r="K14" s="263">
        <v>0</v>
      </c>
      <c r="L14" s="263">
        <v>0</v>
      </c>
      <c r="M14" s="263">
        <v>0</v>
      </c>
      <c r="N14" s="263">
        <v>0</v>
      </c>
      <c r="O14" s="263">
        <v>0</v>
      </c>
      <c r="P14" s="263">
        <v>0</v>
      </c>
      <c r="Q14" s="263">
        <v>0</v>
      </c>
      <c r="R14" s="263">
        <v>0</v>
      </c>
      <c r="S14" s="263">
        <v>0</v>
      </c>
      <c r="T14" s="263">
        <v>0</v>
      </c>
      <c r="U14" s="263">
        <v>0</v>
      </c>
      <c r="V14" s="263">
        <v>0</v>
      </c>
      <c r="W14" s="263">
        <v>0</v>
      </c>
      <c r="X14" s="263">
        <v>0</v>
      </c>
      <c r="Y14" s="263">
        <v>0</v>
      </c>
      <c r="Z14" s="263">
        <v>0</v>
      </c>
      <c r="AA14" s="263">
        <v>0</v>
      </c>
      <c r="AB14" s="263">
        <v>0</v>
      </c>
      <c r="AC14" s="263">
        <v>0</v>
      </c>
      <c r="AD14" s="263">
        <v>0</v>
      </c>
      <c r="AE14" s="263">
        <v>0</v>
      </c>
      <c r="AF14" s="263">
        <v>0</v>
      </c>
      <c r="AG14" s="263"/>
      <c r="AH14" s="263"/>
      <c r="AI14" s="263"/>
      <c r="AJ14" s="263"/>
      <c r="AK14" s="263"/>
      <c r="AL14" s="263"/>
      <c r="AM14" s="263"/>
      <c r="AN14" s="263"/>
      <c r="AO14" s="263"/>
      <c r="AP14" s="263"/>
      <c r="AQ14" s="263"/>
      <c r="AR14" s="263"/>
      <c r="AS14" s="263"/>
      <c r="AT14" s="263"/>
      <c r="AU14" s="263"/>
      <c r="AV14" s="263"/>
      <c r="AW14" s="263"/>
      <c r="AX14" s="263"/>
      <c r="AY14" s="263"/>
      <c r="AZ14" s="263"/>
      <c r="BA14" s="263"/>
      <c r="BB14" s="263"/>
      <c r="BC14" s="263"/>
      <c r="BD14" s="263"/>
      <c r="BE14" s="263"/>
      <c r="BF14" s="263"/>
      <c r="BG14" s="263"/>
      <c r="BH14" s="263"/>
    </row>
    <row r="15" spans="1:61" x14ac:dyDescent="0.25">
      <c r="B15" s="207"/>
      <c r="C15" s="208"/>
      <c r="D15" s="209" t="s">
        <v>72</v>
      </c>
      <c r="E15" s="262">
        <f t="shared" si="1"/>
        <v>0</v>
      </c>
      <c r="F15" s="263"/>
      <c r="G15" s="263">
        <v>0</v>
      </c>
      <c r="H15" s="263">
        <v>0</v>
      </c>
      <c r="I15" s="263">
        <v>0</v>
      </c>
      <c r="J15" s="263">
        <v>0</v>
      </c>
      <c r="K15" s="263">
        <v>0</v>
      </c>
      <c r="L15" s="263">
        <v>0</v>
      </c>
      <c r="M15" s="263">
        <v>0</v>
      </c>
      <c r="N15" s="263">
        <v>0</v>
      </c>
      <c r="O15" s="263">
        <v>0</v>
      </c>
      <c r="P15" s="263">
        <v>0</v>
      </c>
      <c r="Q15" s="263">
        <v>0</v>
      </c>
      <c r="R15" s="263">
        <v>0</v>
      </c>
      <c r="S15" s="263">
        <v>0</v>
      </c>
      <c r="T15" s="263">
        <v>0</v>
      </c>
      <c r="U15" s="263">
        <v>0</v>
      </c>
      <c r="V15" s="263">
        <v>0</v>
      </c>
      <c r="W15" s="263">
        <v>0</v>
      </c>
      <c r="X15" s="263">
        <v>0</v>
      </c>
      <c r="Y15" s="263">
        <v>0</v>
      </c>
      <c r="Z15" s="263">
        <v>0</v>
      </c>
      <c r="AA15" s="263">
        <v>0</v>
      </c>
      <c r="AB15" s="263">
        <v>0</v>
      </c>
      <c r="AC15" s="263">
        <v>0</v>
      </c>
      <c r="AD15" s="263">
        <v>0</v>
      </c>
      <c r="AE15" s="263">
        <v>0</v>
      </c>
      <c r="AF15" s="263">
        <v>0</v>
      </c>
      <c r="AG15" s="263"/>
      <c r="AH15" s="263"/>
      <c r="AI15" s="263"/>
      <c r="AJ15" s="263"/>
      <c r="AK15" s="263"/>
      <c r="AL15" s="263"/>
      <c r="AM15" s="263"/>
      <c r="AN15" s="263"/>
      <c r="AO15" s="263"/>
      <c r="AP15" s="263"/>
      <c r="AQ15" s="263"/>
      <c r="AR15" s="263"/>
      <c r="AS15" s="263"/>
      <c r="AT15" s="263"/>
      <c r="AU15" s="263"/>
      <c r="AV15" s="263"/>
      <c r="AW15" s="263"/>
      <c r="AX15" s="263"/>
      <c r="AY15" s="263"/>
      <c r="AZ15" s="263"/>
      <c r="BA15" s="263"/>
      <c r="BB15" s="263"/>
      <c r="BC15" s="263"/>
      <c r="BD15" s="263"/>
      <c r="BE15" s="263"/>
      <c r="BF15" s="263"/>
      <c r="BG15" s="263"/>
      <c r="BH15" s="263"/>
    </row>
    <row r="16" spans="1:61" x14ac:dyDescent="0.25">
      <c r="B16" s="207"/>
      <c r="C16" s="208"/>
      <c r="D16" s="210" t="s">
        <v>70</v>
      </c>
      <c r="E16" s="262">
        <f t="shared" si="1"/>
        <v>15759446.287237138</v>
      </c>
      <c r="F16" s="264">
        <f t="shared" ref="F16:AK16" si="2">SUM(F9:F15)</f>
        <v>0</v>
      </c>
      <c r="G16" s="264">
        <f t="shared" si="2"/>
        <v>13741962.584549494</v>
      </c>
      <c r="H16" s="264">
        <f t="shared" si="2"/>
        <v>6975.8552643833682</v>
      </c>
      <c r="I16" s="264">
        <f t="shared" si="2"/>
        <v>9766.1973701365059</v>
      </c>
      <c r="J16" s="264">
        <f t="shared" si="2"/>
        <v>34399.353050410216</v>
      </c>
      <c r="K16" s="264">
        <f t="shared" si="2"/>
        <v>60819.901244540575</v>
      </c>
      <c r="L16" s="264">
        <f t="shared" si="2"/>
        <v>75040.982769059978</v>
      </c>
      <c r="M16" s="264">
        <f t="shared" si="2"/>
        <v>35653.537446920971</v>
      </c>
      <c r="N16" s="264">
        <f t="shared" si="2"/>
        <v>32159.154201283473</v>
      </c>
      <c r="O16" s="264">
        <f t="shared" si="2"/>
        <v>213643.30776032599</v>
      </c>
      <c r="P16" s="264">
        <f t="shared" si="2"/>
        <v>46040.644744930323</v>
      </c>
      <c r="Q16" s="264">
        <f t="shared" si="2"/>
        <v>25113.078951779986</v>
      </c>
      <c r="R16" s="264">
        <f t="shared" si="2"/>
        <v>474804.30861694133</v>
      </c>
      <c r="S16" s="264">
        <f t="shared" si="2"/>
        <v>18137.22368739685</v>
      </c>
      <c r="T16" s="264">
        <f t="shared" si="2"/>
        <v>40459.960533423349</v>
      </c>
      <c r="U16" s="264">
        <f t="shared" si="2"/>
        <v>47435.815797806717</v>
      </c>
      <c r="V16" s="264">
        <f t="shared" si="2"/>
        <v>16742.052634519991</v>
      </c>
      <c r="W16" s="264">
        <f t="shared" si="2"/>
        <v>232843.32485637386</v>
      </c>
      <c r="X16" s="264">
        <f t="shared" si="2"/>
        <v>43250.302639176836</v>
      </c>
      <c r="Y16" s="264">
        <f t="shared" si="2"/>
        <v>57851.372247976731</v>
      </c>
      <c r="Z16" s="264">
        <f t="shared" si="2"/>
        <v>37767.113001143131</v>
      </c>
      <c r="AA16" s="264">
        <f t="shared" si="2"/>
        <v>291747.48501307284</v>
      </c>
      <c r="AB16" s="264">
        <f t="shared" si="2"/>
        <v>34065.322929188333</v>
      </c>
      <c r="AC16" s="264">
        <f t="shared" si="2"/>
        <v>25113.078951779986</v>
      </c>
      <c r="AD16" s="264">
        <f t="shared" si="2"/>
        <v>-5580.6842115065083</v>
      </c>
      <c r="AE16" s="264">
        <f t="shared" si="2"/>
        <v>61387.526326573454</v>
      </c>
      <c r="AF16" s="264">
        <f t="shared" si="2"/>
        <v>101847.4868599968</v>
      </c>
      <c r="AG16" s="264">
        <f t="shared" si="2"/>
        <v>0</v>
      </c>
      <c r="AH16" s="264">
        <f t="shared" si="2"/>
        <v>0</v>
      </c>
      <c r="AI16" s="264">
        <f t="shared" si="2"/>
        <v>0</v>
      </c>
      <c r="AJ16" s="264">
        <f t="shared" si="2"/>
        <v>0</v>
      </c>
      <c r="AK16" s="264">
        <f t="shared" si="2"/>
        <v>0</v>
      </c>
      <c r="AL16" s="264">
        <f t="shared" ref="AL16:BH16" si="3">SUM(AL9:AL15)</f>
        <v>0</v>
      </c>
      <c r="AM16" s="264">
        <f t="shared" si="3"/>
        <v>0</v>
      </c>
      <c r="AN16" s="264">
        <f t="shared" si="3"/>
        <v>0</v>
      </c>
      <c r="AO16" s="264">
        <f t="shared" si="3"/>
        <v>0</v>
      </c>
      <c r="AP16" s="264">
        <f t="shared" si="3"/>
        <v>0</v>
      </c>
      <c r="AQ16" s="264">
        <f t="shared" si="3"/>
        <v>0</v>
      </c>
      <c r="AR16" s="264">
        <f t="shared" si="3"/>
        <v>0</v>
      </c>
      <c r="AS16" s="264">
        <f t="shared" si="3"/>
        <v>0</v>
      </c>
      <c r="AT16" s="264">
        <f t="shared" si="3"/>
        <v>0</v>
      </c>
      <c r="AU16" s="264">
        <f t="shared" si="3"/>
        <v>0</v>
      </c>
      <c r="AV16" s="264">
        <f t="shared" si="3"/>
        <v>0</v>
      </c>
      <c r="AW16" s="264">
        <f t="shared" si="3"/>
        <v>0</v>
      </c>
      <c r="AX16" s="264">
        <f t="shared" si="3"/>
        <v>0</v>
      </c>
      <c r="AY16" s="264">
        <f t="shared" si="3"/>
        <v>0</v>
      </c>
      <c r="AZ16" s="264">
        <f t="shared" si="3"/>
        <v>0</v>
      </c>
      <c r="BA16" s="264">
        <f t="shared" si="3"/>
        <v>0</v>
      </c>
      <c r="BB16" s="264">
        <f t="shared" si="3"/>
        <v>0</v>
      </c>
      <c r="BC16" s="264">
        <f t="shared" si="3"/>
        <v>0</v>
      </c>
      <c r="BD16" s="264">
        <f t="shared" si="3"/>
        <v>0</v>
      </c>
      <c r="BE16" s="264">
        <f t="shared" si="3"/>
        <v>0</v>
      </c>
      <c r="BF16" s="264">
        <f t="shared" si="3"/>
        <v>0</v>
      </c>
      <c r="BG16" s="264">
        <f t="shared" si="3"/>
        <v>0</v>
      </c>
      <c r="BH16" s="264">
        <f t="shared" si="3"/>
        <v>0</v>
      </c>
    </row>
    <row r="17" spans="2:60" x14ac:dyDescent="0.25">
      <c r="B17" s="434" t="s">
        <v>575</v>
      </c>
      <c r="C17" s="229" t="s">
        <v>108</v>
      </c>
      <c r="D17" s="217"/>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69"/>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70"/>
    </row>
    <row r="18" spans="2:60" ht="26.4" x14ac:dyDescent="0.25">
      <c r="B18" s="435"/>
      <c r="C18" s="208"/>
      <c r="D18" s="209" t="s">
        <v>335</v>
      </c>
      <c r="E18" s="262">
        <f t="shared" ref="E18:E23" si="4">SUM(F18:BH18)</f>
        <v>0</v>
      </c>
      <c r="F18" s="263"/>
      <c r="G18" s="263">
        <v>0</v>
      </c>
      <c r="H18" s="263">
        <v>0</v>
      </c>
      <c r="I18" s="263">
        <v>0</v>
      </c>
      <c r="J18" s="263">
        <v>0</v>
      </c>
      <c r="K18" s="263">
        <v>0</v>
      </c>
      <c r="L18" s="263">
        <v>0</v>
      </c>
      <c r="M18" s="263">
        <v>0</v>
      </c>
      <c r="N18" s="263">
        <v>0</v>
      </c>
      <c r="O18" s="263">
        <v>0</v>
      </c>
      <c r="P18" s="263">
        <v>0</v>
      </c>
      <c r="Q18" s="263">
        <v>0</v>
      </c>
      <c r="R18" s="263">
        <v>0</v>
      </c>
      <c r="S18" s="263">
        <v>0</v>
      </c>
      <c r="T18" s="263">
        <v>0</v>
      </c>
      <c r="U18" s="263">
        <v>0</v>
      </c>
      <c r="V18" s="263">
        <v>0</v>
      </c>
      <c r="W18" s="263">
        <v>0</v>
      </c>
      <c r="X18" s="263">
        <v>0</v>
      </c>
      <c r="Y18" s="263">
        <v>0</v>
      </c>
      <c r="Z18" s="263">
        <v>0</v>
      </c>
      <c r="AA18" s="263">
        <v>0</v>
      </c>
      <c r="AB18" s="263">
        <v>0</v>
      </c>
      <c r="AC18" s="263">
        <v>0</v>
      </c>
      <c r="AD18" s="263">
        <v>0</v>
      </c>
      <c r="AE18" s="263">
        <v>0</v>
      </c>
      <c r="AF18" s="263">
        <v>0</v>
      </c>
      <c r="AG18" s="263"/>
      <c r="AH18" s="263"/>
      <c r="AI18" s="263"/>
      <c r="AJ18" s="263"/>
      <c r="AK18" s="263"/>
      <c r="AL18" s="263"/>
      <c r="AM18" s="263"/>
      <c r="AN18" s="263"/>
      <c r="AO18" s="263"/>
      <c r="AP18" s="263"/>
      <c r="AQ18" s="263"/>
      <c r="AR18" s="263"/>
      <c r="AS18" s="263"/>
      <c r="AT18" s="263"/>
      <c r="AU18" s="263"/>
      <c r="AV18" s="263"/>
      <c r="AW18" s="263"/>
      <c r="AX18" s="263"/>
      <c r="AY18" s="263"/>
      <c r="AZ18" s="263"/>
      <c r="BA18" s="263"/>
      <c r="BB18" s="263"/>
      <c r="BC18" s="263"/>
      <c r="BD18" s="263"/>
      <c r="BE18" s="263"/>
      <c r="BF18" s="263"/>
      <c r="BG18" s="263"/>
      <c r="BH18" s="263"/>
    </row>
    <row r="19" spans="2:60" x14ac:dyDescent="0.25">
      <c r="B19" s="436"/>
      <c r="C19" s="208"/>
      <c r="D19" s="209" t="s">
        <v>69</v>
      </c>
      <c r="E19" s="262">
        <f t="shared" si="4"/>
        <v>375465.51021639805</v>
      </c>
      <c r="F19" s="263"/>
      <c r="G19" s="263">
        <v>0</v>
      </c>
      <c r="H19" s="263">
        <v>0</v>
      </c>
      <c r="I19" s="263">
        <v>0</v>
      </c>
      <c r="J19" s="263">
        <v>0</v>
      </c>
      <c r="K19" s="263">
        <v>0</v>
      </c>
      <c r="L19" s="263">
        <v>0</v>
      </c>
      <c r="M19" s="263">
        <v>0</v>
      </c>
      <c r="N19" s="263">
        <v>0</v>
      </c>
      <c r="O19" s="263">
        <v>0</v>
      </c>
      <c r="P19" s="263">
        <v>0</v>
      </c>
      <c r="Q19" s="263">
        <v>0</v>
      </c>
      <c r="R19" s="263">
        <v>0</v>
      </c>
      <c r="S19" s="263">
        <v>0</v>
      </c>
      <c r="T19" s="263">
        <v>0</v>
      </c>
      <c r="U19" s="263">
        <v>0</v>
      </c>
      <c r="V19" s="263">
        <v>0</v>
      </c>
      <c r="W19" s="263">
        <v>0</v>
      </c>
      <c r="X19" s="263">
        <v>0</v>
      </c>
      <c r="Y19" s="263">
        <v>0</v>
      </c>
      <c r="Z19" s="263">
        <v>4444.4361706422369</v>
      </c>
      <c r="AA19" s="263">
        <v>1020.3678454436317</v>
      </c>
      <c r="AB19" s="263">
        <v>3844.7305019942323</v>
      </c>
      <c r="AC19" s="263">
        <v>65812.181036237031</v>
      </c>
      <c r="AD19" s="263">
        <v>68182.103784953535</v>
      </c>
      <c r="AE19" s="263">
        <v>42714.055304674039</v>
      </c>
      <c r="AF19" s="263">
        <v>189447.63557245335</v>
      </c>
      <c r="AG19" s="263"/>
      <c r="AH19" s="263"/>
      <c r="AI19" s="263"/>
      <c r="AJ19" s="263"/>
      <c r="AK19" s="263"/>
      <c r="AL19" s="263"/>
      <c r="AM19" s="263"/>
      <c r="AN19" s="263"/>
      <c r="AO19" s="263"/>
      <c r="AP19" s="263"/>
      <c r="AQ19" s="263"/>
      <c r="AR19" s="263"/>
      <c r="AS19" s="263"/>
      <c r="AT19" s="263"/>
      <c r="AU19" s="263"/>
      <c r="AV19" s="263"/>
      <c r="AW19" s="263"/>
      <c r="AX19" s="263"/>
      <c r="AY19" s="263"/>
      <c r="AZ19" s="263"/>
      <c r="BA19" s="263"/>
      <c r="BB19" s="263"/>
      <c r="BC19" s="263"/>
      <c r="BD19" s="263"/>
      <c r="BE19" s="263"/>
      <c r="BF19" s="263"/>
      <c r="BG19" s="263"/>
      <c r="BH19" s="263"/>
    </row>
    <row r="20" spans="2:60" x14ac:dyDescent="0.25">
      <c r="B20" s="436"/>
      <c r="C20" s="208"/>
      <c r="D20" s="209" t="s">
        <v>110</v>
      </c>
      <c r="E20" s="262">
        <f t="shared" si="4"/>
        <v>0</v>
      </c>
      <c r="F20" s="263"/>
      <c r="G20" s="263">
        <v>0</v>
      </c>
      <c r="H20" s="263">
        <v>0</v>
      </c>
      <c r="I20" s="263">
        <v>0</v>
      </c>
      <c r="J20" s="263">
        <v>0</v>
      </c>
      <c r="K20" s="263">
        <v>0</v>
      </c>
      <c r="L20" s="263">
        <v>0</v>
      </c>
      <c r="M20" s="263">
        <v>0</v>
      </c>
      <c r="N20" s="263">
        <v>0</v>
      </c>
      <c r="O20" s="263">
        <v>0</v>
      </c>
      <c r="P20" s="263">
        <v>0</v>
      </c>
      <c r="Q20" s="263">
        <v>0</v>
      </c>
      <c r="R20" s="263">
        <v>0</v>
      </c>
      <c r="S20" s="263">
        <v>0</v>
      </c>
      <c r="T20" s="263">
        <v>0</v>
      </c>
      <c r="U20" s="263">
        <v>0</v>
      </c>
      <c r="V20" s="263">
        <v>0</v>
      </c>
      <c r="W20" s="263">
        <v>0</v>
      </c>
      <c r="X20" s="263">
        <v>0</v>
      </c>
      <c r="Y20" s="263">
        <v>0</v>
      </c>
      <c r="Z20" s="263">
        <v>0</v>
      </c>
      <c r="AA20" s="263">
        <v>0</v>
      </c>
      <c r="AB20" s="263">
        <v>0</v>
      </c>
      <c r="AC20" s="263">
        <v>0</v>
      </c>
      <c r="AD20" s="263">
        <v>0</v>
      </c>
      <c r="AE20" s="263">
        <v>0</v>
      </c>
      <c r="AF20" s="263">
        <v>0</v>
      </c>
      <c r="AG20" s="263"/>
      <c r="AH20" s="263"/>
      <c r="AI20" s="263"/>
      <c r="AJ20" s="263"/>
      <c r="AK20" s="263"/>
      <c r="AL20" s="263"/>
      <c r="AM20" s="263"/>
      <c r="AN20" s="263"/>
      <c r="AO20" s="263"/>
      <c r="AP20" s="263"/>
      <c r="AQ20" s="263"/>
      <c r="AR20" s="263"/>
      <c r="AS20" s="263"/>
      <c r="AT20" s="263"/>
      <c r="AU20" s="263"/>
      <c r="AV20" s="263"/>
      <c r="AW20" s="263"/>
      <c r="AX20" s="263"/>
      <c r="AY20" s="263"/>
      <c r="AZ20" s="263"/>
      <c r="BA20" s="263"/>
      <c r="BB20" s="263"/>
      <c r="BC20" s="263"/>
      <c r="BD20" s="263"/>
      <c r="BE20" s="263"/>
      <c r="BF20" s="263"/>
      <c r="BG20" s="263"/>
      <c r="BH20" s="263"/>
    </row>
    <row r="21" spans="2:60" x14ac:dyDescent="0.25">
      <c r="B21" s="436"/>
      <c r="C21" s="208"/>
      <c r="D21" s="209" t="s">
        <v>280</v>
      </c>
      <c r="E21" s="262">
        <f t="shared" si="4"/>
        <v>83099.054993016383</v>
      </c>
      <c r="F21" s="263"/>
      <c r="G21" s="263">
        <v>0</v>
      </c>
      <c r="H21" s="263">
        <v>0</v>
      </c>
      <c r="I21" s="263">
        <v>0</v>
      </c>
      <c r="J21" s="263">
        <v>0</v>
      </c>
      <c r="K21" s="263">
        <v>0</v>
      </c>
      <c r="L21" s="263">
        <v>0</v>
      </c>
      <c r="M21" s="263">
        <v>0</v>
      </c>
      <c r="N21" s="263">
        <v>0</v>
      </c>
      <c r="O21" s="263">
        <v>0</v>
      </c>
      <c r="P21" s="263">
        <v>0</v>
      </c>
      <c r="Q21" s="263">
        <v>0</v>
      </c>
      <c r="R21" s="263">
        <v>0</v>
      </c>
      <c r="S21" s="263">
        <v>0</v>
      </c>
      <c r="T21" s="263">
        <v>0</v>
      </c>
      <c r="U21" s="263">
        <v>0</v>
      </c>
      <c r="V21" s="263">
        <v>0</v>
      </c>
      <c r="W21" s="263">
        <v>0</v>
      </c>
      <c r="X21" s="263">
        <v>0</v>
      </c>
      <c r="Y21" s="263">
        <v>0</v>
      </c>
      <c r="Z21" s="263">
        <v>0</v>
      </c>
      <c r="AA21" s="263">
        <v>0</v>
      </c>
      <c r="AB21" s="263">
        <v>0</v>
      </c>
      <c r="AC21" s="263">
        <v>0</v>
      </c>
      <c r="AD21" s="263">
        <v>55280.321287722945</v>
      </c>
      <c r="AE21" s="263">
        <v>13494.046499668948</v>
      </c>
      <c r="AF21" s="263">
        <v>14324.687205624483</v>
      </c>
      <c r="AG21" s="263"/>
      <c r="AH21" s="263"/>
      <c r="AI21" s="263"/>
      <c r="AJ21" s="263"/>
      <c r="AK21" s="263"/>
      <c r="AL21" s="263"/>
      <c r="AM21" s="263"/>
      <c r="AN21" s="263"/>
      <c r="AO21" s="263"/>
      <c r="AP21" s="263"/>
      <c r="AQ21" s="263"/>
      <c r="AR21" s="263"/>
      <c r="AS21" s="263"/>
      <c r="AT21" s="263"/>
      <c r="AU21" s="263"/>
      <c r="AV21" s="263"/>
      <c r="AW21" s="263"/>
      <c r="AX21" s="263"/>
      <c r="AY21" s="263"/>
      <c r="AZ21" s="263"/>
      <c r="BA21" s="263"/>
      <c r="BB21" s="263"/>
      <c r="BC21" s="263"/>
      <c r="BD21" s="263"/>
      <c r="BE21" s="263"/>
      <c r="BF21" s="263"/>
      <c r="BG21" s="263"/>
      <c r="BH21" s="263"/>
    </row>
    <row r="22" spans="2:60" x14ac:dyDescent="0.25">
      <c r="B22" s="436"/>
      <c r="C22" s="208"/>
      <c r="D22" s="209" t="s">
        <v>72</v>
      </c>
      <c r="E22" s="262">
        <f t="shared" si="4"/>
        <v>-60410.302245511215</v>
      </c>
      <c r="F22" s="263"/>
      <c r="G22" s="263">
        <v>0</v>
      </c>
      <c r="H22" s="263">
        <v>0</v>
      </c>
      <c r="I22" s="263">
        <v>0</v>
      </c>
      <c r="J22" s="263">
        <v>0</v>
      </c>
      <c r="K22" s="263">
        <v>0</v>
      </c>
      <c r="L22" s="263">
        <v>0</v>
      </c>
      <c r="M22" s="263">
        <v>0</v>
      </c>
      <c r="N22" s="263">
        <v>0</v>
      </c>
      <c r="O22" s="263">
        <v>0</v>
      </c>
      <c r="P22" s="263">
        <v>0</v>
      </c>
      <c r="Q22" s="263">
        <v>0</v>
      </c>
      <c r="R22" s="263">
        <v>0</v>
      </c>
      <c r="S22" s="263">
        <v>0</v>
      </c>
      <c r="T22" s="263">
        <v>0</v>
      </c>
      <c r="U22" s="263">
        <v>0</v>
      </c>
      <c r="V22" s="263">
        <v>0</v>
      </c>
      <c r="W22" s="263">
        <v>0</v>
      </c>
      <c r="X22" s="263">
        <v>0</v>
      </c>
      <c r="Y22" s="263">
        <v>0</v>
      </c>
      <c r="Z22" s="263">
        <v>-274.70840132145923</v>
      </c>
      <c r="AA22" s="263">
        <v>-115.86831620689483</v>
      </c>
      <c r="AB22" s="263">
        <v>-325.48898175186395</v>
      </c>
      <c r="AC22" s="263">
        <v>-1228.6812073982173</v>
      </c>
      <c r="AD22" s="263">
        <v>-1479.9441604325373</v>
      </c>
      <c r="AE22" s="263">
        <v>-4646.2725431206645</v>
      </c>
      <c r="AF22" s="263">
        <v>-52339.338635279579</v>
      </c>
      <c r="AG22" s="263"/>
      <c r="AH22" s="263"/>
      <c r="AI22" s="263"/>
      <c r="AJ22" s="263"/>
      <c r="AK22" s="263"/>
      <c r="AL22" s="263"/>
      <c r="AM22" s="263"/>
      <c r="AN22" s="263"/>
      <c r="AO22" s="263"/>
      <c r="AP22" s="263"/>
      <c r="AQ22" s="263"/>
      <c r="AR22" s="263"/>
      <c r="AS22" s="263"/>
      <c r="AT22" s="263"/>
      <c r="AU22" s="263"/>
      <c r="AV22" s="263"/>
      <c r="AW22" s="263"/>
      <c r="AX22" s="263"/>
      <c r="AY22" s="263"/>
      <c r="AZ22" s="263"/>
      <c r="BA22" s="263"/>
      <c r="BB22" s="263"/>
      <c r="BC22" s="263"/>
      <c r="BD22" s="263"/>
      <c r="BE22" s="263"/>
      <c r="BF22" s="263"/>
      <c r="BG22" s="263"/>
      <c r="BH22" s="263"/>
    </row>
    <row r="23" spans="2:60" x14ac:dyDescent="0.25">
      <c r="B23" s="436"/>
      <c r="C23" s="208"/>
      <c r="D23" s="210" t="s">
        <v>70</v>
      </c>
      <c r="E23" s="262">
        <f t="shared" si="4"/>
        <v>398154.26296390319</v>
      </c>
      <c r="F23" s="264">
        <f t="shared" ref="F23:AK23" si="5">SUM(F18:F22)</f>
        <v>0</v>
      </c>
      <c r="G23" s="264">
        <f t="shared" si="5"/>
        <v>0</v>
      </c>
      <c r="H23" s="264">
        <f t="shared" si="5"/>
        <v>0</v>
      </c>
      <c r="I23" s="264">
        <f t="shared" si="5"/>
        <v>0</v>
      </c>
      <c r="J23" s="264">
        <f t="shared" si="5"/>
        <v>0</v>
      </c>
      <c r="K23" s="264">
        <f t="shared" si="5"/>
        <v>0</v>
      </c>
      <c r="L23" s="264">
        <f t="shared" si="5"/>
        <v>0</v>
      </c>
      <c r="M23" s="264">
        <f t="shared" si="5"/>
        <v>0</v>
      </c>
      <c r="N23" s="264">
        <f t="shared" si="5"/>
        <v>0</v>
      </c>
      <c r="O23" s="264">
        <f t="shared" si="5"/>
        <v>0</v>
      </c>
      <c r="P23" s="264">
        <f t="shared" si="5"/>
        <v>0</v>
      </c>
      <c r="Q23" s="264">
        <f t="shared" si="5"/>
        <v>0</v>
      </c>
      <c r="R23" s="264">
        <f t="shared" si="5"/>
        <v>0</v>
      </c>
      <c r="S23" s="264">
        <f t="shared" si="5"/>
        <v>0</v>
      </c>
      <c r="T23" s="264">
        <f t="shared" si="5"/>
        <v>0</v>
      </c>
      <c r="U23" s="264">
        <f t="shared" si="5"/>
        <v>0</v>
      </c>
      <c r="V23" s="264">
        <f t="shared" si="5"/>
        <v>0</v>
      </c>
      <c r="W23" s="264">
        <f t="shared" si="5"/>
        <v>0</v>
      </c>
      <c r="X23" s="264">
        <f t="shared" si="5"/>
        <v>0</v>
      </c>
      <c r="Y23" s="264">
        <f t="shared" si="5"/>
        <v>0</v>
      </c>
      <c r="Z23" s="264">
        <f t="shared" si="5"/>
        <v>4169.727769320778</v>
      </c>
      <c r="AA23" s="264">
        <f t="shared" si="5"/>
        <v>904.49952923673686</v>
      </c>
      <c r="AB23" s="264">
        <f t="shared" si="5"/>
        <v>3519.2415202423686</v>
      </c>
      <c r="AC23" s="264">
        <f t="shared" si="5"/>
        <v>64583.499828838816</v>
      </c>
      <c r="AD23" s="264">
        <f t="shared" si="5"/>
        <v>121982.48091224393</v>
      </c>
      <c r="AE23" s="264">
        <f t="shared" si="5"/>
        <v>51561.829261222323</v>
      </c>
      <c r="AF23" s="264">
        <f t="shared" si="5"/>
        <v>151432.98414279823</v>
      </c>
      <c r="AG23" s="264">
        <f t="shared" si="5"/>
        <v>0</v>
      </c>
      <c r="AH23" s="264">
        <f t="shared" si="5"/>
        <v>0</v>
      </c>
      <c r="AI23" s="264">
        <f t="shared" si="5"/>
        <v>0</v>
      </c>
      <c r="AJ23" s="264">
        <f t="shared" si="5"/>
        <v>0</v>
      </c>
      <c r="AK23" s="264">
        <f t="shared" si="5"/>
        <v>0</v>
      </c>
      <c r="AL23" s="264">
        <f t="shared" ref="AL23:BH23" si="6">SUM(AL18:AL22)</f>
        <v>0</v>
      </c>
      <c r="AM23" s="264">
        <f t="shared" si="6"/>
        <v>0</v>
      </c>
      <c r="AN23" s="264">
        <f t="shared" si="6"/>
        <v>0</v>
      </c>
      <c r="AO23" s="264">
        <f t="shared" si="6"/>
        <v>0</v>
      </c>
      <c r="AP23" s="264">
        <f t="shared" si="6"/>
        <v>0</v>
      </c>
      <c r="AQ23" s="264">
        <f t="shared" si="6"/>
        <v>0</v>
      </c>
      <c r="AR23" s="264">
        <f t="shared" si="6"/>
        <v>0</v>
      </c>
      <c r="AS23" s="264">
        <f t="shared" si="6"/>
        <v>0</v>
      </c>
      <c r="AT23" s="264">
        <f t="shared" si="6"/>
        <v>0</v>
      </c>
      <c r="AU23" s="264">
        <f t="shared" si="6"/>
        <v>0</v>
      </c>
      <c r="AV23" s="264">
        <f t="shared" si="6"/>
        <v>0</v>
      </c>
      <c r="AW23" s="264">
        <f t="shared" si="6"/>
        <v>0</v>
      </c>
      <c r="AX23" s="264">
        <f t="shared" si="6"/>
        <v>0</v>
      </c>
      <c r="AY23" s="264">
        <f t="shared" si="6"/>
        <v>0</v>
      </c>
      <c r="AZ23" s="264">
        <f t="shared" si="6"/>
        <v>0</v>
      </c>
      <c r="BA23" s="264">
        <f t="shared" si="6"/>
        <v>0</v>
      </c>
      <c r="BB23" s="264">
        <f t="shared" si="6"/>
        <v>0</v>
      </c>
      <c r="BC23" s="264">
        <f t="shared" si="6"/>
        <v>0</v>
      </c>
      <c r="BD23" s="264">
        <f t="shared" si="6"/>
        <v>0</v>
      </c>
      <c r="BE23" s="264">
        <f t="shared" si="6"/>
        <v>0</v>
      </c>
      <c r="BF23" s="264">
        <f t="shared" si="6"/>
        <v>0</v>
      </c>
      <c r="BG23" s="264">
        <f t="shared" si="6"/>
        <v>0</v>
      </c>
      <c r="BH23" s="264">
        <f t="shared" si="6"/>
        <v>0</v>
      </c>
    </row>
    <row r="24" spans="2:60" x14ac:dyDescent="0.25">
      <c r="B24" s="436"/>
      <c r="C24" s="208"/>
      <c r="D24" s="210" t="s">
        <v>86</v>
      </c>
      <c r="E24" s="262">
        <f>E16+E23</f>
        <v>16157600.550201042</v>
      </c>
      <c r="F24" s="262">
        <f t="shared" ref="F24:BH24" si="7">F16+F23</f>
        <v>0</v>
      </c>
      <c r="G24" s="262">
        <f t="shared" si="7"/>
        <v>13741962.584549494</v>
      </c>
      <c r="H24" s="262">
        <f t="shared" si="7"/>
        <v>6975.8552643833682</v>
      </c>
      <c r="I24" s="262">
        <f t="shared" si="7"/>
        <v>9766.1973701365059</v>
      </c>
      <c r="J24" s="262">
        <f t="shared" si="7"/>
        <v>34399.353050410216</v>
      </c>
      <c r="K24" s="262">
        <f t="shared" si="7"/>
        <v>60819.901244540575</v>
      </c>
      <c r="L24" s="262">
        <f t="shared" si="7"/>
        <v>75040.982769059978</v>
      </c>
      <c r="M24" s="262">
        <f t="shared" si="7"/>
        <v>35653.537446920971</v>
      </c>
      <c r="N24" s="262">
        <f t="shared" si="7"/>
        <v>32159.154201283473</v>
      </c>
      <c r="O24" s="262">
        <f t="shared" si="7"/>
        <v>213643.30776032599</v>
      </c>
      <c r="P24" s="262">
        <f t="shared" si="7"/>
        <v>46040.644744930323</v>
      </c>
      <c r="Q24" s="262">
        <f t="shared" si="7"/>
        <v>25113.078951779986</v>
      </c>
      <c r="R24" s="262">
        <f t="shared" si="7"/>
        <v>474804.30861694133</v>
      </c>
      <c r="S24" s="262">
        <f t="shared" si="7"/>
        <v>18137.22368739685</v>
      </c>
      <c r="T24" s="262">
        <f t="shared" si="7"/>
        <v>40459.960533423349</v>
      </c>
      <c r="U24" s="262">
        <f t="shared" si="7"/>
        <v>47435.815797806717</v>
      </c>
      <c r="V24" s="262">
        <f t="shared" si="7"/>
        <v>16742.052634519991</v>
      </c>
      <c r="W24" s="262">
        <f t="shared" si="7"/>
        <v>232843.32485637386</v>
      </c>
      <c r="X24" s="262">
        <f t="shared" si="7"/>
        <v>43250.302639176836</v>
      </c>
      <c r="Y24" s="262">
        <f t="shared" si="7"/>
        <v>57851.372247976731</v>
      </c>
      <c r="Z24" s="262">
        <f t="shared" si="7"/>
        <v>41936.84077046391</v>
      </c>
      <c r="AA24" s="262">
        <f t="shared" si="7"/>
        <v>292651.9845423096</v>
      </c>
      <c r="AB24" s="262">
        <f t="shared" si="7"/>
        <v>37584.564449430698</v>
      </c>
      <c r="AC24" s="262">
        <f t="shared" si="7"/>
        <v>89696.578780618802</v>
      </c>
      <c r="AD24" s="262">
        <f t="shared" si="7"/>
        <v>116401.79670073742</v>
      </c>
      <c r="AE24" s="262">
        <f t="shared" si="7"/>
        <v>112949.35558779578</v>
      </c>
      <c r="AF24" s="262">
        <f t="shared" si="7"/>
        <v>253280.47100279504</v>
      </c>
      <c r="AG24" s="262">
        <f t="shared" si="7"/>
        <v>0</v>
      </c>
      <c r="AH24" s="262">
        <f t="shared" si="7"/>
        <v>0</v>
      </c>
      <c r="AI24" s="262">
        <f t="shared" si="7"/>
        <v>0</v>
      </c>
      <c r="AJ24" s="262">
        <f t="shared" si="7"/>
        <v>0</v>
      </c>
      <c r="AK24" s="262">
        <f t="shared" si="7"/>
        <v>0</v>
      </c>
      <c r="AL24" s="262">
        <f t="shared" si="7"/>
        <v>0</v>
      </c>
      <c r="AM24" s="262">
        <f t="shared" si="7"/>
        <v>0</v>
      </c>
      <c r="AN24" s="262">
        <f t="shared" si="7"/>
        <v>0</v>
      </c>
      <c r="AO24" s="262">
        <f t="shared" si="7"/>
        <v>0</v>
      </c>
      <c r="AP24" s="262">
        <f t="shared" si="7"/>
        <v>0</v>
      </c>
      <c r="AQ24" s="262">
        <f t="shared" si="7"/>
        <v>0</v>
      </c>
      <c r="AR24" s="262">
        <f t="shared" si="7"/>
        <v>0</v>
      </c>
      <c r="AS24" s="262">
        <f t="shared" si="7"/>
        <v>0</v>
      </c>
      <c r="AT24" s="262">
        <f t="shared" si="7"/>
        <v>0</v>
      </c>
      <c r="AU24" s="262">
        <f t="shared" si="7"/>
        <v>0</v>
      </c>
      <c r="AV24" s="262">
        <f t="shared" si="7"/>
        <v>0</v>
      </c>
      <c r="AW24" s="262">
        <f t="shared" si="7"/>
        <v>0</v>
      </c>
      <c r="AX24" s="262">
        <f t="shared" si="7"/>
        <v>0</v>
      </c>
      <c r="AY24" s="262">
        <f t="shared" si="7"/>
        <v>0</v>
      </c>
      <c r="AZ24" s="262">
        <f t="shared" si="7"/>
        <v>0</v>
      </c>
      <c r="BA24" s="262">
        <f t="shared" si="7"/>
        <v>0</v>
      </c>
      <c r="BB24" s="262">
        <f t="shared" si="7"/>
        <v>0</v>
      </c>
      <c r="BC24" s="262">
        <f t="shared" si="7"/>
        <v>0</v>
      </c>
      <c r="BD24" s="262">
        <f t="shared" si="7"/>
        <v>0</v>
      </c>
      <c r="BE24" s="262">
        <f t="shared" si="7"/>
        <v>0</v>
      </c>
      <c r="BF24" s="262">
        <f t="shared" si="7"/>
        <v>0</v>
      </c>
      <c r="BG24" s="262">
        <f t="shared" si="7"/>
        <v>0</v>
      </c>
      <c r="BH24" s="262">
        <f t="shared" si="7"/>
        <v>0</v>
      </c>
    </row>
    <row r="25" spans="2:60" x14ac:dyDescent="0.25">
      <c r="B25" s="436"/>
      <c r="C25" s="229" t="s">
        <v>181</v>
      </c>
      <c r="D25" s="217"/>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69"/>
      <c r="AP25" s="269"/>
      <c r="AQ25" s="269"/>
      <c r="AR25" s="269"/>
      <c r="AS25" s="269"/>
      <c r="AT25" s="269"/>
      <c r="AU25" s="269"/>
      <c r="AV25" s="269"/>
      <c r="AW25" s="269"/>
      <c r="AX25" s="269"/>
      <c r="AY25" s="269"/>
      <c r="AZ25" s="269"/>
      <c r="BA25" s="269"/>
      <c r="BB25" s="269"/>
      <c r="BC25" s="269"/>
      <c r="BD25" s="269"/>
      <c r="BE25" s="269"/>
      <c r="BF25" s="269"/>
      <c r="BG25" s="269"/>
      <c r="BH25" s="270"/>
    </row>
    <row r="26" spans="2:60" x14ac:dyDescent="0.25">
      <c r="B26" s="434" t="s">
        <v>576</v>
      </c>
      <c r="C26" s="208"/>
      <c r="D26" s="211" t="s">
        <v>105</v>
      </c>
      <c r="E26" s="262">
        <f t="shared" si="1"/>
        <v>54074302.797230691</v>
      </c>
      <c r="F26" s="263"/>
      <c r="G26" s="263">
        <v>1017049.2719281691</v>
      </c>
      <c r="H26" s="263">
        <v>1279254.1391784446</v>
      </c>
      <c r="I26" s="263">
        <v>1311411.1347660075</v>
      </c>
      <c r="J26" s="263">
        <v>1343321.0305958902</v>
      </c>
      <c r="K26" s="263">
        <v>1388846.4015000002</v>
      </c>
      <c r="L26" s="263">
        <v>1439630.571</v>
      </c>
      <c r="M26" s="263">
        <v>1472191.3344999999</v>
      </c>
      <c r="N26" s="263">
        <v>1747620.2549937004</v>
      </c>
      <c r="O26" s="263">
        <v>2007067.2601015994</v>
      </c>
      <c r="P26" s="263">
        <v>2082781.3546929003</v>
      </c>
      <c r="Q26" s="263">
        <v>2144131.2156191436</v>
      </c>
      <c r="R26" s="263">
        <v>2083655.4611250539</v>
      </c>
      <c r="S26" s="263">
        <v>2184294.4197297757</v>
      </c>
      <c r="T26" s="263">
        <v>2164328.7710000002</v>
      </c>
      <c r="U26" s="263">
        <v>2250198.1689999998</v>
      </c>
      <c r="V26" s="263">
        <v>2399267.6535</v>
      </c>
      <c r="W26" s="263">
        <v>2410655.8355</v>
      </c>
      <c r="X26" s="263">
        <v>2444166.8234999999</v>
      </c>
      <c r="Y26" s="263">
        <v>2499959.7430000002</v>
      </c>
      <c r="Z26" s="263">
        <v>2710711.6920000003</v>
      </c>
      <c r="AA26" s="263">
        <v>2530360.2200000002</v>
      </c>
      <c r="AB26" s="263">
        <v>2571238.5100000002</v>
      </c>
      <c r="AC26" s="263">
        <v>2591803.4600000004</v>
      </c>
      <c r="AD26" s="263">
        <v>2616307.58</v>
      </c>
      <c r="AE26" s="263">
        <v>2655228.5900000003</v>
      </c>
      <c r="AF26" s="263">
        <v>2728821.9</v>
      </c>
      <c r="AG26" s="263"/>
      <c r="AH26" s="263"/>
      <c r="AI26" s="263"/>
      <c r="AJ26" s="263"/>
      <c r="AK26" s="263"/>
      <c r="AL26" s="263"/>
      <c r="AM26" s="263"/>
      <c r="AN26" s="263"/>
      <c r="AO26" s="263"/>
      <c r="AP26" s="263"/>
      <c r="AQ26" s="263"/>
      <c r="AR26" s="263"/>
      <c r="AS26" s="263"/>
      <c r="AT26" s="263"/>
      <c r="AU26" s="263"/>
      <c r="AV26" s="263"/>
      <c r="AW26" s="263"/>
      <c r="AX26" s="263"/>
      <c r="AY26" s="263"/>
      <c r="AZ26" s="263"/>
      <c r="BA26" s="263"/>
      <c r="BB26" s="263"/>
      <c r="BC26" s="263"/>
      <c r="BD26" s="263"/>
      <c r="BE26" s="263"/>
      <c r="BF26" s="263"/>
      <c r="BG26" s="263"/>
      <c r="BH26" s="263"/>
    </row>
    <row r="27" spans="2:60" x14ac:dyDescent="0.25">
      <c r="B27" s="434" t="s">
        <v>576</v>
      </c>
      <c r="C27" s="208"/>
      <c r="D27" s="211" t="s">
        <v>106</v>
      </c>
      <c r="E27" s="262">
        <f t="shared" si="1"/>
        <v>-4538654.3172978265</v>
      </c>
      <c r="F27" s="263"/>
      <c r="G27" s="263">
        <v>-78831.575908372935</v>
      </c>
      <c r="H27" s="263">
        <v>-96837.193588287584</v>
      </c>
      <c r="I27" s="263">
        <v>-98081.272285800645</v>
      </c>
      <c r="J27" s="263">
        <v>-100398.55372234527</v>
      </c>
      <c r="K27" s="263">
        <v>-100553.55034024177</v>
      </c>
      <c r="L27" s="263">
        <v>-110205.232</v>
      </c>
      <c r="M27" s="263">
        <v>-105507.81449999999</v>
      </c>
      <c r="N27" s="263">
        <v>-133019.5785</v>
      </c>
      <c r="O27" s="263">
        <v>-117721.0055</v>
      </c>
      <c r="P27" s="263">
        <v>-126253.23497279279</v>
      </c>
      <c r="Q27" s="263">
        <v>-125970.17751745626</v>
      </c>
      <c r="R27" s="263">
        <v>-129538.72759639221</v>
      </c>
      <c r="S27" s="263">
        <v>-118910.44176173623</v>
      </c>
      <c r="T27" s="263">
        <v>-129899.37550000002</v>
      </c>
      <c r="U27" s="263">
        <v>-132572.35749999998</v>
      </c>
      <c r="V27" s="263">
        <v>-151489.24350000001</v>
      </c>
      <c r="W27" s="263">
        <v>-168718.0405</v>
      </c>
      <c r="X27" s="263">
        <v>-160501.30249999999</v>
      </c>
      <c r="Y27" s="263">
        <v>-181285.96700000003</v>
      </c>
      <c r="Z27" s="263">
        <v>-172698.4728804247</v>
      </c>
      <c r="AA27" s="263">
        <v>-172125.62676413861</v>
      </c>
      <c r="AB27" s="263">
        <v>-177667.59391417739</v>
      </c>
      <c r="AC27" s="263">
        <v>-256880.72437546041</v>
      </c>
      <c r="AD27" s="263">
        <v>-367782.0524674746</v>
      </c>
      <c r="AE27" s="263">
        <v>-509173.28228052339</v>
      </c>
      <c r="AF27" s="263">
        <v>-516031.91992220178</v>
      </c>
      <c r="AG27" s="263"/>
      <c r="AH27" s="263"/>
      <c r="AI27" s="263"/>
      <c r="AJ27" s="263"/>
      <c r="AK27" s="263"/>
      <c r="AL27" s="263"/>
      <c r="AM27" s="263"/>
      <c r="AN27" s="263"/>
      <c r="AO27" s="263"/>
      <c r="AP27" s="263"/>
      <c r="AQ27" s="263"/>
      <c r="AR27" s="263"/>
      <c r="AS27" s="263"/>
      <c r="AT27" s="263"/>
      <c r="AU27" s="263"/>
      <c r="AV27" s="263"/>
      <c r="AW27" s="263"/>
      <c r="AX27" s="263"/>
      <c r="AY27" s="263"/>
      <c r="AZ27" s="263"/>
      <c r="BA27" s="263"/>
      <c r="BB27" s="263"/>
      <c r="BC27" s="263"/>
      <c r="BD27" s="263"/>
      <c r="BE27" s="263"/>
      <c r="BF27" s="263"/>
      <c r="BG27" s="263"/>
      <c r="BH27" s="263"/>
    </row>
    <row r="28" spans="2:60" x14ac:dyDescent="0.25">
      <c r="B28" s="434" t="s">
        <v>576</v>
      </c>
      <c r="C28" s="208"/>
      <c r="D28" s="211" t="s">
        <v>281</v>
      </c>
      <c r="E28" s="262">
        <f t="shared" si="1"/>
        <v>-4964.123532503907</v>
      </c>
      <c r="F28" s="263"/>
      <c r="G28" s="263">
        <v>0</v>
      </c>
      <c r="H28" s="263">
        <v>0</v>
      </c>
      <c r="I28" s="263">
        <v>0</v>
      </c>
      <c r="J28" s="263">
        <v>0</v>
      </c>
      <c r="K28" s="263">
        <v>0</v>
      </c>
      <c r="L28" s="263">
        <v>0</v>
      </c>
      <c r="M28" s="263">
        <v>0</v>
      </c>
      <c r="N28" s="263">
        <v>0</v>
      </c>
      <c r="O28" s="263">
        <v>0</v>
      </c>
      <c r="P28" s="263">
        <v>0</v>
      </c>
      <c r="Q28" s="263">
        <v>0</v>
      </c>
      <c r="R28" s="263">
        <v>0</v>
      </c>
      <c r="S28" s="263">
        <v>0</v>
      </c>
      <c r="T28" s="263">
        <v>0</v>
      </c>
      <c r="U28" s="263">
        <v>0</v>
      </c>
      <c r="V28" s="263">
        <v>0</v>
      </c>
      <c r="W28" s="263">
        <v>0</v>
      </c>
      <c r="X28" s="263">
        <v>0</v>
      </c>
      <c r="Y28" s="263">
        <v>0</v>
      </c>
      <c r="Z28" s="263">
        <v>0</v>
      </c>
      <c r="AA28" s="263">
        <v>0</v>
      </c>
      <c r="AB28" s="263">
        <v>0</v>
      </c>
      <c r="AC28" s="263">
        <v>0</v>
      </c>
      <c r="AD28" s="263">
        <v>-1914.8356433781682</v>
      </c>
      <c r="AE28" s="263">
        <v>-1677.7782694871985</v>
      </c>
      <c r="AF28" s="263">
        <v>-1371.5096196385405</v>
      </c>
      <c r="AG28" s="263"/>
      <c r="AH28" s="263"/>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row>
    <row r="29" spans="2:60" x14ac:dyDescent="0.25">
      <c r="B29" s="434" t="s">
        <v>577</v>
      </c>
      <c r="C29" s="208"/>
      <c r="D29" s="211" t="s">
        <v>107</v>
      </c>
      <c r="E29" s="262">
        <f t="shared" si="1"/>
        <v>-7503250.0916758534</v>
      </c>
      <c r="F29" s="263"/>
      <c r="G29" s="263">
        <v>-214080.70730618117</v>
      </c>
      <c r="H29" s="263">
        <v>0</v>
      </c>
      <c r="I29" s="263">
        <v>0</v>
      </c>
      <c r="J29" s="263">
        <v>0</v>
      </c>
      <c r="K29" s="263">
        <v>0</v>
      </c>
      <c r="L29" s="263">
        <v>0</v>
      </c>
      <c r="M29" s="263">
        <v>0</v>
      </c>
      <c r="N29" s="263">
        <v>-100982.01238384098</v>
      </c>
      <c r="O29" s="263">
        <v>-181180.24848870607</v>
      </c>
      <c r="P29" s="263">
        <v>-218110.25102270712</v>
      </c>
      <c r="Q29" s="263">
        <v>-239598.57207818725</v>
      </c>
      <c r="R29" s="263">
        <v>-175661.80601084171</v>
      </c>
      <c r="S29" s="263">
        <v>-197275.93703105717</v>
      </c>
      <c r="T29" s="263">
        <v>-216379.06699829732</v>
      </c>
      <c r="U29" s="263">
        <v>-254369.04231518382</v>
      </c>
      <c r="V29" s="263">
        <v>-294209.18601870228</v>
      </c>
      <c r="W29" s="263">
        <v>-334666.12607996946</v>
      </c>
      <c r="X29" s="263">
        <v>-358684.85758917406</v>
      </c>
      <c r="Y29" s="263">
        <v>-381295.23551573628</v>
      </c>
      <c r="Z29" s="263">
        <v>-469644.130279515</v>
      </c>
      <c r="AA29" s="263">
        <v>-646706.26475162304</v>
      </c>
      <c r="AB29" s="263">
        <v>-667647.83211158926</v>
      </c>
      <c r="AC29" s="263">
        <v>-661087.32135525951</v>
      </c>
      <c r="AD29" s="263">
        <v>-645456.66636922176</v>
      </c>
      <c r="AE29" s="263">
        <v>-613907.76503800333</v>
      </c>
      <c r="AF29" s="263">
        <v>-632307.06293205603</v>
      </c>
      <c r="AG29" s="263"/>
      <c r="AH29" s="263"/>
      <c r="AI29" s="263"/>
      <c r="AJ29" s="263"/>
      <c r="AK29" s="263"/>
      <c r="AL29" s="263"/>
      <c r="AM29" s="263"/>
      <c r="AN29" s="263"/>
      <c r="AO29" s="263"/>
      <c r="AP29" s="263"/>
      <c r="AQ29" s="263"/>
      <c r="AR29" s="263"/>
      <c r="AS29" s="263"/>
      <c r="AT29" s="263"/>
      <c r="AU29" s="263"/>
      <c r="AV29" s="263"/>
      <c r="AW29" s="263"/>
      <c r="AX29" s="263"/>
      <c r="AY29" s="263"/>
      <c r="AZ29" s="263"/>
      <c r="BA29" s="263"/>
      <c r="BB29" s="263"/>
      <c r="BC29" s="263"/>
      <c r="BD29" s="263"/>
      <c r="BE29" s="263"/>
      <c r="BF29" s="263"/>
      <c r="BG29" s="263"/>
      <c r="BH29" s="263"/>
    </row>
    <row r="30" spans="2:60" x14ac:dyDescent="0.25">
      <c r="B30" s="434" t="s">
        <v>578</v>
      </c>
      <c r="C30" s="208"/>
      <c r="D30" s="211" t="s">
        <v>144</v>
      </c>
      <c r="E30" s="262">
        <f t="shared" si="1"/>
        <v>-25869833.714523464</v>
      </c>
      <c r="F30" s="263"/>
      <c r="G30" s="263">
        <v>0</v>
      </c>
      <c r="H30" s="263">
        <v>-1484162.2968135928</v>
      </c>
      <c r="I30" s="263">
        <v>-1322128.4058910278</v>
      </c>
      <c r="J30" s="263">
        <v>-1435790.4072724367</v>
      </c>
      <c r="K30" s="263">
        <v>-1463087.4701863034</v>
      </c>
      <c r="L30" s="263">
        <v>-1333144.475622267</v>
      </c>
      <c r="M30" s="263">
        <v>-1277512.7209474384</v>
      </c>
      <c r="N30" s="263">
        <v>-1103379.7913183642</v>
      </c>
      <c r="O30" s="263">
        <v>-1266055.3667980996</v>
      </c>
      <c r="P30" s="263">
        <v>-1150712.1289930153</v>
      </c>
      <c r="Q30" s="263">
        <v>-1155464.0914483126</v>
      </c>
      <c r="R30" s="263">
        <v>-1286203.4922411349</v>
      </c>
      <c r="S30" s="263">
        <v>-1330415.9381782026</v>
      </c>
      <c r="T30" s="263">
        <v>-1154770.4070074325</v>
      </c>
      <c r="U30" s="263">
        <v>-1066480.1470324155</v>
      </c>
      <c r="V30" s="263">
        <v>-964698.90590334218</v>
      </c>
      <c r="W30" s="263">
        <v>-689291.7239869904</v>
      </c>
      <c r="X30" s="263">
        <v>-629698.1792553186</v>
      </c>
      <c r="Y30" s="263">
        <v>-547035.3077133504</v>
      </c>
      <c r="Z30" s="263">
        <v>-402896.61605127854</v>
      </c>
      <c r="AA30" s="263">
        <v>-236905.56608727973</v>
      </c>
      <c r="AB30" s="263">
        <v>-164554.89915582165</v>
      </c>
      <c r="AC30" s="263">
        <v>-177341.80245335528</v>
      </c>
      <c r="AD30" s="263">
        <v>-1484752.2288191882</v>
      </c>
      <c r="AE30" s="263">
        <v>-1417520.4088241905</v>
      </c>
      <c r="AF30" s="263">
        <v>-1325830.936523309</v>
      </c>
      <c r="AG30" s="263"/>
      <c r="AH30" s="263"/>
      <c r="AI30" s="263"/>
      <c r="AJ30" s="263"/>
      <c r="AK30" s="263"/>
      <c r="AL30" s="263"/>
      <c r="AM30" s="263"/>
      <c r="AN30" s="263"/>
      <c r="AO30" s="263"/>
      <c r="AP30" s="263"/>
      <c r="AQ30" s="263"/>
      <c r="AR30" s="263"/>
      <c r="AS30" s="263"/>
      <c r="AT30" s="263"/>
      <c r="AU30" s="263"/>
      <c r="AV30" s="263"/>
      <c r="AW30" s="263"/>
      <c r="AX30" s="263"/>
      <c r="AY30" s="263"/>
      <c r="AZ30" s="263"/>
      <c r="BA30" s="263"/>
      <c r="BB30" s="263"/>
      <c r="BC30" s="263"/>
      <c r="BD30" s="263"/>
      <c r="BE30" s="263"/>
      <c r="BF30" s="263"/>
      <c r="BG30" s="263"/>
      <c r="BH30" s="263"/>
    </row>
    <row r="31" spans="2:60" x14ac:dyDescent="0.25">
      <c r="B31" s="207"/>
      <c r="C31" s="208"/>
      <c r="D31" s="210" t="s">
        <v>249</v>
      </c>
      <c r="E31" s="262">
        <f>SUM(F31:BH31)</f>
        <v>16157600.550201036</v>
      </c>
      <c r="F31" s="264">
        <f>SUM(F26:F30)</f>
        <v>0</v>
      </c>
      <c r="G31" s="264">
        <f>SUM(G26:G30)</f>
        <v>724136.98871361499</v>
      </c>
      <c r="H31" s="264">
        <f t="shared" ref="H31:M31" si="8">SUM(H26:H30)</f>
        <v>-301745.35122343572</v>
      </c>
      <c r="I31" s="264">
        <f>SUM(I26:I30)</f>
        <v>-108798.54341082089</v>
      </c>
      <c r="J31" s="264">
        <f t="shared" si="8"/>
        <v>-192867.93039889168</v>
      </c>
      <c r="K31" s="264">
        <f t="shared" si="8"/>
        <v>-174794.61902654497</v>
      </c>
      <c r="L31" s="264">
        <f t="shared" si="8"/>
        <v>-3719.1366222670767</v>
      </c>
      <c r="M31" s="264">
        <f t="shared" si="8"/>
        <v>89170.7990525614</v>
      </c>
      <c r="N31" s="264">
        <f>SUM(N26:N30)</f>
        <v>410238.87279149517</v>
      </c>
      <c r="O31" s="264">
        <f t="shared" ref="O31:BE31" si="9">SUM(O26:O30)</f>
        <v>442110.63931479375</v>
      </c>
      <c r="P31" s="264">
        <f t="shared" si="9"/>
        <v>587705.73970438493</v>
      </c>
      <c r="Q31" s="264">
        <f t="shared" si="9"/>
        <v>623098.37457518745</v>
      </c>
      <c r="R31" s="264">
        <f t="shared" si="9"/>
        <v>492251.43527668528</v>
      </c>
      <c r="S31" s="264">
        <f t="shared" si="9"/>
        <v>537692.10275877966</v>
      </c>
      <c r="T31" s="264">
        <f t="shared" si="9"/>
        <v>663279.92149427021</v>
      </c>
      <c r="U31" s="264">
        <f t="shared" si="9"/>
        <v>796776.62215240044</v>
      </c>
      <c r="V31" s="264">
        <f t="shared" si="9"/>
        <v>988870.31807795563</v>
      </c>
      <c r="W31" s="264">
        <f t="shared" si="9"/>
        <v>1217979.9449330401</v>
      </c>
      <c r="X31" s="264">
        <f t="shared" si="9"/>
        <v>1295282.4841555071</v>
      </c>
      <c r="Y31" s="264">
        <f t="shared" si="9"/>
        <v>1390343.2327709133</v>
      </c>
      <c r="Z31" s="264">
        <f t="shared" si="9"/>
        <v>1665472.4727887823</v>
      </c>
      <c r="AA31" s="264">
        <f t="shared" si="9"/>
        <v>1474622.7623969589</v>
      </c>
      <c r="AB31" s="264">
        <f>SUM(AB26:AB30)</f>
        <v>1561368.1848184122</v>
      </c>
      <c r="AC31" s="264">
        <f t="shared" si="9"/>
        <v>1496493.6118159252</v>
      </c>
      <c r="AD31" s="264">
        <f t="shared" si="9"/>
        <v>116401.79670073744</v>
      </c>
      <c r="AE31" s="264">
        <f t="shared" si="9"/>
        <v>112949.35558779631</v>
      </c>
      <c r="AF31" s="264">
        <f t="shared" si="9"/>
        <v>253280.4710027948</v>
      </c>
      <c r="AG31" s="264">
        <f t="shared" si="9"/>
        <v>0</v>
      </c>
      <c r="AH31" s="264">
        <f t="shared" si="9"/>
        <v>0</v>
      </c>
      <c r="AI31" s="264">
        <f t="shared" si="9"/>
        <v>0</v>
      </c>
      <c r="AJ31" s="264">
        <f t="shared" si="9"/>
        <v>0</v>
      </c>
      <c r="AK31" s="264">
        <f t="shared" si="9"/>
        <v>0</v>
      </c>
      <c r="AL31" s="264">
        <f t="shared" si="9"/>
        <v>0</v>
      </c>
      <c r="AM31" s="264">
        <f t="shared" si="9"/>
        <v>0</v>
      </c>
      <c r="AN31" s="264">
        <f t="shared" si="9"/>
        <v>0</v>
      </c>
      <c r="AO31" s="264">
        <f t="shared" si="9"/>
        <v>0</v>
      </c>
      <c r="AP31" s="264">
        <f t="shared" si="9"/>
        <v>0</v>
      </c>
      <c r="AQ31" s="264">
        <f t="shared" si="9"/>
        <v>0</v>
      </c>
      <c r="AR31" s="264">
        <f t="shared" si="9"/>
        <v>0</v>
      </c>
      <c r="AS31" s="264">
        <f t="shared" si="9"/>
        <v>0</v>
      </c>
      <c r="AT31" s="264">
        <f t="shared" si="9"/>
        <v>0</v>
      </c>
      <c r="AU31" s="264">
        <f t="shared" si="9"/>
        <v>0</v>
      </c>
      <c r="AV31" s="264">
        <f t="shared" si="9"/>
        <v>0</v>
      </c>
      <c r="AW31" s="264">
        <f t="shared" si="9"/>
        <v>0</v>
      </c>
      <c r="AX31" s="264">
        <f t="shared" si="9"/>
        <v>0</v>
      </c>
      <c r="AY31" s="264">
        <f t="shared" si="9"/>
        <v>0</v>
      </c>
      <c r="AZ31" s="264">
        <f t="shared" si="9"/>
        <v>0</v>
      </c>
      <c r="BA31" s="264">
        <f t="shared" si="9"/>
        <v>0</v>
      </c>
      <c r="BB31" s="264">
        <f t="shared" si="9"/>
        <v>0</v>
      </c>
      <c r="BC31" s="264">
        <f t="shared" si="9"/>
        <v>0</v>
      </c>
      <c r="BD31" s="264">
        <f t="shared" si="9"/>
        <v>0</v>
      </c>
      <c r="BE31" s="264">
        <f t="shared" si="9"/>
        <v>0</v>
      </c>
      <c r="BF31" s="264">
        <f>SUM(BF26:BF30)</f>
        <v>0</v>
      </c>
      <c r="BG31" s="264">
        <f>SUM(BG26:BG30)</f>
        <v>0</v>
      </c>
      <c r="BH31" s="264">
        <f>SUM(BH26:BH30)</f>
        <v>0</v>
      </c>
    </row>
    <row r="32" spans="2:60" ht="15.6" x14ac:dyDescent="0.25">
      <c r="B32" s="207"/>
      <c r="C32" s="38"/>
      <c r="D32" s="403" t="s">
        <v>508</v>
      </c>
      <c r="E32" s="262">
        <f>SUM(F32:BH32)</f>
        <v>-2.9103830456733704E-10</v>
      </c>
      <c r="F32" s="264">
        <f>F16+F23-F31</f>
        <v>0</v>
      </c>
      <c r="G32" s="264">
        <f>G16+G23-G31</f>
        <v>13017825.595835879</v>
      </c>
      <c r="H32" s="264">
        <f>H16+H23-H31</f>
        <v>308721.20648781909</v>
      </c>
      <c r="I32" s="264">
        <f t="shared" ref="I32:BH32" si="10">I16+I23-I31</f>
        <v>118564.74078095739</v>
      </c>
      <c r="J32" s="264">
        <f t="shared" si="10"/>
        <v>227267.2834493019</v>
      </c>
      <c r="K32" s="264">
        <f t="shared" si="10"/>
        <v>235614.52027108555</v>
      </c>
      <c r="L32" s="264">
        <f t="shared" si="10"/>
        <v>78760.119391327054</v>
      </c>
      <c r="M32" s="264">
        <f t="shared" si="10"/>
        <v>-53517.261605640429</v>
      </c>
      <c r="N32" s="264">
        <f t="shared" si="10"/>
        <v>-378079.71859021171</v>
      </c>
      <c r="O32" s="264">
        <f t="shared" si="10"/>
        <v>-228467.33155446776</v>
      </c>
      <c r="P32" s="264">
        <f t="shared" si="10"/>
        <v>-541665.09495945461</v>
      </c>
      <c r="Q32" s="264">
        <f t="shared" si="10"/>
        <v>-597985.29562340747</v>
      </c>
      <c r="R32" s="264">
        <f t="shared" si="10"/>
        <v>-17447.126659743953</v>
      </c>
      <c r="S32" s="264">
        <f t="shared" si="10"/>
        <v>-519554.87907138281</v>
      </c>
      <c r="T32" s="264">
        <f t="shared" si="10"/>
        <v>-622819.96096084686</v>
      </c>
      <c r="U32" s="264">
        <f t="shared" si="10"/>
        <v>-749340.80635459372</v>
      </c>
      <c r="V32" s="264">
        <f t="shared" si="10"/>
        <v>-972128.26544343564</v>
      </c>
      <c r="W32" s="264">
        <f>W16+W23-W31</f>
        <v>-985136.62007666624</v>
      </c>
      <c r="X32" s="264">
        <f>X16+X23-X31</f>
        <v>-1252032.1815163302</v>
      </c>
      <c r="Y32" s="264">
        <f t="shared" si="10"/>
        <v>-1332491.8605229366</v>
      </c>
      <c r="Z32" s="264">
        <f t="shared" si="10"/>
        <v>-1623535.6320183184</v>
      </c>
      <c r="AA32" s="264">
        <f t="shared" si="10"/>
        <v>-1181970.7778546494</v>
      </c>
      <c r="AB32" s="264">
        <f t="shared" si="10"/>
        <v>-1523783.6203689815</v>
      </c>
      <c r="AC32" s="264">
        <f t="shared" si="10"/>
        <v>-1406797.0330353065</v>
      </c>
      <c r="AD32" s="264">
        <f t="shared" si="10"/>
        <v>0</v>
      </c>
      <c r="AE32" s="264">
        <f t="shared" si="10"/>
        <v>-5.2386894822120667E-10</v>
      </c>
      <c r="AF32" s="264">
        <f t="shared" si="10"/>
        <v>2.3283064365386963E-10</v>
      </c>
      <c r="AG32" s="264">
        <f t="shared" si="10"/>
        <v>0</v>
      </c>
      <c r="AH32" s="264">
        <f t="shared" si="10"/>
        <v>0</v>
      </c>
      <c r="AI32" s="264">
        <f t="shared" si="10"/>
        <v>0</v>
      </c>
      <c r="AJ32" s="264">
        <f t="shared" si="10"/>
        <v>0</v>
      </c>
      <c r="AK32" s="264">
        <f t="shared" si="10"/>
        <v>0</v>
      </c>
      <c r="AL32" s="264">
        <f t="shared" si="10"/>
        <v>0</v>
      </c>
      <c r="AM32" s="264">
        <f t="shared" si="10"/>
        <v>0</v>
      </c>
      <c r="AN32" s="264">
        <f t="shared" si="10"/>
        <v>0</v>
      </c>
      <c r="AO32" s="264">
        <f t="shared" si="10"/>
        <v>0</v>
      </c>
      <c r="AP32" s="264">
        <f t="shared" si="10"/>
        <v>0</v>
      </c>
      <c r="AQ32" s="264">
        <f t="shared" si="10"/>
        <v>0</v>
      </c>
      <c r="AR32" s="264">
        <f t="shared" si="10"/>
        <v>0</v>
      </c>
      <c r="AS32" s="264">
        <f t="shared" si="10"/>
        <v>0</v>
      </c>
      <c r="AT32" s="264">
        <f t="shared" si="10"/>
        <v>0</v>
      </c>
      <c r="AU32" s="264">
        <f t="shared" si="10"/>
        <v>0</v>
      </c>
      <c r="AV32" s="264">
        <f t="shared" si="10"/>
        <v>0</v>
      </c>
      <c r="AW32" s="264">
        <f t="shared" si="10"/>
        <v>0</v>
      </c>
      <c r="AX32" s="264">
        <f t="shared" si="10"/>
        <v>0</v>
      </c>
      <c r="AY32" s="264">
        <f t="shared" si="10"/>
        <v>0</v>
      </c>
      <c r="AZ32" s="264">
        <f t="shared" si="10"/>
        <v>0</v>
      </c>
      <c r="BA32" s="264">
        <f t="shared" si="10"/>
        <v>0</v>
      </c>
      <c r="BB32" s="264">
        <f t="shared" si="10"/>
        <v>0</v>
      </c>
      <c r="BC32" s="264">
        <f t="shared" si="10"/>
        <v>0</v>
      </c>
      <c r="BD32" s="264">
        <f t="shared" si="10"/>
        <v>0</v>
      </c>
      <c r="BE32" s="264">
        <f>BE16+BE23-BE31</f>
        <v>0</v>
      </c>
      <c r="BF32" s="264">
        <f t="shared" si="10"/>
        <v>0</v>
      </c>
      <c r="BG32" s="264">
        <f t="shared" si="10"/>
        <v>0</v>
      </c>
      <c r="BH32" s="264">
        <f t="shared" si="10"/>
        <v>0</v>
      </c>
    </row>
    <row r="33" spans="2:60" ht="14.25" customHeight="1" x14ac:dyDescent="0.25">
      <c r="B33" s="404"/>
      <c r="C33" s="397" t="s">
        <v>495</v>
      </c>
      <c r="D33" s="388" t="s">
        <v>496</v>
      </c>
      <c r="E33" s="398"/>
      <c r="F33" s="398"/>
      <c r="G33" s="398">
        <f>F24+F33-F31</f>
        <v>0</v>
      </c>
      <c r="H33" s="398">
        <f>G24+G33-G31</f>
        <v>13017825.595835879</v>
      </c>
      <c r="I33" s="398">
        <f>H24+H33-H31</f>
        <v>13326546.802323699</v>
      </c>
      <c r="J33" s="398">
        <f t="shared" ref="J33:BH33" si="11">I24+I33-I31</f>
        <v>13445111.543104656</v>
      </c>
      <c r="K33" s="398">
        <f t="shared" si="11"/>
        <v>13672378.826553959</v>
      </c>
      <c r="L33" s="398">
        <f t="shared" si="11"/>
        <v>13907993.346825045</v>
      </c>
      <c r="M33" s="398">
        <f t="shared" si="11"/>
        <v>13986753.466216372</v>
      </c>
      <c r="N33" s="398">
        <f t="shared" si="11"/>
        <v>13933236.204610733</v>
      </c>
      <c r="O33" s="398">
        <f t="shared" si="11"/>
        <v>13555156.486020522</v>
      </c>
      <c r="P33" s="398">
        <f t="shared" si="11"/>
        <v>13326689.154466055</v>
      </c>
      <c r="Q33" s="398">
        <f t="shared" si="11"/>
        <v>12785024.059506601</v>
      </c>
      <c r="R33" s="398">
        <f t="shared" si="11"/>
        <v>12187038.763883192</v>
      </c>
      <c r="S33" s="398">
        <f t="shared" si="11"/>
        <v>12169591.637223449</v>
      </c>
      <c r="T33" s="398">
        <f t="shared" si="11"/>
        <v>11650036.758152066</v>
      </c>
      <c r="U33" s="398">
        <f t="shared" si="11"/>
        <v>11027216.797191219</v>
      </c>
      <c r="V33" s="398">
        <f t="shared" si="11"/>
        <v>10277875.990836626</v>
      </c>
      <c r="W33" s="398">
        <f>V24+V33-V31</f>
        <v>9305747.725393191</v>
      </c>
      <c r="X33" s="398">
        <f t="shared" si="11"/>
        <v>8320611.1053165253</v>
      </c>
      <c r="Y33" s="398">
        <f t="shared" si="11"/>
        <v>7068578.9238001956</v>
      </c>
      <c r="Z33" s="398">
        <f t="shared" si="11"/>
        <v>5736087.0632772595</v>
      </c>
      <c r="AA33" s="398">
        <f t="shared" si="11"/>
        <v>4112551.4312589406</v>
      </c>
      <c r="AB33" s="398">
        <f t="shared" si="11"/>
        <v>2930580.6534042917</v>
      </c>
      <c r="AC33" s="398">
        <f t="shared" si="11"/>
        <v>1406797.0330353105</v>
      </c>
      <c r="AD33" s="398">
        <f t="shared" si="11"/>
        <v>3.9581209421157837E-9</v>
      </c>
      <c r="AE33" s="398">
        <f t="shared" si="11"/>
        <v>3.9435690268874168E-9</v>
      </c>
      <c r="AF33" s="398">
        <f t="shared" si="11"/>
        <v>3.4197000786662102E-9</v>
      </c>
      <c r="AG33" s="398">
        <f t="shared" si="11"/>
        <v>3.6670826375484467E-9</v>
      </c>
      <c r="AH33" s="398">
        <f t="shared" si="11"/>
        <v>3.6670826375484467E-9</v>
      </c>
      <c r="AI33" s="398">
        <f t="shared" si="11"/>
        <v>3.6670826375484467E-9</v>
      </c>
      <c r="AJ33" s="398">
        <f t="shared" si="11"/>
        <v>3.6670826375484467E-9</v>
      </c>
      <c r="AK33" s="398">
        <f t="shared" si="11"/>
        <v>3.6670826375484467E-9</v>
      </c>
      <c r="AL33" s="398">
        <f t="shared" si="11"/>
        <v>3.6670826375484467E-9</v>
      </c>
      <c r="AM33" s="398">
        <f t="shared" si="11"/>
        <v>3.6670826375484467E-9</v>
      </c>
      <c r="AN33" s="398">
        <f t="shared" si="11"/>
        <v>3.6670826375484467E-9</v>
      </c>
      <c r="AO33" s="398">
        <f t="shared" si="11"/>
        <v>3.6670826375484467E-9</v>
      </c>
      <c r="AP33" s="398">
        <f t="shared" si="11"/>
        <v>3.6670826375484467E-9</v>
      </c>
      <c r="AQ33" s="398">
        <f t="shared" si="11"/>
        <v>3.6670826375484467E-9</v>
      </c>
      <c r="AR33" s="398">
        <f t="shared" si="11"/>
        <v>3.6670826375484467E-9</v>
      </c>
      <c r="AS33" s="398">
        <f t="shared" si="11"/>
        <v>3.6670826375484467E-9</v>
      </c>
      <c r="AT33" s="398">
        <f t="shared" si="11"/>
        <v>3.6670826375484467E-9</v>
      </c>
      <c r="AU33" s="398">
        <f t="shared" si="11"/>
        <v>3.6670826375484467E-9</v>
      </c>
      <c r="AV33" s="398">
        <f t="shared" si="11"/>
        <v>3.6670826375484467E-9</v>
      </c>
      <c r="AW33" s="398">
        <f t="shared" si="11"/>
        <v>3.6670826375484467E-9</v>
      </c>
      <c r="AX33" s="398">
        <f t="shared" si="11"/>
        <v>3.6670826375484467E-9</v>
      </c>
      <c r="AY33" s="398">
        <f t="shared" si="11"/>
        <v>3.6670826375484467E-9</v>
      </c>
      <c r="AZ33" s="398">
        <f t="shared" si="11"/>
        <v>3.6670826375484467E-9</v>
      </c>
      <c r="BA33" s="398">
        <f t="shared" si="11"/>
        <v>3.6670826375484467E-9</v>
      </c>
      <c r="BB33" s="398">
        <f t="shared" si="11"/>
        <v>3.6670826375484467E-9</v>
      </c>
      <c r="BC33" s="398">
        <f t="shared" si="11"/>
        <v>3.6670826375484467E-9</v>
      </c>
      <c r="BD33" s="398">
        <f t="shared" si="11"/>
        <v>3.6670826375484467E-9</v>
      </c>
      <c r="BE33" s="398">
        <f t="shared" si="11"/>
        <v>3.6670826375484467E-9</v>
      </c>
      <c r="BF33" s="398">
        <f t="shared" si="11"/>
        <v>3.6670826375484467E-9</v>
      </c>
      <c r="BG33" s="398">
        <f t="shared" si="11"/>
        <v>3.6670826375484467E-9</v>
      </c>
      <c r="BH33" s="398">
        <f t="shared" si="11"/>
        <v>3.6670826375484467E-9</v>
      </c>
    </row>
    <row r="34" spans="2:60" ht="29.25" customHeight="1" x14ac:dyDescent="0.25"/>
    <row r="35" spans="2:60" ht="15.6" x14ac:dyDescent="0.3">
      <c r="B35" s="146" t="s">
        <v>193</v>
      </c>
      <c r="C35" s="144"/>
    </row>
    <row r="36" spans="2:60" x14ac:dyDescent="0.25">
      <c r="B36" s="212"/>
      <c r="C36" s="213"/>
    </row>
    <row r="37" spans="2:60" x14ac:dyDescent="0.25">
      <c r="B37" s="214" t="s">
        <v>123</v>
      </c>
      <c r="C37" s="215">
        <v>35322</v>
      </c>
    </row>
    <row r="38" spans="2:60" x14ac:dyDescent="0.25">
      <c r="B38" s="214" t="s">
        <v>145</v>
      </c>
      <c r="C38" s="440">
        <f>E11</f>
        <v>1759310.697677481</v>
      </c>
    </row>
  </sheetData>
  <mergeCells count="1">
    <mergeCell ref="F7:BH7"/>
  </mergeCells>
  <pageMargins left="0.23622047244094491" right="0.23622047244094491" top="0.74803149606299213" bottom="0.74803149606299213" header="0.31496062992125984" footer="0.31496062992125984"/>
  <pageSetup paperSize="9" scale="22" orientation="landscape" r:id="rId1"/>
  <headerFooter alignWithMargins="0">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pageSetUpPr fitToPage="1"/>
  </sheetPr>
  <dimension ref="B1:E34"/>
  <sheetViews>
    <sheetView zoomScale="80" zoomScaleNormal="80" workbookViewId="0"/>
  </sheetViews>
  <sheetFormatPr defaultColWidth="9" defaultRowHeight="13.2" x14ac:dyDescent="0.25"/>
  <cols>
    <col min="1" max="1" width="12" style="30" customWidth="1"/>
    <col min="2" max="2" width="20.8984375" style="30" customWidth="1"/>
    <col min="3" max="3" width="42.19921875" style="30" customWidth="1"/>
    <col min="4" max="5" width="20.5" style="30" customWidth="1"/>
    <col min="6" max="6" width="9.3984375" style="30" customWidth="1"/>
    <col min="7" max="7" width="25" style="30" customWidth="1"/>
    <col min="8" max="16384" width="9" style="30"/>
  </cols>
  <sheetData>
    <row r="1" spans="2:5" ht="21" x14ac:dyDescent="0.4">
      <c r="B1" s="518" t="s">
        <v>176</v>
      </c>
      <c r="C1" s="518"/>
      <c r="D1" s="18"/>
      <c r="E1" s="18"/>
    </row>
    <row r="2" spans="2:5" ht="21" x14ac:dyDescent="0.4">
      <c r="B2" s="46" t="str">
        <f>Tradingname</f>
        <v>Southern Cross Pipelines Australia Pty Limited</v>
      </c>
      <c r="C2" s="47"/>
      <c r="D2" s="31"/>
      <c r="E2" s="31"/>
    </row>
    <row r="3" spans="2:5" ht="15.75" customHeight="1" x14ac:dyDescent="0.55000000000000004">
      <c r="B3" s="48" t="s">
        <v>157</v>
      </c>
      <c r="C3" s="49">
        <f>Yearending</f>
        <v>44742</v>
      </c>
      <c r="E3" s="42"/>
    </row>
    <row r="4" spans="2:5" ht="21" x14ac:dyDescent="0.4">
      <c r="B4" s="17"/>
    </row>
    <row r="5" spans="2:5" ht="15.6" x14ac:dyDescent="0.3">
      <c r="B5" s="34" t="s">
        <v>196</v>
      </c>
      <c r="C5" s="32"/>
      <c r="D5" s="32"/>
      <c r="E5" s="32"/>
    </row>
    <row r="6" spans="2:5" ht="15.6" x14ac:dyDescent="0.3">
      <c r="B6" s="34"/>
      <c r="C6" s="32"/>
      <c r="D6" s="32"/>
      <c r="E6" s="32"/>
    </row>
    <row r="7" spans="2:5" ht="26.4" x14ac:dyDescent="0.25">
      <c r="B7" s="179" t="s">
        <v>194</v>
      </c>
      <c r="C7" s="179" t="s">
        <v>149</v>
      </c>
      <c r="D7" s="179" t="s">
        <v>150</v>
      </c>
      <c r="E7" s="179" t="s">
        <v>183</v>
      </c>
    </row>
    <row r="8" spans="2:5" x14ac:dyDescent="0.25">
      <c r="B8" s="240"/>
      <c r="C8" s="240"/>
      <c r="D8" s="241"/>
      <c r="E8" s="302"/>
    </row>
    <row r="9" spans="2:5" x14ac:dyDescent="0.25">
      <c r="B9" s="240"/>
      <c r="C9" s="240"/>
      <c r="D9" s="241"/>
      <c r="E9" s="302"/>
    </row>
    <row r="10" spans="2:5" x14ac:dyDescent="0.25">
      <c r="B10" s="240"/>
      <c r="C10" s="240"/>
      <c r="D10" s="241"/>
      <c r="E10" s="302"/>
    </row>
    <row r="11" spans="2:5" x14ac:dyDescent="0.25">
      <c r="B11" s="240"/>
      <c r="C11" s="240"/>
      <c r="D11" s="241"/>
      <c r="E11" s="302"/>
    </row>
    <row r="12" spans="2:5" x14ac:dyDescent="0.25">
      <c r="B12" s="240"/>
      <c r="C12" s="240"/>
      <c r="D12" s="241"/>
      <c r="E12" s="302"/>
    </row>
    <row r="13" spans="2:5" x14ac:dyDescent="0.25">
      <c r="B13" s="240"/>
      <c r="C13" s="240"/>
      <c r="D13" s="241"/>
      <c r="E13" s="302"/>
    </row>
    <row r="14" spans="2:5" x14ac:dyDescent="0.25">
      <c r="B14" s="240"/>
      <c r="C14" s="240"/>
      <c r="D14" s="241"/>
      <c r="E14" s="302"/>
    </row>
    <row r="15" spans="2:5" x14ac:dyDescent="0.25">
      <c r="B15" s="240"/>
      <c r="C15" s="240"/>
      <c r="D15" s="241"/>
      <c r="E15" s="302"/>
    </row>
    <row r="16" spans="2:5" x14ac:dyDescent="0.25">
      <c r="B16" s="240"/>
      <c r="C16" s="240"/>
      <c r="D16" s="241"/>
      <c r="E16" s="302"/>
    </row>
    <row r="17" spans="2:5" x14ac:dyDescent="0.25">
      <c r="B17" s="240"/>
      <c r="C17" s="240"/>
      <c r="D17" s="241"/>
      <c r="E17" s="302"/>
    </row>
    <row r="18" spans="2:5" x14ac:dyDescent="0.25">
      <c r="B18" s="240"/>
      <c r="C18" s="240"/>
      <c r="D18" s="241"/>
      <c r="E18" s="302"/>
    </row>
    <row r="19" spans="2:5" x14ac:dyDescent="0.25">
      <c r="B19" s="240"/>
      <c r="C19" s="240"/>
      <c r="D19" s="241"/>
      <c r="E19" s="302"/>
    </row>
    <row r="20" spans="2:5" x14ac:dyDescent="0.25">
      <c r="B20" s="240"/>
      <c r="C20" s="240"/>
      <c r="D20" s="241"/>
      <c r="E20" s="302"/>
    </row>
    <row r="21" spans="2:5" x14ac:dyDescent="0.25">
      <c r="B21" s="240"/>
      <c r="C21" s="240"/>
      <c r="D21" s="241"/>
      <c r="E21" s="302"/>
    </row>
    <row r="22" spans="2:5" x14ac:dyDescent="0.25">
      <c r="B22" s="240"/>
      <c r="C22" s="240"/>
      <c r="D22" s="241"/>
      <c r="E22" s="302"/>
    </row>
    <row r="23" spans="2:5" x14ac:dyDescent="0.25">
      <c r="B23" s="240"/>
      <c r="C23" s="240"/>
      <c r="D23" s="241"/>
      <c r="E23" s="302"/>
    </row>
    <row r="24" spans="2:5" x14ac:dyDescent="0.25">
      <c r="B24" s="240"/>
      <c r="C24" s="240"/>
      <c r="D24" s="241"/>
      <c r="E24" s="302"/>
    </row>
    <row r="25" spans="2:5" x14ac:dyDescent="0.25">
      <c r="B25" s="240"/>
      <c r="C25" s="240"/>
      <c r="D25" s="241"/>
      <c r="E25" s="302"/>
    </row>
    <row r="26" spans="2:5" x14ac:dyDescent="0.25">
      <c r="B26" s="240"/>
      <c r="C26" s="240"/>
      <c r="D26" s="241"/>
      <c r="E26" s="302"/>
    </row>
    <row r="27" spans="2:5" x14ac:dyDescent="0.25">
      <c r="B27" s="240"/>
      <c r="C27" s="240"/>
      <c r="D27" s="241"/>
      <c r="E27" s="302"/>
    </row>
    <row r="28" spans="2:5" x14ac:dyDescent="0.25">
      <c r="B28" s="240"/>
      <c r="C28" s="240"/>
      <c r="D28" s="241"/>
      <c r="E28" s="302"/>
    </row>
    <row r="29" spans="2:5" x14ac:dyDescent="0.25">
      <c r="B29" s="240"/>
      <c r="C29" s="240"/>
      <c r="D29" s="241"/>
      <c r="E29" s="302"/>
    </row>
    <row r="30" spans="2:5" x14ac:dyDescent="0.25">
      <c r="B30" s="240"/>
      <c r="C30" s="240"/>
      <c r="D30" s="241"/>
      <c r="E30" s="302"/>
    </row>
    <row r="31" spans="2:5" x14ac:dyDescent="0.25">
      <c r="B31" s="240"/>
      <c r="C31" s="240"/>
      <c r="D31" s="241"/>
      <c r="E31" s="302"/>
    </row>
    <row r="32" spans="2:5" x14ac:dyDescent="0.25">
      <c r="B32" s="240"/>
      <c r="C32" s="240"/>
      <c r="D32" s="241"/>
      <c r="E32" s="302"/>
    </row>
    <row r="33" spans="2:5" x14ac:dyDescent="0.25">
      <c r="B33" s="240"/>
      <c r="C33" s="240"/>
      <c r="D33" s="241"/>
      <c r="E33" s="302"/>
    </row>
    <row r="34" spans="2:5" x14ac:dyDescent="0.25">
      <c r="B34" s="240"/>
      <c r="C34" s="240"/>
      <c r="D34" s="241"/>
      <c r="E34" s="302"/>
    </row>
  </sheetData>
  <mergeCells count="1">
    <mergeCell ref="B1:C1"/>
  </mergeCells>
  <pageMargins left="0.23622047244094491" right="0.23622047244094491" top="0.74803149606299213" bottom="0.74803149606299213" header="0.31496062992125984" footer="0.31496062992125984"/>
  <pageSetup paperSize="9" scale="97" orientation="landscape" r:id="rId1"/>
  <headerFooter alignWithMargins="0">
    <oddFooter>&amp;A&amp;RPage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01FB-381F-4D4E-B06C-C84C30050E9B}">
  <sheetPr>
    <tabColor rgb="FFFF0000"/>
  </sheetPr>
  <dimension ref="A1"/>
  <sheetViews>
    <sheetView zoomScale="120" zoomScaleNormal="120" workbookViewId="0">
      <selection activeCell="G1" sqref="G1"/>
    </sheetView>
  </sheetViews>
  <sheetFormatPr defaultRowHeight="13.8" x14ac:dyDescent="0.25"/>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pageSetUpPr fitToPage="1"/>
  </sheetPr>
  <dimension ref="B1:BJ111"/>
  <sheetViews>
    <sheetView zoomScale="80" zoomScaleNormal="80" workbookViewId="0"/>
  </sheetViews>
  <sheetFormatPr defaultColWidth="9" defaultRowHeight="13.2" x14ac:dyDescent="0.25"/>
  <cols>
    <col min="1" max="1" width="11.59765625" style="19" customWidth="1"/>
    <col min="2" max="2" width="28.59765625" style="19" customWidth="1"/>
    <col min="3" max="3" width="33.09765625" style="19" customWidth="1"/>
    <col min="4" max="4" width="20.19921875" style="19" customWidth="1"/>
    <col min="5" max="5" width="24.59765625" style="144" customWidth="1"/>
    <col min="6" max="16384" width="9" style="19"/>
  </cols>
  <sheetData>
    <row r="1" spans="2:62" ht="21" x14ac:dyDescent="0.4">
      <c r="B1" s="520" t="s">
        <v>177</v>
      </c>
      <c r="C1" s="520"/>
      <c r="D1" s="540"/>
    </row>
    <row r="2" spans="2:62" ht="13.8" x14ac:dyDescent="0.25">
      <c r="B2" s="234" t="str">
        <f>Tradingname</f>
        <v>Southern Cross Pipelines Australia Pty Limited</v>
      </c>
      <c r="C2" s="235"/>
    </row>
    <row r="3" spans="2:62" ht="13.8" x14ac:dyDescent="0.25">
      <c r="B3" s="236" t="s">
        <v>481</v>
      </c>
      <c r="C3" s="237">
        <f>Yearending</f>
        <v>44742</v>
      </c>
    </row>
    <row r="5" spans="2:62" ht="15.6" x14ac:dyDescent="0.25">
      <c r="B5" s="511" t="s">
        <v>179</v>
      </c>
      <c r="C5" s="511"/>
      <c r="D5" s="511"/>
      <c r="E5" s="272"/>
    </row>
    <row r="7" spans="2:62" s="219" customFormat="1" ht="13.2" customHeight="1" x14ac:dyDescent="0.25">
      <c r="B7" s="544" t="s">
        <v>358</v>
      </c>
      <c r="C7" s="547" t="s">
        <v>30</v>
      </c>
      <c r="D7" s="277"/>
      <c r="E7" s="544" t="s">
        <v>359</v>
      </c>
      <c r="F7" s="553" t="s">
        <v>89</v>
      </c>
      <c r="G7" s="554"/>
      <c r="H7" s="554"/>
      <c r="I7" s="554"/>
      <c r="J7" s="554"/>
      <c r="K7" s="555"/>
      <c r="L7" s="559" t="s">
        <v>90</v>
      </c>
      <c r="M7" s="560"/>
      <c r="N7" s="560"/>
      <c r="O7" s="560"/>
      <c r="P7" s="560"/>
      <c r="Q7" s="560"/>
      <c r="R7" s="561"/>
      <c r="S7" s="541" t="s">
        <v>91</v>
      </c>
      <c r="T7" s="542"/>
      <c r="U7" s="542"/>
      <c r="V7" s="542"/>
      <c r="W7" s="542"/>
      <c r="X7" s="542"/>
      <c r="Y7" s="542"/>
      <c r="Z7" s="542"/>
      <c r="AA7" s="542"/>
      <c r="AB7" s="542"/>
      <c r="AC7" s="542"/>
      <c r="AD7" s="542"/>
      <c r="AE7" s="542"/>
      <c r="AF7" s="542"/>
      <c r="AG7" s="542"/>
      <c r="AH7" s="542"/>
      <c r="AI7" s="542"/>
      <c r="AJ7" s="542"/>
      <c r="AK7" s="543"/>
      <c r="AL7" s="529" t="s">
        <v>92</v>
      </c>
      <c r="AM7" s="530"/>
      <c r="AN7" s="530"/>
      <c r="AO7" s="530"/>
      <c r="AP7" s="530"/>
      <c r="AQ7" s="530"/>
      <c r="AR7" s="530"/>
      <c r="AS7" s="530"/>
      <c r="AT7" s="530"/>
      <c r="AU7" s="530"/>
      <c r="AV7" s="530"/>
      <c r="AW7" s="530"/>
      <c r="AX7" s="530"/>
      <c r="AY7" s="530"/>
      <c r="AZ7" s="530"/>
      <c r="BA7" s="530"/>
      <c r="BB7" s="530"/>
      <c r="BC7" s="530"/>
      <c r="BD7" s="530"/>
      <c r="BE7" s="530"/>
      <c r="BF7" s="530"/>
      <c r="BG7" s="530"/>
      <c r="BH7" s="530"/>
      <c r="BI7" s="530"/>
      <c r="BJ7" s="531"/>
    </row>
    <row r="8" spans="2:62" s="220" customFormat="1" ht="26.25" customHeight="1" x14ac:dyDescent="0.25">
      <c r="B8" s="545"/>
      <c r="C8" s="548"/>
      <c r="D8" s="278"/>
      <c r="E8" s="545"/>
      <c r="F8" s="556"/>
      <c r="G8" s="557"/>
      <c r="H8" s="557"/>
      <c r="I8" s="557"/>
      <c r="J8" s="557"/>
      <c r="K8" s="558"/>
      <c r="L8" s="562"/>
      <c r="M8" s="563"/>
      <c r="N8" s="563"/>
      <c r="O8" s="563"/>
      <c r="P8" s="563"/>
      <c r="Q8" s="563"/>
      <c r="R8" s="563"/>
      <c r="S8" s="275"/>
      <c r="T8" s="542" t="s">
        <v>93</v>
      </c>
      <c r="U8" s="542"/>
      <c r="V8" s="542"/>
      <c r="W8" s="542"/>
      <c r="X8" s="542"/>
      <c r="Y8" s="543"/>
      <c r="Z8" s="551" t="s">
        <v>94</v>
      </c>
      <c r="AA8" s="551"/>
      <c r="AB8" s="551"/>
      <c r="AC8" s="551"/>
      <c r="AD8" s="551"/>
      <c r="AE8" s="552"/>
      <c r="AF8" s="550" t="s">
        <v>95</v>
      </c>
      <c r="AG8" s="551"/>
      <c r="AH8" s="551"/>
      <c r="AI8" s="551"/>
      <c r="AJ8" s="551"/>
      <c r="AK8" s="552"/>
      <c r="AL8" s="280"/>
      <c r="AM8" s="532" t="s">
        <v>96</v>
      </c>
      <c r="AN8" s="533"/>
      <c r="AO8" s="533"/>
      <c r="AP8" s="533"/>
      <c r="AQ8" s="533"/>
      <c r="AR8" s="534"/>
      <c r="AS8" s="532" t="s">
        <v>97</v>
      </c>
      <c r="AT8" s="533"/>
      <c r="AU8" s="533"/>
      <c r="AV8" s="533"/>
      <c r="AW8" s="533"/>
      <c r="AX8" s="534"/>
      <c r="AY8" s="532" t="s">
        <v>98</v>
      </c>
      <c r="AZ8" s="533"/>
      <c r="BA8" s="533"/>
      <c r="BB8" s="533"/>
      <c r="BC8" s="533"/>
      <c r="BD8" s="534"/>
      <c r="BE8" s="532" t="s">
        <v>99</v>
      </c>
      <c r="BF8" s="533"/>
      <c r="BG8" s="533"/>
      <c r="BH8" s="533"/>
      <c r="BI8" s="533"/>
      <c r="BJ8" s="534"/>
    </row>
    <row r="9" spans="2:62" s="220" customFormat="1" ht="46.2" x14ac:dyDescent="0.25">
      <c r="B9" s="545"/>
      <c r="C9" s="548"/>
      <c r="D9" s="278" t="s">
        <v>20</v>
      </c>
      <c r="E9" s="545"/>
      <c r="F9" s="536" t="s">
        <v>100</v>
      </c>
      <c r="G9" s="536"/>
      <c r="H9" s="536"/>
      <c r="I9" s="535" t="s">
        <v>101</v>
      </c>
      <c r="J9" s="535"/>
      <c r="K9" s="535"/>
      <c r="L9" s="276" t="s">
        <v>102</v>
      </c>
      <c r="M9" s="536" t="s">
        <v>84</v>
      </c>
      <c r="N9" s="536"/>
      <c r="O9" s="536"/>
      <c r="P9" s="535" t="s">
        <v>85</v>
      </c>
      <c r="Q9" s="535"/>
      <c r="R9" s="535"/>
      <c r="S9" s="276" t="s">
        <v>103</v>
      </c>
      <c r="T9" s="536" t="s">
        <v>84</v>
      </c>
      <c r="U9" s="536"/>
      <c r="V9" s="536"/>
      <c r="W9" s="535" t="s">
        <v>85</v>
      </c>
      <c r="X9" s="535"/>
      <c r="Y9" s="535"/>
      <c r="Z9" s="536" t="s">
        <v>84</v>
      </c>
      <c r="AA9" s="536"/>
      <c r="AB9" s="536"/>
      <c r="AC9" s="535" t="s">
        <v>85</v>
      </c>
      <c r="AD9" s="535"/>
      <c r="AE9" s="535"/>
      <c r="AF9" s="536" t="s">
        <v>84</v>
      </c>
      <c r="AG9" s="536"/>
      <c r="AH9" s="536"/>
      <c r="AI9" s="535" t="s">
        <v>85</v>
      </c>
      <c r="AJ9" s="535"/>
      <c r="AK9" s="535"/>
      <c r="AL9" s="276" t="s">
        <v>104</v>
      </c>
      <c r="AM9" s="536" t="s">
        <v>84</v>
      </c>
      <c r="AN9" s="536"/>
      <c r="AO9" s="536"/>
      <c r="AP9" s="535" t="s">
        <v>85</v>
      </c>
      <c r="AQ9" s="535"/>
      <c r="AR9" s="535"/>
      <c r="AS9" s="536" t="s">
        <v>84</v>
      </c>
      <c r="AT9" s="536"/>
      <c r="AU9" s="536"/>
      <c r="AV9" s="535" t="s">
        <v>85</v>
      </c>
      <c r="AW9" s="535"/>
      <c r="AX9" s="535"/>
      <c r="AY9" s="536" t="s">
        <v>84</v>
      </c>
      <c r="AZ9" s="536"/>
      <c r="BA9" s="536"/>
      <c r="BB9" s="535" t="s">
        <v>85</v>
      </c>
      <c r="BC9" s="535"/>
      <c r="BD9" s="535"/>
      <c r="BE9" s="536" t="s">
        <v>84</v>
      </c>
      <c r="BF9" s="536"/>
      <c r="BG9" s="536"/>
      <c r="BH9" s="535" t="s">
        <v>85</v>
      </c>
      <c r="BI9" s="535"/>
      <c r="BJ9" s="535"/>
    </row>
    <row r="10" spans="2:62" s="220" customFormat="1" ht="32.25" customHeight="1" x14ac:dyDescent="0.25">
      <c r="B10" s="546"/>
      <c r="C10" s="549"/>
      <c r="D10" s="279" t="s">
        <v>152</v>
      </c>
      <c r="E10" s="546"/>
      <c r="F10" s="350" t="s">
        <v>360</v>
      </c>
      <c r="G10" s="350" t="s">
        <v>361</v>
      </c>
      <c r="H10" s="350" t="s">
        <v>362</v>
      </c>
      <c r="I10" s="350" t="s">
        <v>360</v>
      </c>
      <c r="J10" s="350" t="s">
        <v>363</v>
      </c>
      <c r="K10" s="350" t="s">
        <v>362</v>
      </c>
      <c r="L10" s="351" t="s">
        <v>364</v>
      </c>
      <c r="M10" s="352" t="s">
        <v>365</v>
      </c>
      <c r="N10" s="352" t="s">
        <v>361</v>
      </c>
      <c r="O10" s="352" t="s">
        <v>362</v>
      </c>
      <c r="P10" s="352" t="s">
        <v>365</v>
      </c>
      <c r="Q10" s="352" t="s">
        <v>363</v>
      </c>
      <c r="R10" s="352" t="s">
        <v>362</v>
      </c>
      <c r="S10" s="353" t="s">
        <v>152</v>
      </c>
      <c r="T10" s="353" t="s">
        <v>365</v>
      </c>
      <c r="U10" s="353" t="s">
        <v>361</v>
      </c>
      <c r="V10" s="353" t="s">
        <v>362</v>
      </c>
      <c r="W10" s="353" t="s">
        <v>365</v>
      </c>
      <c r="X10" s="353" t="s">
        <v>153</v>
      </c>
      <c r="Y10" s="353" t="s">
        <v>362</v>
      </c>
      <c r="Z10" s="353" t="s">
        <v>360</v>
      </c>
      <c r="AA10" s="353" t="s">
        <v>361</v>
      </c>
      <c r="AB10" s="353" t="s">
        <v>362</v>
      </c>
      <c r="AC10" s="353" t="s">
        <v>360</v>
      </c>
      <c r="AD10" s="353" t="s">
        <v>153</v>
      </c>
      <c r="AE10" s="353" t="s">
        <v>362</v>
      </c>
      <c r="AF10" s="353" t="s">
        <v>365</v>
      </c>
      <c r="AG10" s="353" t="s">
        <v>361</v>
      </c>
      <c r="AH10" s="353" t="s">
        <v>362</v>
      </c>
      <c r="AI10" s="353" t="s">
        <v>365</v>
      </c>
      <c r="AJ10" s="353" t="s">
        <v>153</v>
      </c>
      <c r="AK10" s="353" t="s">
        <v>362</v>
      </c>
      <c r="AL10" s="354" t="s">
        <v>152</v>
      </c>
      <c r="AM10" s="354" t="s">
        <v>360</v>
      </c>
      <c r="AN10" s="354" t="s">
        <v>361</v>
      </c>
      <c r="AO10" s="354" t="s">
        <v>362</v>
      </c>
      <c r="AP10" s="354" t="s">
        <v>360</v>
      </c>
      <c r="AQ10" s="354" t="s">
        <v>363</v>
      </c>
      <c r="AR10" s="354" t="s">
        <v>362</v>
      </c>
      <c r="AS10" s="354" t="s">
        <v>365</v>
      </c>
      <c r="AT10" s="354" t="s">
        <v>361</v>
      </c>
      <c r="AU10" s="354" t="s">
        <v>362</v>
      </c>
      <c r="AV10" s="354" t="s">
        <v>365</v>
      </c>
      <c r="AW10" s="354" t="s">
        <v>363</v>
      </c>
      <c r="AX10" s="354" t="s">
        <v>362</v>
      </c>
      <c r="AY10" s="354" t="s">
        <v>365</v>
      </c>
      <c r="AZ10" s="354" t="s">
        <v>361</v>
      </c>
      <c r="BA10" s="354" t="s">
        <v>362</v>
      </c>
      <c r="BB10" s="354" t="s">
        <v>365</v>
      </c>
      <c r="BC10" s="354" t="s">
        <v>363</v>
      </c>
      <c r="BD10" s="354" t="s">
        <v>362</v>
      </c>
      <c r="BE10" s="354" t="s">
        <v>360</v>
      </c>
      <c r="BF10" s="354" t="s">
        <v>361</v>
      </c>
      <c r="BG10" s="354" t="s">
        <v>362</v>
      </c>
      <c r="BH10" s="354" t="s">
        <v>360</v>
      </c>
      <c r="BI10" s="354" t="s">
        <v>153</v>
      </c>
      <c r="BJ10" s="354" t="s">
        <v>362</v>
      </c>
    </row>
    <row r="11" spans="2:62" s="220" customFormat="1" x14ac:dyDescent="0.25">
      <c r="B11" s="271"/>
      <c r="C11" s="225" t="s">
        <v>31</v>
      </c>
      <c r="D11" s="257"/>
      <c r="E11" s="257"/>
      <c r="F11" s="537"/>
      <c r="G11" s="538"/>
      <c r="H11" s="538"/>
      <c r="I11" s="538"/>
      <c r="J11" s="538"/>
      <c r="K11" s="539"/>
      <c r="L11" s="355"/>
      <c r="M11" s="355"/>
      <c r="N11" s="355"/>
      <c r="O11" s="355"/>
      <c r="P11" s="355"/>
      <c r="Q11" s="355"/>
      <c r="R11" s="355"/>
      <c r="S11" s="356"/>
      <c r="T11" s="357"/>
      <c r="U11" s="356"/>
      <c r="V11" s="356"/>
      <c r="W11" s="356"/>
      <c r="X11" s="356"/>
      <c r="Y11" s="358"/>
      <c r="Z11" s="357"/>
      <c r="AA11" s="356"/>
      <c r="AB11" s="356"/>
      <c r="AC11" s="356"/>
      <c r="AD11" s="356"/>
      <c r="AE11" s="358"/>
      <c r="AF11" s="357"/>
      <c r="AG11" s="356"/>
      <c r="AH11" s="356"/>
      <c r="AI11" s="356"/>
      <c r="AJ11" s="356"/>
      <c r="AK11" s="358"/>
      <c r="AL11" s="359"/>
      <c r="AM11" s="360"/>
      <c r="AN11" s="359"/>
      <c r="AO11" s="359"/>
      <c r="AP11" s="359"/>
      <c r="AQ11" s="359"/>
      <c r="AR11" s="361"/>
      <c r="AS11" s="360"/>
      <c r="AT11" s="359"/>
      <c r="AU11" s="359"/>
      <c r="AV11" s="359"/>
      <c r="AW11" s="359"/>
      <c r="AX11" s="361"/>
      <c r="AY11" s="360"/>
      <c r="AZ11" s="359"/>
      <c r="BA11" s="359"/>
      <c r="BB11" s="359"/>
      <c r="BC11" s="359"/>
      <c r="BD11" s="361"/>
      <c r="BE11" s="360"/>
      <c r="BF11" s="359"/>
      <c r="BG11" s="359"/>
      <c r="BH11" s="359"/>
      <c r="BI11" s="359"/>
      <c r="BJ11" s="361"/>
    </row>
    <row r="12" spans="2:62" s="220" customFormat="1" ht="14.1" customHeight="1" x14ac:dyDescent="0.25">
      <c r="B12" s="271"/>
      <c r="C12" s="223" t="s">
        <v>138</v>
      </c>
      <c r="D12" s="281">
        <f>L12+S12+AL12</f>
        <v>0</v>
      </c>
      <c r="E12" s="271"/>
      <c r="F12" s="224"/>
      <c r="G12" s="224"/>
      <c r="H12" s="224"/>
      <c r="I12" s="224"/>
      <c r="J12" s="224"/>
      <c r="K12" s="224"/>
      <c r="L12" s="281">
        <f>M12+P12</f>
        <v>0</v>
      </c>
      <c r="M12" s="286">
        <v>0</v>
      </c>
      <c r="N12" s="286">
        <v>0</v>
      </c>
      <c r="O12" s="281">
        <f>IFERROR(M12/N12,0)</f>
        <v>0</v>
      </c>
      <c r="P12" s="286">
        <v>0</v>
      </c>
      <c r="Q12" s="286">
        <v>0</v>
      </c>
      <c r="R12" s="281">
        <f>IFERROR(P12/Q12,0)</f>
        <v>0</v>
      </c>
      <c r="S12" s="281">
        <f>T12+W12+Z12+AC12+AF12+AI12</f>
        <v>0</v>
      </c>
      <c r="T12" s="286">
        <v>0</v>
      </c>
      <c r="U12" s="286">
        <v>0</v>
      </c>
      <c r="V12" s="281">
        <f>IFERROR(T12/U12,0)</f>
        <v>0</v>
      </c>
      <c r="W12" s="286">
        <v>0</v>
      </c>
      <c r="X12" s="286">
        <v>0</v>
      </c>
      <c r="Y12" s="281">
        <f>IFERROR(W12/X12,0)</f>
        <v>0</v>
      </c>
      <c r="Z12" s="286">
        <v>0</v>
      </c>
      <c r="AA12" s="286">
        <v>0</v>
      </c>
      <c r="AB12" s="281">
        <f>IFERROR(Z12/AA12,0)</f>
        <v>0</v>
      </c>
      <c r="AC12" s="286">
        <v>0</v>
      </c>
      <c r="AD12" s="286">
        <v>0</v>
      </c>
      <c r="AE12" s="281">
        <f>IFERROR(AC12/AD12,0)</f>
        <v>0</v>
      </c>
      <c r="AF12" s="286">
        <v>0</v>
      </c>
      <c r="AG12" s="286">
        <v>0</v>
      </c>
      <c r="AH12" s="281">
        <f>IFERROR(AF12/AG12,0)</f>
        <v>0</v>
      </c>
      <c r="AI12" s="286">
        <v>0</v>
      </c>
      <c r="AJ12" s="286">
        <v>0</v>
      </c>
      <c r="AK12" s="281">
        <f>IFERROR(AI12/AJ12,0)</f>
        <v>0</v>
      </c>
      <c r="AL12" s="281">
        <f>AM12+AP12+AS12+AV12+AY12+BB12+BE12+BH12</f>
        <v>0</v>
      </c>
      <c r="AM12" s="286">
        <v>0</v>
      </c>
      <c r="AN12" s="286">
        <v>0</v>
      </c>
      <c r="AO12" s="281">
        <f>IFERROR(AM12/AN12,0)</f>
        <v>0</v>
      </c>
      <c r="AP12" s="286">
        <v>0</v>
      </c>
      <c r="AQ12" s="286">
        <v>0</v>
      </c>
      <c r="AR12" s="281">
        <f>IFERROR(AP12/AQ12,0)</f>
        <v>0</v>
      </c>
      <c r="AS12" s="286">
        <v>0</v>
      </c>
      <c r="AT12" s="286">
        <v>0</v>
      </c>
      <c r="AU12" s="281">
        <f>IFERROR(AS12/AT12,0)</f>
        <v>0</v>
      </c>
      <c r="AV12" s="286">
        <v>0</v>
      </c>
      <c r="AW12" s="286">
        <v>0</v>
      </c>
      <c r="AX12" s="281">
        <f>IFERROR(AV12/AW12,0)</f>
        <v>0</v>
      </c>
      <c r="AY12" s="286">
        <v>0</v>
      </c>
      <c r="AZ12" s="286">
        <v>0</v>
      </c>
      <c r="BA12" s="281">
        <f>IFERROR(AY12/AZ12,0)</f>
        <v>0</v>
      </c>
      <c r="BB12" s="286">
        <v>0</v>
      </c>
      <c r="BC12" s="286">
        <v>0</v>
      </c>
      <c r="BD12" s="281">
        <f>IFERROR(BB12/BC12,0)</f>
        <v>0</v>
      </c>
      <c r="BE12" s="286">
        <v>0</v>
      </c>
      <c r="BF12" s="286">
        <v>0</v>
      </c>
      <c r="BG12" s="281">
        <f>IFERROR(BE12/BF12,0)</f>
        <v>0</v>
      </c>
      <c r="BH12" s="286">
        <v>0</v>
      </c>
      <c r="BI12" s="286">
        <v>0</v>
      </c>
      <c r="BJ12" s="281">
        <f>IFERROR(BH12/BI12,0)</f>
        <v>0</v>
      </c>
    </row>
    <row r="13" spans="2:62" s="220" customFormat="1" ht="26.4" customHeight="1" x14ac:dyDescent="0.25">
      <c r="B13" s="271"/>
      <c r="C13" s="223" t="s">
        <v>178</v>
      </c>
      <c r="D13" s="281">
        <f>L13+S13+AL13</f>
        <v>0</v>
      </c>
      <c r="E13" s="271"/>
      <c r="F13" s="224"/>
      <c r="G13" s="224"/>
      <c r="H13" s="224"/>
      <c r="I13" s="224"/>
      <c r="J13" s="224"/>
      <c r="K13" s="224"/>
      <c r="L13" s="281">
        <f>M13+P13</f>
        <v>0</v>
      </c>
      <c r="M13" s="286">
        <v>0</v>
      </c>
      <c r="N13" s="286">
        <v>0</v>
      </c>
      <c r="O13" s="281">
        <f>IFERROR(M13/N13,0)</f>
        <v>0</v>
      </c>
      <c r="P13" s="286">
        <v>0</v>
      </c>
      <c r="Q13" s="286">
        <v>0</v>
      </c>
      <c r="R13" s="281">
        <f>IFERROR(P13/Q13,0)</f>
        <v>0</v>
      </c>
      <c r="S13" s="281">
        <f>T13+W13+Z13+AC13+AF13+AI13</f>
        <v>0</v>
      </c>
      <c r="T13" s="286">
        <v>0</v>
      </c>
      <c r="U13" s="286">
        <v>0</v>
      </c>
      <c r="V13" s="281">
        <f>IFERROR(T13/U13,0)</f>
        <v>0</v>
      </c>
      <c r="W13" s="286">
        <v>0</v>
      </c>
      <c r="X13" s="286">
        <v>0</v>
      </c>
      <c r="Y13" s="281">
        <f>IFERROR(W13/X13,0)</f>
        <v>0</v>
      </c>
      <c r="Z13" s="286">
        <v>0</v>
      </c>
      <c r="AA13" s="286">
        <v>0</v>
      </c>
      <c r="AB13" s="281">
        <f>IFERROR(Z13/AA13,0)</f>
        <v>0</v>
      </c>
      <c r="AC13" s="286">
        <v>0</v>
      </c>
      <c r="AD13" s="286">
        <v>0</v>
      </c>
      <c r="AE13" s="281">
        <f>IFERROR(AC13/AD13,0)</f>
        <v>0</v>
      </c>
      <c r="AF13" s="286">
        <v>0</v>
      </c>
      <c r="AG13" s="286">
        <v>0</v>
      </c>
      <c r="AH13" s="281">
        <f>IFERROR(AF13/AG13,0)</f>
        <v>0</v>
      </c>
      <c r="AI13" s="286">
        <v>0</v>
      </c>
      <c r="AJ13" s="286">
        <v>0</v>
      </c>
      <c r="AK13" s="281">
        <f>IFERROR(AI13/AJ13,0)</f>
        <v>0</v>
      </c>
      <c r="AL13" s="281">
        <f>AM13+AP13+AS13+AV13+AY13+BB13+BE13+BH13</f>
        <v>0</v>
      </c>
      <c r="AM13" s="286">
        <v>0</v>
      </c>
      <c r="AN13" s="286">
        <v>0</v>
      </c>
      <c r="AO13" s="281">
        <f>IFERROR(AM13/AN13,0)</f>
        <v>0</v>
      </c>
      <c r="AP13" s="286">
        <v>0</v>
      </c>
      <c r="AQ13" s="286">
        <v>0</v>
      </c>
      <c r="AR13" s="281">
        <f>IFERROR(AP13/AQ13,0)</f>
        <v>0</v>
      </c>
      <c r="AS13" s="286">
        <v>0</v>
      </c>
      <c r="AT13" s="286">
        <v>0</v>
      </c>
      <c r="AU13" s="281">
        <f>IFERROR(AS13/AT13,0)</f>
        <v>0</v>
      </c>
      <c r="AV13" s="286">
        <v>0</v>
      </c>
      <c r="AW13" s="286">
        <v>0</v>
      </c>
      <c r="AX13" s="281">
        <f>IFERROR(AV13/AW13,0)</f>
        <v>0</v>
      </c>
      <c r="AY13" s="286">
        <v>0</v>
      </c>
      <c r="AZ13" s="286">
        <v>0</v>
      </c>
      <c r="BA13" s="281">
        <f>IFERROR(AY13/AZ13,0)</f>
        <v>0</v>
      </c>
      <c r="BB13" s="286">
        <v>0</v>
      </c>
      <c r="BC13" s="286">
        <v>0</v>
      </c>
      <c r="BD13" s="281">
        <f>IFERROR(BB13/BC13,0)</f>
        <v>0</v>
      </c>
      <c r="BE13" s="286">
        <v>0</v>
      </c>
      <c r="BF13" s="286">
        <v>0</v>
      </c>
      <c r="BG13" s="281">
        <f>IFERROR(BE13/BF13,0)</f>
        <v>0</v>
      </c>
      <c r="BH13" s="286">
        <v>0</v>
      </c>
      <c r="BI13" s="286">
        <v>0</v>
      </c>
      <c r="BJ13" s="281">
        <f>IFERROR(BH13/BI13,0)</f>
        <v>0</v>
      </c>
    </row>
    <row r="14" spans="2:62" s="220" customFormat="1" ht="14.1" customHeight="1" x14ac:dyDescent="0.25">
      <c r="B14" s="271"/>
      <c r="C14" s="223" t="s">
        <v>33</v>
      </c>
      <c r="D14" s="281">
        <f>L14+S14+AL14</f>
        <v>0</v>
      </c>
      <c r="E14" s="271"/>
      <c r="F14" s="224"/>
      <c r="G14" s="224"/>
      <c r="H14" s="224"/>
      <c r="I14" s="224"/>
      <c r="J14" s="224"/>
      <c r="K14" s="224"/>
      <c r="L14" s="281">
        <f>M14+P14</f>
        <v>0</v>
      </c>
      <c r="M14" s="286">
        <v>0</v>
      </c>
      <c r="N14" s="286">
        <v>0</v>
      </c>
      <c r="O14" s="281">
        <f>IFERROR(M14/N14,0)</f>
        <v>0</v>
      </c>
      <c r="P14" s="286">
        <v>0</v>
      </c>
      <c r="Q14" s="286">
        <v>0</v>
      </c>
      <c r="R14" s="281">
        <f>IFERROR(P14/Q14,0)</f>
        <v>0</v>
      </c>
      <c r="S14" s="281">
        <f>T14+W14+Z14+AC14+AF14+AI14</f>
        <v>0</v>
      </c>
      <c r="T14" s="286">
        <v>0</v>
      </c>
      <c r="U14" s="286">
        <v>0</v>
      </c>
      <c r="V14" s="281">
        <f>IFERROR(T14/U14,0)</f>
        <v>0</v>
      </c>
      <c r="W14" s="286">
        <v>0</v>
      </c>
      <c r="X14" s="286">
        <v>0</v>
      </c>
      <c r="Y14" s="281">
        <f>IFERROR(W14/X14,0)</f>
        <v>0</v>
      </c>
      <c r="Z14" s="286">
        <v>0</v>
      </c>
      <c r="AA14" s="286">
        <v>0</v>
      </c>
      <c r="AB14" s="281">
        <f>IFERROR(Z14/AA14,0)</f>
        <v>0</v>
      </c>
      <c r="AC14" s="286">
        <v>0</v>
      </c>
      <c r="AD14" s="286">
        <v>0</v>
      </c>
      <c r="AE14" s="281">
        <f>IFERROR(AC14/AD14,0)</f>
        <v>0</v>
      </c>
      <c r="AF14" s="286">
        <v>0</v>
      </c>
      <c r="AG14" s="286">
        <v>0</v>
      </c>
      <c r="AH14" s="281">
        <f>IFERROR(AF14/AG14,0)</f>
        <v>0</v>
      </c>
      <c r="AI14" s="286">
        <v>0</v>
      </c>
      <c r="AJ14" s="286">
        <v>0</v>
      </c>
      <c r="AK14" s="281">
        <f>IFERROR(AI14/AJ14,0)</f>
        <v>0</v>
      </c>
      <c r="AL14" s="281">
        <f>AM14+AP14+AS14+AV14+AY14+BB14+BE14+BH14</f>
        <v>0</v>
      </c>
      <c r="AM14" s="286">
        <v>0</v>
      </c>
      <c r="AN14" s="286">
        <v>0</v>
      </c>
      <c r="AO14" s="281">
        <f>IFERROR(AM14/AN14,0)</f>
        <v>0</v>
      </c>
      <c r="AP14" s="286">
        <v>0</v>
      </c>
      <c r="AQ14" s="286">
        <v>0</v>
      </c>
      <c r="AR14" s="281">
        <f>IFERROR(AP14/AQ14,0)</f>
        <v>0</v>
      </c>
      <c r="AS14" s="286">
        <v>0</v>
      </c>
      <c r="AT14" s="286">
        <v>0</v>
      </c>
      <c r="AU14" s="281">
        <f>IFERROR(AS14/AT14,0)</f>
        <v>0</v>
      </c>
      <c r="AV14" s="286">
        <v>0</v>
      </c>
      <c r="AW14" s="286">
        <v>0</v>
      </c>
      <c r="AX14" s="281">
        <f>IFERROR(AV14/AW14,0)</f>
        <v>0</v>
      </c>
      <c r="AY14" s="286">
        <v>0</v>
      </c>
      <c r="AZ14" s="286">
        <v>0</v>
      </c>
      <c r="BA14" s="281">
        <f>IFERROR(AY14/AZ14,0)</f>
        <v>0</v>
      </c>
      <c r="BB14" s="286">
        <v>0</v>
      </c>
      <c r="BC14" s="286">
        <v>0</v>
      </c>
      <c r="BD14" s="281">
        <f>IFERROR(BB14/BC14,0)</f>
        <v>0</v>
      </c>
      <c r="BE14" s="286">
        <v>0</v>
      </c>
      <c r="BF14" s="286">
        <v>0</v>
      </c>
      <c r="BG14" s="281">
        <f>IFERROR(BE14/BF14,0)</f>
        <v>0</v>
      </c>
      <c r="BH14" s="286">
        <v>0</v>
      </c>
      <c r="BI14" s="286">
        <v>0</v>
      </c>
      <c r="BJ14" s="281">
        <f>IFERROR(BH14/BI14,0)</f>
        <v>0</v>
      </c>
    </row>
    <row r="15" spans="2:62" s="220" customFormat="1" x14ac:dyDescent="0.25">
      <c r="B15" s="271"/>
      <c r="C15" s="225" t="s">
        <v>199</v>
      </c>
      <c r="D15" s="282"/>
      <c r="E15" s="256"/>
      <c r="F15" s="221"/>
      <c r="G15" s="221"/>
      <c r="H15" s="221"/>
      <c r="I15" s="221"/>
      <c r="J15" s="221"/>
      <c r="K15" s="222"/>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8"/>
    </row>
    <row r="16" spans="2:62" s="220" customFormat="1" ht="14.1" customHeight="1" x14ac:dyDescent="0.25">
      <c r="B16" s="271"/>
      <c r="C16" s="223" t="s">
        <v>197</v>
      </c>
      <c r="D16" s="281">
        <f>F16+I16</f>
        <v>0</v>
      </c>
      <c r="E16" s="271"/>
      <c r="F16" s="263">
        <v>0</v>
      </c>
      <c r="G16" s="263">
        <v>0</v>
      </c>
      <c r="H16" s="281">
        <f>IFERROR(F16/G16,0)</f>
        <v>0</v>
      </c>
      <c r="I16" s="263">
        <v>0</v>
      </c>
      <c r="J16" s="263">
        <v>0</v>
      </c>
      <c r="K16" s="281">
        <f>IFERROR(I16/J16,0)</f>
        <v>0</v>
      </c>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7"/>
      <c r="AS16" s="287"/>
      <c r="AT16" s="287"/>
      <c r="AU16" s="287"/>
      <c r="AV16" s="287"/>
      <c r="AW16" s="287"/>
      <c r="AX16" s="287"/>
      <c r="AY16" s="287"/>
      <c r="AZ16" s="287"/>
      <c r="BA16" s="287"/>
      <c r="BB16" s="287"/>
      <c r="BC16" s="287"/>
      <c r="BD16" s="287"/>
      <c r="BE16" s="287"/>
      <c r="BF16" s="287"/>
      <c r="BG16" s="287"/>
      <c r="BH16" s="287"/>
      <c r="BI16" s="287"/>
      <c r="BJ16" s="288"/>
    </row>
    <row r="17" spans="2:62" s="220" customFormat="1" x14ac:dyDescent="0.25">
      <c r="B17" s="271"/>
      <c r="C17" s="225" t="s">
        <v>34</v>
      </c>
      <c r="D17" s="282"/>
      <c r="E17" s="256"/>
      <c r="F17" s="282"/>
      <c r="G17" s="282"/>
      <c r="H17" s="282"/>
      <c r="I17" s="282"/>
      <c r="J17" s="282"/>
      <c r="K17" s="284"/>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7"/>
      <c r="AL17" s="287"/>
      <c r="AM17" s="287"/>
      <c r="AN17" s="287"/>
      <c r="AO17" s="287"/>
      <c r="AP17" s="287"/>
      <c r="AQ17" s="287"/>
      <c r="AR17" s="287"/>
      <c r="AS17" s="287"/>
      <c r="AT17" s="287"/>
      <c r="AU17" s="287"/>
      <c r="AV17" s="287"/>
      <c r="AW17" s="287"/>
      <c r="AX17" s="287"/>
      <c r="AY17" s="287"/>
      <c r="AZ17" s="287"/>
      <c r="BA17" s="287"/>
      <c r="BB17" s="287"/>
      <c r="BC17" s="287"/>
      <c r="BD17" s="287"/>
      <c r="BE17" s="287"/>
      <c r="BF17" s="287"/>
      <c r="BG17" s="287"/>
      <c r="BH17" s="287"/>
      <c r="BI17" s="287"/>
      <c r="BJ17" s="288"/>
    </row>
    <row r="18" spans="2:62" s="220" customFormat="1" ht="14.1" customHeight="1" x14ac:dyDescent="0.25">
      <c r="B18" s="271"/>
      <c r="C18" s="223" t="s">
        <v>198</v>
      </c>
      <c r="D18" s="281">
        <f>F18+I18</f>
        <v>0</v>
      </c>
      <c r="E18" s="271"/>
      <c r="F18" s="263">
        <v>0</v>
      </c>
      <c r="G18" s="263">
        <v>0</v>
      </c>
      <c r="H18" s="281">
        <f>IFERROR(F18/G18,0)</f>
        <v>0</v>
      </c>
      <c r="I18" s="263">
        <v>0</v>
      </c>
      <c r="J18" s="263">
        <v>0</v>
      </c>
      <c r="K18" s="281">
        <f>IFERROR(I18/J18,0)</f>
        <v>0</v>
      </c>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288"/>
    </row>
    <row r="19" spans="2:62" s="220" customFormat="1" x14ac:dyDescent="0.25">
      <c r="B19" s="271"/>
      <c r="C19" s="225" t="s">
        <v>83</v>
      </c>
      <c r="D19" s="452">
        <f>F19+I19</f>
        <v>2728.2726000000002</v>
      </c>
      <c r="E19" s="469"/>
      <c r="F19" s="455">
        <v>2656.7552000000001</v>
      </c>
      <c r="G19" s="454"/>
      <c r="H19" s="454"/>
      <c r="I19" s="455">
        <v>71.517399999999995</v>
      </c>
      <c r="J19" s="454"/>
      <c r="K19" s="285"/>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c r="BG19" s="289"/>
      <c r="BH19" s="289"/>
      <c r="BI19" s="289"/>
      <c r="BJ19" s="290"/>
    </row>
    <row r="20" spans="2:62" s="220" customFormat="1" ht="14.1" customHeight="1" x14ac:dyDescent="0.25">
      <c r="B20" s="271"/>
      <c r="C20" s="274" t="s">
        <v>23</v>
      </c>
      <c r="D20" s="283">
        <f>SUM(D12:D19)</f>
        <v>2728.2726000000002</v>
      </c>
      <c r="E20" s="271"/>
      <c r="F20" s="283">
        <f>SUM(F12:F19)</f>
        <v>2656.7552000000001</v>
      </c>
      <c r="G20" s="283">
        <f>SUM(G12:G19)</f>
        <v>0</v>
      </c>
      <c r="H20" s="283"/>
      <c r="I20" s="283">
        <f>SUM(I12:I19)</f>
        <v>71.517399999999995</v>
      </c>
      <c r="J20" s="283">
        <f>SUM(J12:J19)</f>
        <v>0</v>
      </c>
      <c r="K20" s="283"/>
      <c r="L20" s="283">
        <f>SUM(L12:L19)</f>
        <v>0</v>
      </c>
      <c r="M20" s="283">
        <f>SUM(M12:M19)</f>
        <v>0</v>
      </c>
      <c r="N20" s="283">
        <f>SUM(N12:N19)</f>
        <v>0</v>
      </c>
      <c r="O20" s="283"/>
      <c r="P20" s="283">
        <f>SUM(P12:P19)</f>
        <v>0</v>
      </c>
      <c r="Q20" s="283">
        <f>SUM(Q12:Q19)</f>
        <v>0</v>
      </c>
      <c r="R20" s="283"/>
      <c r="S20" s="283">
        <f>SUM(S12:S19)</f>
        <v>0</v>
      </c>
      <c r="T20" s="283">
        <f>SUM(T12:T19)</f>
        <v>0</v>
      </c>
      <c r="U20" s="283">
        <f>SUM(U12:U19)</f>
        <v>0</v>
      </c>
      <c r="V20" s="283"/>
      <c r="W20" s="283">
        <f>SUM(W12:W19)</f>
        <v>0</v>
      </c>
      <c r="X20" s="283">
        <f>SUM(X12:X19)</f>
        <v>0</v>
      </c>
      <c r="Y20" s="283"/>
      <c r="Z20" s="283">
        <f>SUM(Z12:Z19)</f>
        <v>0</v>
      </c>
      <c r="AA20" s="283">
        <f>SUM(AA12:AA19)</f>
        <v>0</v>
      </c>
      <c r="AB20" s="283"/>
      <c r="AC20" s="283">
        <f>SUM(AC12:AC19)</f>
        <v>0</v>
      </c>
      <c r="AD20" s="283">
        <f>SUM(AD12:AD19)</f>
        <v>0</v>
      </c>
      <c r="AE20" s="283"/>
      <c r="AF20" s="283">
        <f>SUM(AF12:AF19)</f>
        <v>0</v>
      </c>
      <c r="AG20" s="283">
        <f>SUM(AG12:AG19)</f>
        <v>0</v>
      </c>
      <c r="AH20" s="283"/>
      <c r="AI20" s="283">
        <f>SUM(AI12:AI19)</f>
        <v>0</v>
      </c>
      <c r="AJ20" s="283">
        <f>SUM(AJ12:AJ19)</f>
        <v>0</v>
      </c>
      <c r="AK20" s="283"/>
      <c r="AL20" s="283">
        <f>SUM(AL12:AL19)</f>
        <v>0</v>
      </c>
      <c r="AM20" s="283">
        <f>SUM(AM12:AM19)</f>
        <v>0</v>
      </c>
      <c r="AN20" s="283">
        <f>SUM(AN12:AN19)</f>
        <v>0</v>
      </c>
      <c r="AO20" s="283"/>
      <c r="AP20" s="283">
        <f>SUM(AP12:AP19)</f>
        <v>0</v>
      </c>
      <c r="AQ20" s="283">
        <f>SUM(AQ12:AQ19)</f>
        <v>0</v>
      </c>
      <c r="AR20" s="283"/>
      <c r="AS20" s="283">
        <f>SUM(AS12:AS19)</f>
        <v>0</v>
      </c>
      <c r="AT20" s="283">
        <f>SUM(AT12:AT19)</f>
        <v>0</v>
      </c>
      <c r="AU20" s="283"/>
      <c r="AV20" s="283">
        <f>SUM(AV12:AV19)</f>
        <v>0</v>
      </c>
      <c r="AW20" s="283">
        <f>SUM(AW12:AW19)</f>
        <v>0</v>
      </c>
      <c r="AX20" s="283"/>
      <c r="AY20" s="283">
        <f>SUM(AY12:AY19)</f>
        <v>0</v>
      </c>
      <c r="AZ20" s="283">
        <f>SUM(AZ12:AZ19)</f>
        <v>0</v>
      </c>
      <c r="BA20" s="283"/>
      <c r="BB20" s="283">
        <f>SUM(BB12:BB19)</f>
        <v>0</v>
      </c>
      <c r="BC20" s="283">
        <f>SUM(BC12:BC19)</f>
        <v>0</v>
      </c>
      <c r="BD20" s="283"/>
      <c r="BE20" s="283">
        <f>SUM(BE12:BE19)</f>
        <v>0</v>
      </c>
      <c r="BF20" s="283">
        <f>SUM(BF12:BF19)</f>
        <v>0</v>
      </c>
      <c r="BG20" s="283"/>
      <c r="BH20" s="283">
        <f>SUM(BH12:BH19)</f>
        <v>0</v>
      </c>
      <c r="BI20" s="283">
        <f>SUM(BI12:BI19)</f>
        <v>0</v>
      </c>
      <c r="BJ20" s="283"/>
    </row>
    <row r="21" spans="2:62" x14ac:dyDescent="0.25">
      <c r="B21" s="26"/>
      <c r="C21" s="26"/>
      <c r="D21" s="26"/>
    </row>
    <row r="22" spans="2:62" x14ac:dyDescent="0.25">
      <c r="B22" s="362" t="s">
        <v>366</v>
      </c>
      <c r="C22" s="26"/>
      <c r="D22" s="26"/>
    </row>
    <row r="23" spans="2:62" x14ac:dyDescent="0.25">
      <c r="B23" s="26"/>
      <c r="C23" s="26"/>
      <c r="D23" s="26"/>
    </row>
    <row r="24" spans="2:62" x14ac:dyDescent="0.25">
      <c r="B24" s="26"/>
      <c r="C24" s="26"/>
      <c r="D24" s="26"/>
    </row>
    <row r="25" spans="2:62" x14ac:dyDescent="0.25">
      <c r="B25" s="26"/>
      <c r="C25" s="26"/>
      <c r="D25" s="26"/>
    </row>
    <row r="26" spans="2:62" x14ac:dyDescent="0.25">
      <c r="B26" s="26"/>
      <c r="C26" s="26"/>
      <c r="D26" s="26"/>
    </row>
    <row r="27" spans="2:62" x14ac:dyDescent="0.25">
      <c r="B27" s="26"/>
      <c r="C27" s="26"/>
      <c r="D27" s="26"/>
    </row>
    <row r="28" spans="2:62" x14ac:dyDescent="0.25">
      <c r="B28" s="26"/>
      <c r="C28" s="26"/>
      <c r="D28" s="26"/>
    </row>
    <row r="29" spans="2:62" x14ac:dyDescent="0.25">
      <c r="B29" s="26"/>
      <c r="C29" s="26"/>
      <c r="D29" s="26"/>
    </row>
    <row r="30" spans="2:62" x14ac:dyDescent="0.25">
      <c r="B30" s="26"/>
      <c r="C30" s="26"/>
      <c r="D30" s="26"/>
    </row>
    <row r="31" spans="2:62" x14ac:dyDescent="0.25">
      <c r="B31" s="26"/>
      <c r="C31" s="26"/>
      <c r="D31" s="26"/>
    </row>
    <row r="32" spans="2:62" ht="15" x14ac:dyDescent="0.25">
      <c r="B32" s="27"/>
      <c r="C32" s="26"/>
      <c r="D32" s="26"/>
    </row>
    <row r="33" spans="2:5" ht="15" x14ac:dyDescent="0.25">
      <c r="B33" s="27"/>
      <c r="C33" s="27"/>
      <c r="D33" s="27"/>
      <c r="E33" s="273"/>
    </row>
    <row r="34" spans="2:5" ht="15" x14ac:dyDescent="0.25">
      <c r="B34" s="27"/>
      <c r="C34" s="27"/>
      <c r="D34" s="27"/>
      <c r="E34" s="273"/>
    </row>
    <row r="35" spans="2:5" ht="15" x14ac:dyDescent="0.25">
      <c r="B35" s="27"/>
      <c r="C35" s="27"/>
      <c r="D35" s="27"/>
      <c r="E35" s="273"/>
    </row>
    <row r="36" spans="2:5" ht="15" x14ac:dyDescent="0.25">
      <c r="B36" s="27"/>
      <c r="C36" s="27"/>
      <c r="D36" s="27"/>
      <c r="E36" s="273"/>
    </row>
    <row r="37" spans="2:5" ht="15" x14ac:dyDescent="0.25">
      <c r="B37" s="27"/>
      <c r="C37" s="27"/>
      <c r="D37" s="27"/>
      <c r="E37" s="273"/>
    </row>
    <row r="38" spans="2:5" ht="15" x14ac:dyDescent="0.25">
      <c r="B38" s="27"/>
      <c r="C38" s="27"/>
      <c r="D38" s="27"/>
      <c r="E38" s="273"/>
    </row>
    <row r="39" spans="2:5" ht="15" x14ac:dyDescent="0.25">
      <c r="B39" s="27"/>
      <c r="C39" s="27"/>
      <c r="D39" s="27"/>
      <c r="E39" s="273"/>
    </row>
    <row r="40" spans="2:5" ht="15" x14ac:dyDescent="0.25">
      <c r="B40" s="27"/>
      <c r="C40" s="27"/>
      <c r="D40" s="27"/>
      <c r="E40" s="273"/>
    </row>
    <row r="41" spans="2:5" ht="15" x14ac:dyDescent="0.25">
      <c r="B41" s="27"/>
      <c r="C41" s="27"/>
      <c r="D41" s="27"/>
      <c r="E41" s="273"/>
    </row>
    <row r="42" spans="2:5" ht="15" x14ac:dyDescent="0.25">
      <c r="B42" s="27"/>
      <c r="C42" s="27"/>
      <c r="D42" s="27"/>
      <c r="E42" s="273"/>
    </row>
    <row r="43" spans="2:5" ht="15" x14ac:dyDescent="0.25">
      <c r="B43" s="27"/>
      <c r="C43" s="27"/>
      <c r="D43" s="27"/>
      <c r="E43" s="273"/>
    </row>
    <row r="44" spans="2:5" ht="15" x14ac:dyDescent="0.25">
      <c r="B44" s="27"/>
      <c r="C44" s="27"/>
      <c r="D44" s="27"/>
      <c r="E44" s="273"/>
    </row>
    <row r="45" spans="2:5" ht="15" x14ac:dyDescent="0.25">
      <c r="B45" s="27"/>
      <c r="C45" s="27"/>
      <c r="D45" s="27"/>
      <c r="E45" s="273"/>
    </row>
    <row r="46" spans="2:5" ht="15" x14ac:dyDescent="0.25">
      <c r="B46" s="27"/>
      <c r="C46" s="27"/>
      <c r="D46" s="27"/>
      <c r="E46" s="273"/>
    </row>
    <row r="47" spans="2:5" ht="15" x14ac:dyDescent="0.25">
      <c r="B47" s="27"/>
      <c r="C47" s="27"/>
      <c r="D47" s="27"/>
      <c r="E47" s="273"/>
    </row>
    <row r="48" spans="2:5" ht="15" x14ac:dyDescent="0.25">
      <c r="B48" s="27"/>
      <c r="C48" s="27"/>
      <c r="D48" s="27"/>
      <c r="E48" s="273"/>
    </row>
    <row r="49" spans="2:5" ht="15" x14ac:dyDescent="0.25">
      <c r="B49" s="27"/>
      <c r="C49" s="27"/>
      <c r="D49" s="27"/>
      <c r="E49" s="273"/>
    </row>
    <row r="50" spans="2:5" ht="15" x14ac:dyDescent="0.25">
      <c r="B50" s="27"/>
      <c r="C50" s="27"/>
      <c r="D50" s="27"/>
      <c r="E50" s="273"/>
    </row>
    <row r="51" spans="2:5" ht="15" x14ac:dyDescent="0.25">
      <c r="B51" s="27"/>
      <c r="C51" s="27"/>
      <c r="D51" s="27"/>
      <c r="E51" s="273"/>
    </row>
    <row r="52" spans="2:5" ht="15" x14ac:dyDescent="0.25">
      <c r="B52" s="27"/>
      <c r="C52" s="27"/>
      <c r="D52" s="27"/>
      <c r="E52" s="273"/>
    </row>
    <row r="53" spans="2:5" ht="15" x14ac:dyDescent="0.25">
      <c r="B53" s="27"/>
      <c r="C53" s="27"/>
      <c r="D53" s="27"/>
      <c r="E53" s="273"/>
    </row>
    <row r="54" spans="2:5" ht="15" x14ac:dyDescent="0.25">
      <c r="B54" s="27"/>
      <c r="C54" s="27"/>
      <c r="D54" s="27"/>
      <c r="E54" s="273"/>
    </row>
    <row r="55" spans="2:5" ht="15" x14ac:dyDescent="0.25">
      <c r="B55" s="27"/>
      <c r="C55" s="27"/>
      <c r="D55" s="27"/>
      <c r="E55" s="273"/>
    </row>
    <row r="56" spans="2:5" ht="15" x14ac:dyDescent="0.25">
      <c r="B56" s="27"/>
      <c r="C56" s="27"/>
      <c r="D56" s="27"/>
      <c r="E56" s="273"/>
    </row>
    <row r="57" spans="2:5" ht="15" x14ac:dyDescent="0.25">
      <c r="B57" s="27"/>
      <c r="C57" s="27"/>
      <c r="D57" s="27"/>
      <c r="E57" s="273"/>
    </row>
    <row r="58" spans="2:5" ht="15" x14ac:dyDescent="0.25">
      <c r="B58" s="27"/>
      <c r="C58" s="27"/>
      <c r="D58" s="27"/>
      <c r="E58" s="273"/>
    </row>
    <row r="59" spans="2:5" ht="15" x14ac:dyDescent="0.25">
      <c r="B59" s="27"/>
      <c r="C59" s="27"/>
      <c r="D59" s="27"/>
      <c r="E59" s="273"/>
    </row>
    <row r="60" spans="2:5" ht="15" x14ac:dyDescent="0.25">
      <c r="B60" s="27"/>
      <c r="C60" s="27"/>
      <c r="D60" s="27"/>
      <c r="E60" s="273"/>
    </row>
    <row r="61" spans="2:5" ht="15" x14ac:dyDescent="0.25">
      <c r="B61" s="27"/>
      <c r="C61" s="27"/>
      <c r="D61" s="27"/>
      <c r="E61" s="273"/>
    </row>
    <row r="62" spans="2:5" ht="15" x14ac:dyDescent="0.25">
      <c r="B62" s="27"/>
      <c r="C62" s="27"/>
      <c r="D62" s="27"/>
      <c r="E62" s="273"/>
    </row>
    <row r="63" spans="2:5" ht="15" x14ac:dyDescent="0.25">
      <c r="B63" s="27"/>
      <c r="C63" s="27"/>
      <c r="D63" s="27"/>
      <c r="E63" s="273"/>
    </row>
    <row r="64" spans="2:5" ht="15" x14ac:dyDescent="0.25">
      <c r="B64" s="27"/>
      <c r="C64" s="27"/>
      <c r="D64" s="27"/>
      <c r="E64" s="273"/>
    </row>
    <row r="65" spans="2:5" ht="15" x14ac:dyDescent="0.25">
      <c r="B65" s="27"/>
      <c r="C65" s="27"/>
      <c r="D65" s="27"/>
      <c r="E65" s="273"/>
    </row>
    <row r="66" spans="2:5" ht="15" x14ac:dyDescent="0.25">
      <c r="B66" s="27"/>
      <c r="C66" s="27"/>
      <c r="D66" s="27"/>
      <c r="E66" s="273"/>
    </row>
    <row r="67" spans="2:5" ht="15" x14ac:dyDescent="0.25">
      <c r="B67" s="27"/>
      <c r="C67" s="27"/>
      <c r="D67" s="27"/>
      <c r="E67" s="273"/>
    </row>
    <row r="68" spans="2:5" ht="15" x14ac:dyDescent="0.25">
      <c r="B68" s="27"/>
      <c r="C68" s="27"/>
      <c r="D68" s="27"/>
      <c r="E68" s="273"/>
    </row>
    <row r="69" spans="2:5" ht="15" x14ac:dyDescent="0.25">
      <c r="B69" s="27"/>
      <c r="C69" s="27"/>
      <c r="D69" s="27"/>
      <c r="E69" s="273"/>
    </row>
    <row r="70" spans="2:5" ht="15" x14ac:dyDescent="0.25">
      <c r="B70" s="27"/>
      <c r="C70" s="27"/>
      <c r="D70" s="27"/>
      <c r="E70" s="273"/>
    </row>
    <row r="71" spans="2:5" ht="15" x14ac:dyDescent="0.25">
      <c r="B71" s="27"/>
      <c r="C71" s="27"/>
      <c r="D71" s="27"/>
      <c r="E71" s="273"/>
    </row>
    <row r="72" spans="2:5" ht="15" x14ac:dyDescent="0.25">
      <c r="B72" s="27"/>
      <c r="C72" s="27"/>
      <c r="D72" s="27"/>
      <c r="E72" s="273"/>
    </row>
    <row r="73" spans="2:5" ht="15" x14ac:dyDescent="0.25">
      <c r="B73" s="27"/>
      <c r="C73" s="27"/>
      <c r="D73" s="27"/>
      <c r="E73" s="273"/>
    </row>
    <row r="74" spans="2:5" ht="15" x14ac:dyDescent="0.25">
      <c r="B74" s="27"/>
      <c r="C74" s="27"/>
      <c r="D74" s="27"/>
      <c r="E74" s="273"/>
    </row>
    <row r="75" spans="2:5" ht="15" x14ac:dyDescent="0.25">
      <c r="B75" s="27"/>
      <c r="C75" s="27"/>
      <c r="D75" s="27"/>
      <c r="E75" s="273"/>
    </row>
    <row r="76" spans="2:5" ht="15" x14ac:dyDescent="0.25">
      <c r="B76" s="27"/>
      <c r="C76" s="27"/>
      <c r="D76" s="27"/>
      <c r="E76" s="273"/>
    </row>
    <row r="77" spans="2:5" ht="15" x14ac:dyDescent="0.25">
      <c r="B77" s="27"/>
      <c r="C77" s="27"/>
      <c r="D77" s="27"/>
      <c r="E77" s="273"/>
    </row>
    <row r="78" spans="2:5" ht="15" x14ac:dyDescent="0.25">
      <c r="B78" s="27"/>
      <c r="C78" s="27"/>
      <c r="D78" s="27"/>
      <c r="E78" s="273"/>
    </row>
    <row r="79" spans="2:5" ht="15" x14ac:dyDescent="0.25">
      <c r="B79" s="27"/>
      <c r="C79" s="27"/>
      <c r="D79" s="27"/>
      <c r="E79" s="273"/>
    </row>
    <row r="80" spans="2:5" ht="15" x14ac:dyDescent="0.25">
      <c r="B80" s="27"/>
      <c r="C80" s="27"/>
      <c r="D80" s="27"/>
      <c r="E80" s="273"/>
    </row>
    <row r="81" spans="2:5" ht="15" x14ac:dyDescent="0.25">
      <c r="B81" s="27"/>
      <c r="C81" s="27"/>
      <c r="D81" s="27"/>
      <c r="E81" s="273"/>
    </row>
    <row r="82" spans="2:5" ht="15" x14ac:dyDescent="0.25">
      <c r="B82" s="27"/>
      <c r="C82" s="27"/>
      <c r="D82" s="27"/>
      <c r="E82" s="273"/>
    </row>
    <row r="83" spans="2:5" ht="15" x14ac:dyDescent="0.25">
      <c r="B83" s="27"/>
      <c r="C83" s="27"/>
      <c r="D83" s="27"/>
      <c r="E83" s="273"/>
    </row>
    <row r="84" spans="2:5" ht="15" x14ac:dyDescent="0.25">
      <c r="B84" s="27"/>
      <c r="C84" s="27"/>
      <c r="D84" s="27"/>
      <c r="E84" s="273"/>
    </row>
    <row r="85" spans="2:5" ht="15" x14ac:dyDescent="0.25">
      <c r="B85" s="27"/>
      <c r="C85" s="27"/>
      <c r="D85" s="27"/>
      <c r="E85" s="273"/>
    </row>
    <row r="86" spans="2:5" ht="15" x14ac:dyDescent="0.25">
      <c r="B86" s="27"/>
      <c r="C86" s="27"/>
      <c r="D86" s="27"/>
      <c r="E86" s="273"/>
    </row>
    <row r="87" spans="2:5" ht="15" x14ac:dyDescent="0.25">
      <c r="B87" s="27"/>
      <c r="C87" s="27"/>
      <c r="D87" s="27"/>
      <c r="E87" s="273"/>
    </row>
    <row r="88" spans="2:5" ht="15" x14ac:dyDescent="0.25">
      <c r="B88" s="27"/>
      <c r="C88" s="27"/>
      <c r="D88" s="27"/>
      <c r="E88" s="273"/>
    </row>
    <row r="89" spans="2:5" ht="15" x14ac:dyDescent="0.25">
      <c r="B89" s="27"/>
      <c r="C89" s="27"/>
      <c r="D89" s="27"/>
      <c r="E89" s="273"/>
    </row>
    <row r="90" spans="2:5" ht="15" x14ac:dyDescent="0.25">
      <c r="B90" s="27"/>
      <c r="C90" s="27"/>
      <c r="D90" s="27"/>
      <c r="E90" s="273"/>
    </row>
    <row r="91" spans="2:5" ht="15" x14ac:dyDescent="0.25">
      <c r="B91" s="27"/>
      <c r="C91" s="27"/>
      <c r="D91" s="27"/>
      <c r="E91" s="273"/>
    </row>
    <row r="92" spans="2:5" ht="15" x14ac:dyDescent="0.25">
      <c r="B92" s="27"/>
      <c r="C92" s="27"/>
      <c r="D92" s="27"/>
      <c r="E92" s="273"/>
    </row>
    <row r="93" spans="2:5" ht="15" x14ac:dyDescent="0.25">
      <c r="B93" s="27"/>
      <c r="C93" s="27"/>
      <c r="D93" s="27"/>
      <c r="E93" s="273"/>
    </row>
    <row r="94" spans="2:5" ht="15" x14ac:dyDescent="0.25">
      <c r="B94" s="27"/>
      <c r="C94" s="27"/>
      <c r="D94" s="27"/>
      <c r="E94" s="273"/>
    </row>
    <row r="95" spans="2:5" ht="15" x14ac:dyDescent="0.25">
      <c r="B95" s="27"/>
      <c r="C95" s="27"/>
      <c r="D95" s="27"/>
      <c r="E95" s="273"/>
    </row>
    <row r="96" spans="2:5" ht="15" x14ac:dyDescent="0.25">
      <c r="B96" s="27"/>
      <c r="C96" s="27"/>
      <c r="D96" s="27"/>
      <c r="E96" s="273"/>
    </row>
    <row r="97" spans="2:5" ht="15" x14ac:dyDescent="0.25">
      <c r="B97" s="27"/>
      <c r="C97" s="27"/>
      <c r="D97" s="27"/>
      <c r="E97" s="273"/>
    </row>
    <row r="98" spans="2:5" ht="15" x14ac:dyDescent="0.25">
      <c r="B98" s="27"/>
      <c r="C98" s="27"/>
      <c r="D98" s="27"/>
      <c r="E98" s="273"/>
    </row>
    <row r="99" spans="2:5" ht="15" x14ac:dyDescent="0.25">
      <c r="B99" s="27"/>
      <c r="C99" s="27"/>
      <c r="D99" s="27"/>
      <c r="E99" s="273"/>
    </row>
    <row r="100" spans="2:5" ht="15" x14ac:dyDescent="0.25">
      <c r="B100" s="27"/>
      <c r="C100" s="27"/>
      <c r="D100" s="27"/>
      <c r="E100" s="273"/>
    </row>
    <row r="101" spans="2:5" ht="15" x14ac:dyDescent="0.25">
      <c r="B101" s="27"/>
      <c r="C101" s="27"/>
      <c r="D101" s="27"/>
      <c r="E101" s="273"/>
    </row>
    <row r="102" spans="2:5" ht="15" x14ac:dyDescent="0.25">
      <c r="B102" s="27"/>
      <c r="C102" s="27"/>
      <c r="D102" s="27"/>
      <c r="E102" s="273"/>
    </row>
    <row r="103" spans="2:5" ht="15" x14ac:dyDescent="0.25">
      <c r="B103" s="27"/>
      <c r="C103" s="27"/>
      <c r="D103" s="27"/>
      <c r="E103" s="273"/>
    </row>
    <row r="104" spans="2:5" ht="15" x14ac:dyDescent="0.25">
      <c r="B104" s="27"/>
      <c r="C104" s="27"/>
      <c r="D104" s="27"/>
      <c r="E104" s="273"/>
    </row>
    <row r="105" spans="2:5" ht="15" x14ac:dyDescent="0.25">
      <c r="B105" s="27"/>
      <c r="C105" s="27"/>
      <c r="D105" s="27"/>
      <c r="E105" s="273"/>
    </row>
    <row r="106" spans="2:5" ht="15" x14ac:dyDescent="0.25">
      <c r="B106" s="27"/>
      <c r="C106" s="27"/>
      <c r="D106" s="27"/>
      <c r="E106" s="273"/>
    </row>
    <row r="107" spans="2:5" ht="15" x14ac:dyDescent="0.25">
      <c r="B107" s="27"/>
      <c r="C107" s="27"/>
      <c r="D107" s="27"/>
      <c r="E107" s="273"/>
    </row>
    <row r="108" spans="2:5" ht="15" x14ac:dyDescent="0.25">
      <c r="B108" s="27"/>
      <c r="C108" s="27"/>
      <c r="D108" s="27"/>
      <c r="E108" s="273"/>
    </row>
    <row r="109" spans="2:5" ht="15" x14ac:dyDescent="0.25">
      <c r="B109" s="27"/>
      <c r="C109" s="27"/>
      <c r="D109" s="27"/>
      <c r="E109" s="273"/>
    </row>
    <row r="110" spans="2:5" ht="15" x14ac:dyDescent="0.25">
      <c r="B110" s="27"/>
      <c r="C110" s="27"/>
      <c r="D110" s="27"/>
      <c r="E110" s="273"/>
    </row>
    <row r="111" spans="2:5" ht="15" x14ac:dyDescent="0.25">
      <c r="C111" s="27"/>
      <c r="D111" s="27"/>
      <c r="E111" s="273"/>
    </row>
  </sheetData>
  <mergeCells count="35">
    <mergeCell ref="B1:D1"/>
    <mergeCell ref="B5:D5"/>
    <mergeCell ref="S7:AK7"/>
    <mergeCell ref="B7:B10"/>
    <mergeCell ref="C7:C10"/>
    <mergeCell ref="E7:E10"/>
    <mergeCell ref="AF8:AK8"/>
    <mergeCell ref="I9:K9"/>
    <mergeCell ref="Z8:AE8"/>
    <mergeCell ref="T8:Y8"/>
    <mergeCell ref="AI9:AK9"/>
    <mergeCell ref="F9:H9"/>
    <mergeCell ref="M9:O9"/>
    <mergeCell ref="F7:K8"/>
    <mergeCell ref="L7:R8"/>
    <mergeCell ref="F11:K11"/>
    <mergeCell ref="AM9:AO9"/>
    <mergeCell ref="Z9:AB9"/>
    <mergeCell ref="AC9:AE9"/>
    <mergeCell ref="AP9:AR9"/>
    <mergeCell ref="AF9:AH9"/>
    <mergeCell ref="AL7:BJ7"/>
    <mergeCell ref="AM8:AR8"/>
    <mergeCell ref="AV9:AX9"/>
    <mergeCell ref="BB9:BD9"/>
    <mergeCell ref="P9:R9"/>
    <mergeCell ref="T9:V9"/>
    <mergeCell ref="W9:Y9"/>
    <mergeCell ref="AS9:AU9"/>
    <mergeCell ref="AY9:BA9"/>
    <mergeCell ref="BE9:BG9"/>
    <mergeCell ref="BH9:BJ9"/>
    <mergeCell ref="BE8:BJ8"/>
    <mergeCell ref="AY8:BD8"/>
    <mergeCell ref="AS8:AX8"/>
  </mergeCells>
  <pageMargins left="0.23622047244094491" right="0.23622047244094491" top="0.74803149606299213" bottom="0.74803149606299213" header="0.31496062992125984" footer="0.31496062992125984"/>
  <pageSetup paperSize="9" scale="21" orientation="landscape" r:id="rId1"/>
  <headerFooter alignWithMargins="0">
    <oddFooter>&amp;A&amp;RPage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pageSetUpPr fitToPage="1"/>
  </sheetPr>
  <dimension ref="B1:I13"/>
  <sheetViews>
    <sheetView zoomScale="80" zoomScaleNormal="80" workbookViewId="0"/>
  </sheetViews>
  <sheetFormatPr defaultColWidth="9" defaultRowHeight="13.2" x14ac:dyDescent="0.25"/>
  <cols>
    <col min="1" max="1" width="11.8984375" style="19" customWidth="1"/>
    <col min="2" max="2" width="34.19921875" style="19" customWidth="1"/>
    <col min="3" max="3" width="16.3984375" style="19" customWidth="1"/>
    <col min="4" max="4" width="50.19921875" style="19" customWidth="1"/>
    <col min="5" max="5" width="20" style="19" customWidth="1"/>
    <col min="6" max="6" width="5.59765625" style="19" customWidth="1"/>
    <col min="7" max="9" width="19.69921875" style="19" customWidth="1"/>
    <col min="10" max="10" width="18.19921875" style="19" customWidth="1"/>
    <col min="11" max="16384" width="9" style="19"/>
  </cols>
  <sheetData>
    <row r="1" spans="2:9" ht="21" x14ac:dyDescent="0.4">
      <c r="B1" s="20" t="s">
        <v>255</v>
      </c>
      <c r="C1" s="18"/>
      <c r="D1" s="18"/>
      <c r="E1" s="18"/>
      <c r="F1" s="18"/>
      <c r="G1" s="18"/>
      <c r="H1" s="18"/>
      <c r="I1" s="18"/>
    </row>
    <row r="2" spans="2:9" ht="13.8" x14ac:dyDescent="0.25">
      <c r="B2" s="46" t="str">
        <f>Tradingname</f>
        <v>Southern Cross Pipelines Australia Pty Limited</v>
      </c>
      <c r="C2" s="47"/>
    </row>
    <row r="3" spans="2:9" ht="18" customHeight="1" x14ac:dyDescent="0.55000000000000004">
      <c r="B3" s="48" t="s">
        <v>157</v>
      </c>
      <c r="C3" s="49">
        <f>Yearending</f>
        <v>44742</v>
      </c>
      <c r="D3" s="42"/>
      <c r="E3" s="42"/>
    </row>
    <row r="4" spans="2:9" ht="21" x14ac:dyDescent="0.4">
      <c r="B4" s="17"/>
    </row>
    <row r="5" spans="2:9" ht="15.6" x14ac:dyDescent="0.3">
      <c r="B5" s="28" t="s">
        <v>256</v>
      </c>
    </row>
    <row r="6" spans="2:9" x14ac:dyDescent="0.25">
      <c r="B6" s="21"/>
      <c r="C6" s="24"/>
      <c r="D6" s="24"/>
      <c r="E6" s="24"/>
      <c r="G6" s="29"/>
      <c r="H6" s="26"/>
      <c r="I6" s="26"/>
    </row>
    <row r="7" spans="2:9" ht="57" customHeight="1" x14ac:dyDescent="0.25">
      <c r="B7" s="565" t="s">
        <v>124</v>
      </c>
      <c r="C7" s="566"/>
      <c r="D7" s="566"/>
      <c r="E7" s="567"/>
    </row>
    <row r="8" spans="2:9" ht="13.5" customHeight="1" x14ac:dyDescent="0.25">
      <c r="B8" s="564" t="s">
        <v>583</v>
      </c>
      <c r="C8" s="564"/>
      <c r="D8" s="564"/>
      <c r="E8" s="564"/>
    </row>
    <row r="9" spans="2:9" ht="13.5" customHeight="1" x14ac:dyDescent="0.25">
      <c r="B9" s="564" t="s">
        <v>584</v>
      </c>
      <c r="C9" s="564"/>
      <c r="D9" s="564"/>
      <c r="E9" s="564"/>
    </row>
    <row r="10" spans="2:9" ht="13.5" customHeight="1" x14ac:dyDescent="0.25">
      <c r="B10" s="564"/>
      <c r="C10" s="564"/>
      <c r="D10" s="564"/>
      <c r="E10" s="564"/>
    </row>
    <row r="11" spans="2:9" ht="13.5" customHeight="1" x14ac:dyDescent="0.25">
      <c r="B11" s="564"/>
      <c r="C11" s="564"/>
      <c r="D11" s="564"/>
      <c r="E11" s="564"/>
    </row>
    <row r="12" spans="2:9" ht="13.5" customHeight="1" x14ac:dyDescent="0.25">
      <c r="B12" s="564"/>
      <c r="C12" s="564"/>
      <c r="D12" s="564"/>
      <c r="E12" s="564"/>
    </row>
    <row r="13" spans="2:9" ht="13.5" customHeight="1" x14ac:dyDescent="0.25">
      <c r="B13" s="564"/>
      <c r="C13" s="564"/>
      <c r="D13" s="564"/>
      <c r="E13" s="564"/>
    </row>
  </sheetData>
  <mergeCells count="7">
    <mergeCell ref="B13:E13"/>
    <mergeCell ref="B7:E7"/>
    <mergeCell ref="B8:E8"/>
    <mergeCell ref="B9:E9"/>
    <mergeCell ref="B10:E10"/>
    <mergeCell ref="B11:E11"/>
    <mergeCell ref="B12:E12"/>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pageSetUpPr fitToPage="1"/>
  </sheetPr>
  <dimension ref="B1:I3"/>
  <sheetViews>
    <sheetView view="pageLayout" zoomScale="80" zoomScaleNormal="100" zoomScalePageLayoutView="80" workbookViewId="0"/>
  </sheetViews>
  <sheetFormatPr defaultColWidth="9" defaultRowHeight="13.2" x14ac:dyDescent="0.25"/>
  <cols>
    <col min="1" max="1" width="11.8984375" style="243" customWidth="1"/>
    <col min="2" max="2" width="22.3984375" style="238" customWidth="1"/>
    <col min="3" max="3" width="15.69921875" style="238" customWidth="1"/>
    <col min="4" max="4" width="12.69921875" style="238" customWidth="1"/>
    <col min="5" max="5" width="20" style="243" customWidth="1"/>
    <col min="6" max="6" width="5.59765625" style="243" customWidth="1"/>
    <col min="7" max="9" width="19.69921875" style="243" customWidth="1"/>
    <col min="10" max="10" width="18.19921875" style="243" customWidth="1"/>
    <col min="11" max="16384" width="9" style="243"/>
  </cols>
  <sheetData>
    <row r="1" spans="2:9" s="19" customFormat="1" ht="21" x14ac:dyDescent="0.4">
      <c r="B1" s="232" t="s">
        <v>312</v>
      </c>
      <c r="C1" s="233"/>
      <c r="D1" s="233"/>
      <c r="E1" s="18"/>
      <c r="F1" s="18"/>
      <c r="G1" s="18"/>
      <c r="H1" s="18"/>
      <c r="I1" s="18"/>
    </row>
    <row r="2" spans="2:9" s="19" customFormat="1" ht="13.8" x14ac:dyDescent="0.25">
      <c r="B2" s="234" t="str">
        <f>Tradingname</f>
        <v>Southern Cross Pipelines Australia Pty Limited</v>
      </c>
      <c r="C2" s="235"/>
      <c r="D2" s="144"/>
    </row>
    <row r="3" spans="2:9" s="19" customFormat="1" ht="18" customHeight="1" x14ac:dyDescent="0.55000000000000004">
      <c r="B3" s="236" t="s">
        <v>157</v>
      </c>
      <c r="C3" s="237">
        <f>Yearending</f>
        <v>44742</v>
      </c>
      <c r="D3" s="42"/>
      <c r="E3" s="42"/>
    </row>
  </sheetData>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colBreaks count="1" manualBreakCount="1">
    <brk id="6" max="22"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BE0F-BFAF-4B0B-B114-3EEB336589A1}">
  <sheetPr>
    <tabColor rgb="FFFF0000"/>
  </sheetPr>
  <dimension ref="A1"/>
  <sheetViews>
    <sheetView zoomScale="120" zoomScaleNormal="120" workbookViewId="0">
      <selection activeCell="H1" sqref="H1"/>
    </sheetView>
  </sheetViews>
  <sheetFormatPr defaultRowHeight="13.8" x14ac:dyDescent="0.25"/>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33CCCC"/>
    <pageSetUpPr fitToPage="1"/>
  </sheetPr>
  <dimension ref="A1:U159"/>
  <sheetViews>
    <sheetView showGridLines="0" zoomScale="80" zoomScaleNormal="80" workbookViewId="0"/>
  </sheetViews>
  <sheetFormatPr defaultRowHeight="13.8" x14ac:dyDescent="0.25"/>
  <cols>
    <col min="1" max="1" width="10.59765625" customWidth="1"/>
    <col min="2" max="2" width="16.5" style="52" customWidth="1"/>
    <col min="3" max="3" width="27.3984375" customWidth="1"/>
    <col min="4" max="4" width="37.59765625" style="52" customWidth="1"/>
    <col min="5" max="5" width="25.3984375" customWidth="1"/>
    <col min="6" max="6" width="30.59765625" customWidth="1"/>
    <col min="7" max="7" width="58.8984375" customWidth="1"/>
    <col min="8" max="11" width="9" style="249" customWidth="1"/>
    <col min="12" max="12" width="13" style="249" customWidth="1"/>
    <col min="13" max="13" width="12.5" style="249" customWidth="1"/>
    <col min="14" max="14" width="11.8984375" style="249" customWidth="1"/>
    <col min="15" max="19" width="9" style="249" customWidth="1"/>
    <col min="20" max="20" width="75.19921875" style="249" customWidth="1"/>
    <col min="21" max="21" width="47.5" style="249" customWidth="1"/>
  </cols>
  <sheetData>
    <row r="1" spans="1:21" ht="19.2" customHeight="1" x14ac:dyDescent="0.25"/>
    <row r="2" spans="1:21" ht="78" customHeight="1" x14ac:dyDescent="0.25">
      <c r="A2" s="245" t="s">
        <v>208</v>
      </c>
      <c r="B2" s="245" t="s">
        <v>257</v>
      </c>
      <c r="C2" s="245" t="s">
        <v>209</v>
      </c>
      <c r="D2" s="245" t="s">
        <v>210</v>
      </c>
      <c r="E2" s="245" t="s">
        <v>213</v>
      </c>
      <c r="F2" s="245" t="s">
        <v>211</v>
      </c>
      <c r="G2" s="245" t="s">
        <v>212</v>
      </c>
      <c r="K2" s="250"/>
      <c r="L2" s="250"/>
      <c r="M2" s="250"/>
      <c r="N2" s="250"/>
      <c r="O2" s="250"/>
      <c r="P2" s="250"/>
      <c r="Q2" s="250"/>
      <c r="R2" s="250"/>
      <c r="S2" s="250"/>
      <c r="T2" s="250"/>
      <c r="U2"/>
    </row>
    <row r="3" spans="1:21" s="227" customFormat="1" ht="27.6" x14ac:dyDescent="0.25">
      <c r="A3" s="317">
        <v>44083</v>
      </c>
      <c r="B3" s="318">
        <v>1</v>
      </c>
      <c r="C3" s="319" t="s">
        <v>266</v>
      </c>
      <c r="D3" s="328" t="s">
        <v>463</v>
      </c>
      <c r="E3" s="320" t="s">
        <v>303</v>
      </c>
      <c r="F3" s="320" t="s">
        <v>277</v>
      </c>
      <c r="G3" s="320" t="s">
        <v>304</v>
      </c>
      <c r="H3" s="251"/>
      <c r="I3" s="251"/>
      <c r="J3" s="251"/>
      <c r="K3" s="252"/>
      <c r="L3" s="251"/>
      <c r="M3" s="251"/>
      <c r="N3" s="251"/>
      <c r="O3" s="251"/>
      <c r="P3" s="251"/>
      <c r="Q3" s="251"/>
      <c r="R3" s="251"/>
      <c r="S3" s="253"/>
      <c r="T3" s="251"/>
    </row>
    <row r="4" spans="1:21" s="227" customFormat="1" x14ac:dyDescent="0.25">
      <c r="A4" s="317">
        <v>44083</v>
      </c>
      <c r="B4" s="318">
        <f>B3+1</f>
        <v>2</v>
      </c>
      <c r="C4" s="319" t="s">
        <v>266</v>
      </c>
      <c r="D4" s="328" t="s">
        <v>463</v>
      </c>
      <c r="E4" s="320" t="s">
        <v>268</v>
      </c>
      <c r="F4" s="319" t="s">
        <v>277</v>
      </c>
      <c r="G4" s="320" t="s">
        <v>269</v>
      </c>
      <c r="H4" s="251"/>
      <c r="I4" s="251"/>
      <c r="J4" s="251"/>
      <c r="K4" s="252"/>
      <c r="L4" s="251"/>
      <c r="M4" s="251"/>
      <c r="N4" s="251"/>
      <c r="O4" s="251"/>
      <c r="P4" s="251"/>
      <c r="Q4" s="251"/>
      <c r="R4" s="251"/>
      <c r="S4" s="254"/>
      <c r="T4" s="251"/>
    </row>
    <row r="5" spans="1:21" s="227" customFormat="1" x14ac:dyDescent="0.25">
      <c r="A5" s="317">
        <v>44083</v>
      </c>
      <c r="B5" s="318">
        <f>B4+1</f>
        <v>3</v>
      </c>
      <c r="C5" s="319" t="s">
        <v>266</v>
      </c>
      <c r="D5" s="328" t="s">
        <v>463</v>
      </c>
      <c r="E5" s="320" t="s">
        <v>306</v>
      </c>
      <c r="F5" s="319" t="s">
        <v>277</v>
      </c>
      <c r="G5" s="320" t="s">
        <v>270</v>
      </c>
      <c r="H5" s="251"/>
      <c r="I5" s="251"/>
      <c r="J5" s="251"/>
      <c r="K5" s="252"/>
      <c r="L5" s="251"/>
      <c r="M5" s="251"/>
      <c r="N5" s="251"/>
      <c r="O5" s="251"/>
      <c r="P5" s="251"/>
      <c r="Q5" s="251"/>
      <c r="R5" s="251"/>
      <c r="S5" s="254"/>
      <c r="T5" s="251"/>
    </row>
    <row r="6" spans="1:21" s="227" customFormat="1" ht="27.6" x14ac:dyDescent="0.25">
      <c r="A6" s="317">
        <v>44083</v>
      </c>
      <c r="B6" s="318">
        <f t="shared" ref="B6:B83" si="0">B5+1</f>
        <v>4</v>
      </c>
      <c r="C6" s="319" t="s">
        <v>266</v>
      </c>
      <c r="D6" s="328" t="s">
        <v>463</v>
      </c>
      <c r="E6" s="320" t="s">
        <v>305</v>
      </c>
      <c r="F6" s="319" t="s">
        <v>267</v>
      </c>
      <c r="G6" s="321" t="s">
        <v>338</v>
      </c>
      <c r="H6" s="251"/>
      <c r="I6" s="251"/>
      <c r="J6" s="251"/>
      <c r="K6" s="252"/>
      <c r="L6" s="251"/>
      <c r="M6" s="251"/>
      <c r="N6" s="251"/>
      <c r="O6" s="251"/>
      <c r="P6" s="251"/>
      <c r="Q6" s="251"/>
      <c r="R6" s="251"/>
      <c r="S6" s="254"/>
      <c r="T6" s="251"/>
    </row>
    <row r="7" spans="1:21" s="227" customFormat="1" x14ac:dyDescent="0.25">
      <c r="A7" s="317">
        <v>44083</v>
      </c>
      <c r="B7" s="318">
        <f t="shared" si="0"/>
        <v>5</v>
      </c>
      <c r="C7" s="319" t="s">
        <v>266</v>
      </c>
      <c r="D7" s="328" t="s">
        <v>463</v>
      </c>
      <c r="E7" s="320" t="s">
        <v>307</v>
      </c>
      <c r="F7" s="319" t="s">
        <v>267</v>
      </c>
      <c r="G7" s="320" t="s">
        <v>308</v>
      </c>
      <c r="H7" s="251"/>
      <c r="I7" s="251"/>
      <c r="J7" s="251"/>
      <c r="K7" s="252"/>
      <c r="L7" s="251"/>
      <c r="M7" s="251"/>
      <c r="N7" s="251"/>
      <c r="O7" s="251"/>
      <c r="P7" s="251"/>
      <c r="Q7" s="251"/>
      <c r="R7" s="251"/>
      <c r="S7" s="254"/>
      <c r="T7" s="251"/>
    </row>
    <row r="8" spans="1:21" s="227" customFormat="1" ht="27.6" x14ac:dyDescent="0.25">
      <c r="A8" s="317">
        <v>44083</v>
      </c>
      <c r="B8" s="318">
        <f t="shared" si="0"/>
        <v>6</v>
      </c>
      <c r="C8" s="319" t="s">
        <v>266</v>
      </c>
      <c r="D8" s="328" t="s">
        <v>463</v>
      </c>
      <c r="E8" s="320" t="s">
        <v>309</v>
      </c>
      <c r="F8" s="319" t="s">
        <v>267</v>
      </c>
      <c r="G8" s="321" t="s">
        <v>339</v>
      </c>
      <c r="H8" s="251"/>
      <c r="I8" s="251"/>
      <c r="J8" s="251"/>
      <c r="K8" s="252"/>
      <c r="L8" s="251"/>
      <c r="M8" s="251"/>
      <c r="N8" s="251"/>
      <c r="O8" s="251"/>
      <c r="P8" s="251"/>
      <c r="Q8" s="251"/>
      <c r="R8" s="251"/>
      <c r="S8" s="254"/>
      <c r="T8" s="251"/>
    </row>
    <row r="9" spans="1:21" s="227" customFormat="1" ht="27.6" x14ac:dyDescent="0.25">
      <c r="A9" s="317">
        <v>44083</v>
      </c>
      <c r="B9" s="318">
        <f t="shared" si="0"/>
        <v>7</v>
      </c>
      <c r="C9" s="319" t="s">
        <v>266</v>
      </c>
      <c r="D9" s="328" t="s">
        <v>463</v>
      </c>
      <c r="E9" s="320" t="s">
        <v>310</v>
      </c>
      <c r="F9" s="319" t="s">
        <v>267</v>
      </c>
      <c r="G9" s="320" t="s">
        <v>311</v>
      </c>
      <c r="H9" s="251"/>
      <c r="I9" s="251"/>
      <c r="J9" s="251"/>
      <c r="K9" s="252"/>
      <c r="L9" s="251"/>
      <c r="M9" s="251"/>
      <c r="N9" s="251"/>
      <c r="O9" s="251"/>
      <c r="P9" s="251"/>
      <c r="Q9" s="251"/>
      <c r="R9" s="251"/>
      <c r="S9" s="254"/>
      <c r="T9" s="251"/>
    </row>
    <row r="10" spans="1:21" s="227" customFormat="1" x14ac:dyDescent="0.25">
      <c r="A10" s="317">
        <v>44083</v>
      </c>
      <c r="B10" s="318">
        <f t="shared" si="0"/>
        <v>8</v>
      </c>
      <c r="C10" s="319" t="s">
        <v>258</v>
      </c>
      <c r="D10" s="328" t="s">
        <v>332</v>
      </c>
      <c r="E10" s="319" t="s">
        <v>260</v>
      </c>
      <c r="F10" s="320" t="s">
        <v>261</v>
      </c>
      <c r="G10" s="320" t="s">
        <v>259</v>
      </c>
      <c r="H10" s="251"/>
      <c r="I10" s="251"/>
      <c r="J10" s="251"/>
      <c r="K10" s="252"/>
      <c r="L10" s="251"/>
      <c r="M10" s="251"/>
      <c r="N10" s="251"/>
      <c r="O10" s="251"/>
      <c r="P10" s="251"/>
      <c r="Q10" s="251"/>
      <c r="R10" s="251"/>
      <c r="S10" s="254"/>
      <c r="T10" s="255"/>
    </row>
    <row r="11" spans="1:21" s="227" customFormat="1" x14ac:dyDescent="0.25">
      <c r="A11" s="317">
        <v>44083</v>
      </c>
      <c r="B11" s="318">
        <f t="shared" si="0"/>
        <v>9</v>
      </c>
      <c r="C11" s="319" t="s">
        <v>275</v>
      </c>
      <c r="D11" s="329" t="s">
        <v>464</v>
      </c>
      <c r="E11" s="319" t="s">
        <v>276</v>
      </c>
      <c r="F11" s="319" t="s">
        <v>277</v>
      </c>
      <c r="G11" s="320" t="s">
        <v>278</v>
      </c>
      <c r="H11" s="251"/>
      <c r="I11" s="251"/>
      <c r="J11" s="251"/>
      <c r="K11" s="252"/>
      <c r="L11" s="251"/>
      <c r="M11" s="251"/>
      <c r="N11" s="251"/>
      <c r="O11" s="251"/>
      <c r="P11" s="251"/>
      <c r="Q11" s="251"/>
      <c r="R11" s="251"/>
      <c r="S11" s="254"/>
      <c r="T11" s="251"/>
    </row>
    <row r="12" spans="1:21" s="227" customFormat="1" ht="27.6" x14ac:dyDescent="0.25">
      <c r="A12" s="317">
        <v>44083</v>
      </c>
      <c r="B12" s="318">
        <f t="shared" si="0"/>
        <v>10</v>
      </c>
      <c r="C12" s="319" t="s">
        <v>282</v>
      </c>
      <c r="D12" s="329" t="s">
        <v>465</v>
      </c>
      <c r="E12" s="322" t="s">
        <v>340</v>
      </c>
      <c r="F12" s="319" t="s">
        <v>283</v>
      </c>
      <c r="G12" s="320" t="s">
        <v>284</v>
      </c>
      <c r="H12" s="251"/>
      <c r="I12" s="251"/>
      <c r="J12" s="251"/>
      <c r="K12" s="252"/>
      <c r="L12" s="251"/>
      <c r="M12" s="251"/>
      <c r="N12" s="251"/>
      <c r="O12" s="251"/>
      <c r="P12" s="251"/>
      <c r="Q12" s="251"/>
      <c r="R12" s="251"/>
      <c r="S12" s="254"/>
      <c r="T12" s="251"/>
    </row>
    <row r="13" spans="1:21" s="227" customFormat="1" ht="41.4" x14ac:dyDescent="0.25">
      <c r="A13" s="317">
        <v>44083</v>
      </c>
      <c r="B13" s="318">
        <f t="shared" si="0"/>
        <v>11</v>
      </c>
      <c r="C13" s="319" t="s">
        <v>271</v>
      </c>
      <c r="D13" s="328" t="s">
        <v>272</v>
      </c>
      <c r="E13" s="319" t="s">
        <v>273</v>
      </c>
      <c r="F13" s="319" t="s">
        <v>267</v>
      </c>
      <c r="G13" s="320" t="s">
        <v>274</v>
      </c>
      <c r="H13" s="251"/>
      <c r="I13" s="251"/>
      <c r="J13" s="251"/>
      <c r="K13" s="252"/>
      <c r="L13" s="251"/>
      <c r="M13" s="251"/>
      <c r="N13" s="251"/>
      <c r="O13" s="251"/>
      <c r="P13" s="251"/>
      <c r="Q13" s="251"/>
      <c r="R13" s="251"/>
      <c r="S13" s="254"/>
      <c r="T13" s="251"/>
    </row>
    <row r="14" spans="1:21" s="227" customFormat="1" ht="27.6" x14ac:dyDescent="0.25">
      <c r="A14" s="317">
        <v>44083</v>
      </c>
      <c r="B14" s="318">
        <f t="shared" si="0"/>
        <v>12</v>
      </c>
      <c r="C14" s="319" t="s">
        <v>271</v>
      </c>
      <c r="D14" s="330" t="s">
        <v>272</v>
      </c>
      <c r="E14" s="321" t="s">
        <v>341</v>
      </c>
      <c r="F14" s="323" t="s">
        <v>285</v>
      </c>
      <c r="G14" s="324" t="s">
        <v>286</v>
      </c>
      <c r="H14" s="251"/>
      <c r="I14" s="251"/>
      <c r="J14" s="251"/>
      <c r="K14" s="252"/>
      <c r="L14" s="251"/>
      <c r="M14" s="251"/>
      <c r="N14" s="251"/>
      <c r="O14" s="251"/>
      <c r="P14" s="251"/>
      <c r="Q14" s="251"/>
      <c r="R14" s="251"/>
      <c r="S14" s="254"/>
      <c r="T14" s="251"/>
    </row>
    <row r="15" spans="1:21" s="227" customFormat="1" ht="27.6" x14ac:dyDescent="0.25">
      <c r="A15" s="317">
        <v>44083</v>
      </c>
      <c r="B15" s="318">
        <f t="shared" si="0"/>
        <v>13</v>
      </c>
      <c r="C15" s="319" t="s">
        <v>266</v>
      </c>
      <c r="D15" s="328" t="s">
        <v>463</v>
      </c>
      <c r="E15" s="322" t="s">
        <v>342</v>
      </c>
      <c r="F15" s="323" t="s">
        <v>285</v>
      </c>
      <c r="G15" s="324" t="s">
        <v>286</v>
      </c>
      <c r="H15" s="251"/>
      <c r="I15" s="251"/>
      <c r="J15" s="251"/>
      <c r="K15" s="252"/>
      <c r="L15" s="251"/>
      <c r="M15" s="251"/>
      <c r="N15" s="251"/>
      <c r="O15" s="251"/>
      <c r="P15" s="251"/>
      <c r="Q15" s="251"/>
      <c r="R15" s="251"/>
      <c r="S15" s="254"/>
      <c r="T15" s="255"/>
    </row>
    <row r="16" spans="1:21" s="227" customFormat="1" x14ac:dyDescent="0.25">
      <c r="A16" s="317">
        <v>44083</v>
      </c>
      <c r="B16" s="318">
        <f t="shared" si="0"/>
        <v>14</v>
      </c>
      <c r="C16" s="319" t="s">
        <v>287</v>
      </c>
      <c r="D16" s="330" t="s">
        <v>466</v>
      </c>
      <c r="E16" s="319" t="s">
        <v>288</v>
      </c>
      <c r="F16" s="319" t="s">
        <v>283</v>
      </c>
      <c r="G16" s="320" t="s">
        <v>289</v>
      </c>
      <c r="H16" s="251"/>
      <c r="I16" s="251"/>
      <c r="J16" s="251"/>
      <c r="K16" s="252"/>
      <c r="L16" s="251"/>
      <c r="M16" s="251"/>
      <c r="N16" s="251"/>
      <c r="O16" s="251"/>
      <c r="P16" s="251"/>
      <c r="Q16" s="251"/>
      <c r="R16" s="251"/>
      <c r="S16" s="254"/>
      <c r="T16" s="251"/>
    </row>
    <row r="17" spans="1:20" s="227" customFormat="1" x14ac:dyDescent="0.25">
      <c r="A17" s="317">
        <v>44083</v>
      </c>
      <c r="B17" s="318">
        <f t="shared" si="0"/>
        <v>15</v>
      </c>
      <c r="C17" s="319" t="s">
        <v>287</v>
      </c>
      <c r="D17" s="330" t="s">
        <v>466</v>
      </c>
      <c r="E17" s="319" t="s">
        <v>290</v>
      </c>
      <c r="F17" s="319" t="s">
        <v>285</v>
      </c>
      <c r="G17" s="322" t="s">
        <v>337</v>
      </c>
      <c r="H17" s="251"/>
      <c r="I17" s="251"/>
      <c r="J17" s="251"/>
      <c r="K17" s="252"/>
      <c r="L17" s="251"/>
      <c r="M17" s="251"/>
      <c r="N17" s="251"/>
      <c r="O17" s="251"/>
      <c r="P17" s="251"/>
      <c r="Q17" s="251"/>
      <c r="R17" s="251"/>
      <c r="S17" s="254"/>
      <c r="T17" s="255"/>
    </row>
    <row r="18" spans="1:20" s="227" customFormat="1" x14ac:dyDescent="0.25">
      <c r="A18" s="317">
        <v>44083</v>
      </c>
      <c r="B18" s="318">
        <f t="shared" si="0"/>
        <v>16</v>
      </c>
      <c r="C18" s="319" t="s">
        <v>266</v>
      </c>
      <c r="D18" s="328" t="s">
        <v>463</v>
      </c>
      <c r="E18" s="319" t="s">
        <v>291</v>
      </c>
      <c r="F18" s="319" t="s">
        <v>285</v>
      </c>
      <c r="G18" s="322" t="s">
        <v>337</v>
      </c>
      <c r="H18" s="251"/>
      <c r="I18" s="251"/>
      <c r="J18" s="251"/>
      <c r="K18" s="252"/>
      <c r="L18" s="251"/>
      <c r="M18" s="251"/>
      <c r="N18" s="251"/>
      <c r="O18" s="251"/>
      <c r="P18" s="251"/>
      <c r="Q18" s="251"/>
      <c r="R18" s="251"/>
      <c r="S18" s="254"/>
      <c r="T18" s="251"/>
    </row>
    <row r="19" spans="1:20" s="227" customFormat="1" x14ac:dyDescent="0.25">
      <c r="A19" s="317">
        <v>44083</v>
      </c>
      <c r="B19" s="318">
        <f t="shared" si="0"/>
        <v>17</v>
      </c>
      <c r="C19" s="323" t="s">
        <v>266</v>
      </c>
      <c r="D19" s="330" t="s">
        <v>463</v>
      </c>
      <c r="E19" s="323" t="s">
        <v>292</v>
      </c>
      <c r="F19" s="323" t="s">
        <v>285</v>
      </c>
      <c r="G19" s="321" t="s">
        <v>343</v>
      </c>
      <c r="H19" s="251"/>
      <c r="I19" s="251"/>
      <c r="J19" s="251"/>
      <c r="K19" s="252"/>
      <c r="L19" s="251"/>
      <c r="M19" s="251"/>
      <c r="N19" s="251"/>
      <c r="O19" s="251"/>
      <c r="P19" s="251"/>
      <c r="Q19" s="251"/>
      <c r="R19" s="251"/>
      <c r="S19" s="254"/>
      <c r="T19" s="255"/>
    </row>
    <row r="20" spans="1:20" s="227" customFormat="1" ht="27.6" x14ac:dyDescent="0.25">
      <c r="A20" s="317">
        <v>44083</v>
      </c>
      <c r="B20" s="318">
        <f t="shared" si="0"/>
        <v>18</v>
      </c>
      <c r="C20" s="319" t="s">
        <v>282</v>
      </c>
      <c r="D20" s="329" t="s">
        <v>465</v>
      </c>
      <c r="E20" s="319" t="s">
        <v>293</v>
      </c>
      <c r="F20" s="319" t="s">
        <v>277</v>
      </c>
      <c r="G20" s="320" t="s">
        <v>294</v>
      </c>
      <c r="H20" s="251"/>
      <c r="I20" s="251"/>
      <c r="J20" s="251"/>
      <c r="K20" s="252"/>
      <c r="L20" s="251"/>
      <c r="M20" s="251"/>
      <c r="N20" s="251"/>
      <c r="O20" s="251"/>
      <c r="P20" s="251"/>
      <c r="Q20" s="251"/>
      <c r="R20" s="251"/>
      <c r="S20" s="254"/>
      <c r="T20" s="251"/>
    </row>
    <row r="21" spans="1:20" s="227" customFormat="1" ht="27.6" x14ac:dyDescent="0.25">
      <c r="A21" s="317">
        <v>44083</v>
      </c>
      <c r="B21" s="318">
        <f t="shared" si="0"/>
        <v>19</v>
      </c>
      <c r="C21" s="319" t="s">
        <v>266</v>
      </c>
      <c r="D21" s="328" t="s">
        <v>463</v>
      </c>
      <c r="E21" s="319" t="s">
        <v>295</v>
      </c>
      <c r="F21" s="319" t="s">
        <v>267</v>
      </c>
      <c r="G21" s="320" t="s">
        <v>296</v>
      </c>
      <c r="H21" s="251"/>
      <c r="I21" s="251"/>
      <c r="J21" s="251"/>
      <c r="K21" s="252"/>
      <c r="L21" s="251"/>
      <c r="M21" s="251"/>
      <c r="N21" s="251"/>
      <c r="O21" s="251"/>
      <c r="P21" s="251"/>
      <c r="Q21" s="251"/>
      <c r="R21" s="251"/>
      <c r="S21" s="254"/>
      <c r="T21" s="251"/>
    </row>
    <row r="22" spans="1:20" s="227" customFormat="1" ht="75" customHeight="1" x14ac:dyDescent="0.25">
      <c r="A22" s="317">
        <v>44083</v>
      </c>
      <c r="B22" s="318">
        <f t="shared" si="0"/>
        <v>20</v>
      </c>
      <c r="C22" s="319" t="s">
        <v>266</v>
      </c>
      <c r="D22" s="328" t="s">
        <v>463</v>
      </c>
      <c r="E22" s="320" t="s">
        <v>297</v>
      </c>
      <c r="F22" s="319" t="s">
        <v>283</v>
      </c>
      <c r="G22" s="320" t="s">
        <v>298</v>
      </c>
      <c r="H22" s="251"/>
      <c r="I22" s="251"/>
      <c r="J22" s="251"/>
      <c r="K22" s="252"/>
      <c r="L22" s="251"/>
      <c r="M22" s="251"/>
      <c r="N22" s="251"/>
      <c r="O22" s="251"/>
      <c r="P22" s="251"/>
      <c r="Q22" s="251"/>
      <c r="R22" s="251"/>
      <c r="S22" s="254"/>
      <c r="T22" s="251"/>
    </row>
    <row r="23" spans="1:20" s="227" customFormat="1" ht="27.6" x14ac:dyDescent="0.25">
      <c r="A23" s="317">
        <v>44083</v>
      </c>
      <c r="B23" s="318">
        <f t="shared" si="0"/>
        <v>21</v>
      </c>
      <c r="C23" s="319" t="s">
        <v>299</v>
      </c>
      <c r="D23" s="328" t="s">
        <v>300</v>
      </c>
      <c r="E23" s="319" t="s">
        <v>300</v>
      </c>
      <c r="F23" s="319" t="s">
        <v>301</v>
      </c>
      <c r="G23" s="320" t="s">
        <v>336</v>
      </c>
      <c r="H23" s="251"/>
      <c r="I23" s="251"/>
      <c r="J23" s="251"/>
      <c r="K23" s="252"/>
      <c r="L23" s="251"/>
      <c r="M23" s="251"/>
      <c r="N23" s="251"/>
      <c r="O23" s="251"/>
      <c r="P23" s="251"/>
      <c r="Q23" s="251"/>
      <c r="R23" s="251"/>
      <c r="S23" s="254"/>
      <c r="T23" s="251"/>
    </row>
    <row r="24" spans="1:20" s="227" customFormat="1" ht="27.6" x14ac:dyDescent="0.25">
      <c r="A24" s="317">
        <v>44083</v>
      </c>
      <c r="B24" s="318">
        <f t="shared" si="0"/>
        <v>22</v>
      </c>
      <c r="C24" s="319" t="s">
        <v>258</v>
      </c>
      <c r="D24" s="328" t="s">
        <v>332</v>
      </c>
      <c r="E24" s="322" t="s">
        <v>344</v>
      </c>
      <c r="F24" s="319" t="s">
        <v>277</v>
      </c>
      <c r="G24" s="320" t="s">
        <v>302</v>
      </c>
      <c r="H24" s="251"/>
      <c r="I24" s="251"/>
      <c r="J24" s="251"/>
      <c r="K24" s="252"/>
      <c r="L24" s="251"/>
      <c r="M24" s="251"/>
      <c r="N24" s="251"/>
      <c r="O24" s="251"/>
      <c r="P24" s="251"/>
      <c r="Q24" s="251"/>
      <c r="R24" s="251"/>
      <c r="S24" s="254"/>
      <c r="T24" s="251"/>
    </row>
    <row r="25" spans="1:20" s="227" customFormat="1" x14ac:dyDescent="0.25">
      <c r="A25" s="317">
        <v>44083</v>
      </c>
      <c r="B25" s="318">
        <f t="shared" si="0"/>
        <v>23</v>
      </c>
      <c r="C25" s="319" t="s">
        <v>258</v>
      </c>
      <c r="D25" s="328" t="s">
        <v>332</v>
      </c>
      <c r="E25" s="319" t="s">
        <v>313</v>
      </c>
      <c r="F25" s="319" t="s">
        <v>285</v>
      </c>
      <c r="G25" s="320" t="s">
        <v>314</v>
      </c>
      <c r="H25" s="251"/>
      <c r="I25" s="251"/>
      <c r="J25" s="251"/>
      <c r="K25" s="252"/>
      <c r="L25" s="251"/>
      <c r="M25" s="251"/>
      <c r="N25" s="251"/>
      <c r="O25" s="251"/>
      <c r="P25" s="251"/>
      <c r="Q25" s="251"/>
      <c r="R25" s="251"/>
      <c r="S25" s="254"/>
      <c r="T25" s="251"/>
    </row>
    <row r="26" spans="1:20" s="227" customFormat="1" ht="27.6" x14ac:dyDescent="0.25">
      <c r="A26" s="317">
        <v>44083</v>
      </c>
      <c r="B26" s="318">
        <f t="shared" si="0"/>
        <v>24</v>
      </c>
      <c r="C26" s="319" t="s">
        <v>279</v>
      </c>
      <c r="D26" s="329" t="s">
        <v>467</v>
      </c>
      <c r="E26" s="319" t="s">
        <v>315</v>
      </c>
      <c r="F26" s="319" t="s">
        <v>285</v>
      </c>
      <c r="G26" s="320" t="s">
        <v>314</v>
      </c>
      <c r="H26" s="251"/>
      <c r="I26" s="251"/>
      <c r="J26" s="251"/>
      <c r="K26" s="252"/>
      <c r="L26" s="251"/>
      <c r="M26" s="251"/>
      <c r="N26" s="251"/>
      <c r="O26" s="251"/>
      <c r="P26" s="251"/>
      <c r="Q26" s="251"/>
      <c r="R26" s="251"/>
      <c r="S26" s="254"/>
      <c r="T26" s="251"/>
    </row>
    <row r="27" spans="1:20" s="227" customFormat="1" x14ac:dyDescent="0.25">
      <c r="A27" s="317">
        <v>44118</v>
      </c>
      <c r="B27" s="318">
        <f t="shared" si="0"/>
        <v>25</v>
      </c>
      <c r="C27" s="319" t="s">
        <v>316</v>
      </c>
      <c r="D27" s="328" t="s">
        <v>141</v>
      </c>
      <c r="E27" s="319" t="s">
        <v>318</v>
      </c>
      <c r="F27" s="319" t="s">
        <v>345</v>
      </c>
      <c r="G27" s="320" t="s">
        <v>319</v>
      </c>
      <c r="H27" s="251"/>
      <c r="I27" s="251"/>
      <c r="J27" s="251"/>
      <c r="K27" s="251"/>
      <c r="L27" s="251"/>
      <c r="M27" s="251"/>
      <c r="N27" s="251"/>
      <c r="O27" s="251"/>
      <c r="P27" s="251"/>
      <c r="Q27" s="251"/>
      <c r="R27" s="251"/>
      <c r="S27" s="253"/>
      <c r="T27" s="251"/>
    </row>
    <row r="28" spans="1:20" s="227" customFormat="1" x14ac:dyDescent="0.25">
      <c r="A28" s="317">
        <v>44118</v>
      </c>
      <c r="B28" s="318">
        <f t="shared" si="0"/>
        <v>26</v>
      </c>
      <c r="C28" s="319" t="s">
        <v>271</v>
      </c>
      <c r="D28" s="328" t="s">
        <v>272</v>
      </c>
      <c r="E28" s="319" t="s">
        <v>330</v>
      </c>
      <c r="F28" s="319" t="s">
        <v>345</v>
      </c>
      <c r="G28" s="320" t="s">
        <v>331</v>
      </c>
      <c r="H28" s="251"/>
      <c r="I28" s="251"/>
      <c r="J28" s="251"/>
      <c r="K28" s="251"/>
      <c r="L28" s="251"/>
      <c r="M28" s="251"/>
      <c r="N28" s="251"/>
      <c r="O28" s="251"/>
      <c r="P28" s="251"/>
      <c r="Q28" s="251"/>
      <c r="R28" s="251"/>
      <c r="S28" s="253"/>
      <c r="T28" s="251"/>
    </row>
    <row r="29" spans="1:20" s="230" customFormat="1" x14ac:dyDescent="0.25">
      <c r="A29" s="317">
        <v>44118</v>
      </c>
      <c r="B29" s="318">
        <f t="shared" si="0"/>
        <v>27</v>
      </c>
      <c r="C29" s="319" t="s">
        <v>266</v>
      </c>
      <c r="D29" s="328" t="s">
        <v>324</v>
      </c>
      <c r="E29" s="319" t="s">
        <v>326</v>
      </c>
      <c r="F29" s="319" t="s">
        <v>345</v>
      </c>
      <c r="G29" s="320" t="s">
        <v>327</v>
      </c>
      <c r="H29" s="248"/>
      <c r="I29" s="248"/>
      <c r="J29" s="248"/>
      <c r="K29" s="248"/>
      <c r="L29" s="248"/>
      <c r="M29" s="248"/>
      <c r="N29" s="248"/>
      <c r="O29" s="248"/>
      <c r="P29" s="248"/>
      <c r="Q29" s="248"/>
      <c r="R29" s="248"/>
      <c r="S29" s="248"/>
      <c r="T29" s="248"/>
    </row>
    <row r="30" spans="1:20" s="230" customFormat="1" x14ac:dyDescent="0.25">
      <c r="A30" s="317">
        <v>44118</v>
      </c>
      <c r="B30" s="318">
        <f t="shared" si="0"/>
        <v>28</v>
      </c>
      <c r="C30" s="319" t="s">
        <v>266</v>
      </c>
      <c r="D30" s="328" t="s">
        <v>324</v>
      </c>
      <c r="E30" s="319" t="s">
        <v>323</v>
      </c>
      <c r="F30" s="319" t="s">
        <v>345</v>
      </c>
      <c r="G30" s="320" t="s">
        <v>325</v>
      </c>
      <c r="H30" s="248"/>
      <c r="I30" s="248"/>
      <c r="J30" s="248"/>
      <c r="K30" s="248"/>
      <c r="L30" s="248"/>
      <c r="M30" s="248"/>
      <c r="N30" s="248"/>
      <c r="O30" s="248"/>
      <c r="P30" s="248"/>
      <c r="Q30" s="248"/>
      <c r="R30" s="248"/>
      <c r="S30" s="248"/>
      <c r="T30" s="248"/>
    </row>
    <row r="31" spans="1:20" s="230" customFormat="1" x14ac:dyDescent="0.25">
      <c r="A31" s="317">
        <v>44118</v>
      </c>
      <c r="B31" s="318">
        <f t="shared" si="0"/>
        <v>29</v>
      </c>
      <c r="C31" s="319" t="s">
        <v>258</v>
      </c>
      <c r="D31" s="328" t="s">
        <v>332</v>
      </c>
      <c r="E31" s="319" t="s">
        <v>320</v>
      </c>
      <c r="F31" s="319" t="s">
        <v>345</v>
      </c>
      <c r="G31" s="320" t="s">
        <v>321</v>
      </c>
      <c r="H31" s="248"/>
      <c r="I31" s="248"/>
      <c r="J31" s="248"/>
      <c r="K31" s="248"/>
      <c r="L31" s="248"/>
      <c r="M31" s="248"/>
      <c r="N31" s="248"/>
      <c r="O31" s="248"/>
      <c r="P31" s="248"/>
      <c r="Q31" s="248"/>
      <c r="R31" s="248"/>
      <c r="S31" s="246"/>
      <c r="T31" s="248"/>
    </row>
    <row r="32" spans="1:20" s="244" customFormat="1" ht="27.6" x14ac:dyDescent="0.25">
      <c r="A32" s="317">
        <v>44118</v>
      </c>
      <c r="B32" s="318">
        <f t="shared" si="0"/>
        <v>30</v>
      </c>
      <c r="C32" s="319" t="s">
        <v>253</v>
      </c>
      <c r="D32" s="329" t="s">
        <v>334</v>
      </c>
      <c r="E32" s="319" t="s">
        <v>322</v>
      </c>
      <c r="F32" s="319" t="s">
        <v>345</v>
      </c>
      <c r="G32" s="320" t="s">
        <v>321</v>
      </c>
      <c r="H32" s="247"/>
      <c r="I32" s="247"/>
      <c r="J32" s="247"/>
      <c r="K32" s="247"/>
      <c r="L32" s="247"/>
      <c r="M32" s="247"/>
      <c r="N32" s="247"/>
      <c r="O32" s="247"/>
      <c r="P32" s="247"/>
      <c r="Q32" s="247"/>
      <c r="R32" s="247"/>
      <c r="S32" s="247"/>
      <c r="T32" s="247"/>
    </row>
    <row r="33" spans="1:21" s="304" customFormat="1" x14ac:dyDescent="0.25">
      <c r="A33" s="405">
        <v>44377</v>
      </c>
      <c r="B33" s="316">
        <f t="shared" si="0"/>
        <v>31</v>
      </c>
      <c r="C33" s="325" t="s">
        <v>316</v>
      </c>
      <c r="D33" s="331"/>
      <c r="E33" s="326" t="s">
        <v>370</v>
      </c>
      <c r="F33" s="326" t="s">
        <v>368</v>
      </c>
      <c r="G33" s="327" t="s">
        <v>369</v>
      </c>
      <c r="H33" s="303"/>
      <c r="I33" s="303"/>
      <c r="J33" s="303"/>
      <c r="K33" s="303"/>
      <c r="L33" s="303"/>
      <c r="M33" s="303"/>
      <c r="N33" s="303"/>
      <c r="O33" s="303"/>
      <c r="P33" s="303"/>
      <c r="Q33" s="303"/>
      <c r="R33" s="303"/>
      <c r="S33" s="303"/>
      <c r="T33" s="303"/>
    </row>
    <row r="34" spans="1:21" s="306" customFormat="1" x14ac:dyDescent="0.25">
      <c r="A34" s="405">
        <v>44377</v>
      </c>
      <c r="B34" s="316">
        <f t="shared" si="0"/>
        <v>32</v>
      </c>
      <c r="C34" s="326" t="s">
        <v>316</v>
      </c>
      <c r="D34" s="326"/>
      <c r="E34" s="326" t="s">
        <v>511</v>
      </c>
      <c r="F34" s="326" t="s">
        <v>368</v>
      </c>
      <c r="G34" s="327" t="s">
        <v>371</v>
      </c>
      <c r="H34" s="305"/>
      <c r="I34" s="305"/>
      <c r="J34" s="305"/>
      <c r="K34" s="305"/>
      <c r="L34" s="305"/>
      <c r="M34" s="305"/>
      <c r="N34" s="305"/>
      <c r="O34" s="305"/>
      <c r="P34" s="305"/>
      <c r="Q34" s="305"/>
      <c r="R34" s="305"/>
      <c r="S34" s="305"/>
      <c r="T34" s="305"/>
    </row>
    <row r="35" spans="1:21" s="306" customFormat="1" ht="55.2" x14ac:dyDescent="0.25">
      <c r="A35" s="405">
        <v>44377</v>
      </c>
      <c r="B35" s="316">
        <f t="shared" si="0"/>
        <v>33</v>
      </c>
      <c r="C35" s="326" t="s">
        <v>316</v>
      </c>
      <c r="D35" s="326"/>
      <c r="E35" s="326" t="s">
        <v>512</v>
      </c>
      <c r="F35" s="326" t="s">
        <v>500</v>
      </c>
      <c r="G35" s="327" t="s">
        <v>527</v>
      </c>
      <c r="H35" s="305"/>
      <c r="I35" s="305"/>
      <c r="J35" s="305"/>
      <c r="K35" s="305"/>
      <c r="L35" s="305"/>
      <c r="M35" s="305"/>
      <c r="N35" s="305"/>
      <c r="O35" s="305"/>
      <c r="P35" s="305"/>
      <c r="Q35" s="305"/>
      <c r="R35" s="305"/>
      <c r="S35" s="305"/>
      <c r="T35" s="305"/>
    </row>
    <row r="36" spans="1:21" s="306" customFormat="1" ht="27.6" x14ac:dyDescent="0.25">
      <c r="A36" s="405">
        <v>44377</v>
      </c>
      <c r="B36" s="316">
        <f t="shared" si="0"/>
        <v>34</v>
      </c>
      <c r="C36" s="326" t="s">
        <v>372</v>
      </c>
      <c r="D36" s="326" t="s">
        <v>16</v>
      </c>
      <c r="E36" s="326"/>
      <c r="F36" s="326" t="s">
        <v>373</v>
      </c>
      <c r="G36" s="327" t="s">
        <v>440</v>
      </c>
      <c r="H36" s="305"/>
      <c r="I36" s="305"/>
      <c r="J36" s="305"/>
      <c r="K36" s="305"/>
      <c r="L36" s="305"/>
      <c r="M36" s="305"/>
      <c r="N36" s="305"/>
      <c r="O36" s="305"/>
      <c r="P36" s="305"/>
      <c r="Q36" s="305"/>
      <c r="R36" s="305"/>
      <c r="S36" s="305"/>
      <c r="T36" s="305"/>
    </row>
    <row r="37" spans="1:21" s="306" customFormat="1" x14ac:dyDescent="0.25">
      <c r="A37" s="405">
        <v>44377</v>
      </c>
      <c r="B37" s="316">
        <f t="shared" si="0"/>
        <v>35</v>
      </c>
      <c r="C37" s="326" t="s">
        <v>374</v>
      </c>
      <c r="D37" s="326" t="s">
        <v>460</v>
      </c>
      <c r="E37" s="326" t="s">
        <v>375</v>
      </c>
      <c r="F37" s="326" t="s">
        <v>376</v>
      </c>
      <c r="G37" s="327" t="s">
        <v>377</v>
      </c>
      <c r="H37" s="305"/>
      <c r="I37" s="305"/>
      <c r="J37" s="305"/>
      <c r="K37" s="305"/>
      <c r="L37" s="305"/>
      <c r="M37" s="305"/>
      <c r="N37" s="305"/>
      <c r="O37" s="305"/>
      <c r="P37" s="305"/>
      <c r="Q37" s="305"/>
      <c r="R37" s="305"/>
      <c r="S37" s="305"/>
      <c r="T37" s="305"/>
    </row>
    <row r="38" spans="1:21" s="306" customFormat="1" x14ac:dyDescent="0.25">
      <c r="A38" s="405">
        <v>44377</v>
      </c>
      <c r="B38" s="316">
        <f t="shared" si="0"/>
        <v>36</v>
      </c>
      <c r="C38" s="326" t="s">
        <v>374</v>
      </c>
      <c r="D38" s="326" t="s">
        <v>460</v>
      </c>
      <c r="E38" s="326" t="s">
        <v>378</v>
      </c>
      <c r="F38" s="326" t="s">
        <v>379</v>
      </c>
      <c r="G38" s="327" t="s">
        <v>380</v>
      </c>
      <c r="H38" s="305"/>
      <c r="I38" s="305"/>
      <c r="J38" s="305"/>
      <c r="K38" s="305"/>
      <c r="L38" s="305"/>
      <c r="M38" s="305"/>
      <c r="N38" s="305"/>
      <c r="O38" s="305"/>
      <c r="P38" s="305"/>
      <c r="Q38" s="305"/>
      <c r="R38" s="305"/>
      <c r="S38" s="305"/>
      <c r="T38" s="305"/>
    </row>
    <row r="39" spans="1:21" s="366" customFormat="1" ht="27.6" x14ac:dyDescent="0.25">
      <c r="A39" s="405">
        <v>44377</v>
      </c>
      <c r="B39" s="316">
        <f t="shared" si="0"/>
        <v>37</v>
      </c>
      <c r="C39" s="326" t="s">
        <v>271</v>
      </c>
      <c r="D39" s="326"/>
      <c r="E39" s="326" t="s">
        <v>472</v>
      </c>
      <c r="F39" s="326" t="s">
        <v>421</v>
      </c>
      <c r="G39" s="327" t="s">
        <v>473</v>
      </c>
      <c r="H39" s="365"/>
      <c r="I39" s="365"/>
      <c r="J39" s="365"/>
      <c r="K39" s="365"/>
      <c r="L39" s="365"/>
      <c r="M39" s="365"/>
      <c r="N39" s="365"/>
      <c r="O39" s="365"/>
      <c r="P39" s="365"/>
      <c r="Q39" s="365"/>
      <c r="R39" s="365"/>
      <c r="S39" s="365"/>
      <c r="T39" s="365"/>
      <c r="U39" s="365"/>
    </row>
    <row r="40" spans="1:21" s="383" customFormat="1" x14ac:dyDescent="0.25">
      <c r="A40" s="405">
        <v>44377</v>
      </c>
      <c r="B40" s="316">
        <f t="shared" si="0"/>
        <v>38</v>
      </c>
      <c r="C40" s="326" t="s">
        <v>271</v>
      </c>
      <c r="D40" s="325" t="s">
        <v>272</v>
      </c>
      <c r="E40" s="326" t="s">
        <v>497</v>
      </c>
      <c r="F40" s="326" t="s">
        <v>404</v>
      </c>
      <c r="G40" s="327" t="s">
        <v>513</v>
      </c>
      <c r="H40" s="382"/>
      <c r="I40" s="382"/>
      <c r="J40" s="382"/>
      <c r="K40" s="382"/>
      <c r="L40" s="382"/>
      <c r="M40" s="382"/>
      <c r="N40" s="382"/>
      <c r="O40" s="382"/>
      <c r="P40" s="382"/>
      <c r="Q40" s="382"/>
      <c r="R40" s="382"/>
      <c r="S40" s="382"/>
      <c r="T40" s="382"/>
      <c r="U40" s="382"/>
    </row>
    <row r="41" spans="1:21" s="383" customFormat="1" ht="27.6" x14ac:dyDescent="0.25">
      <c r="A41" s="405">
        <v>44377</v>
      </c>
      <c r="B41" s="316">
        <f t="shared" si="0"/>
        <v>39</v>
      </c>
      <c r="C41" s="326" t="s">
        <v>271</v>
      </c>
      <c r="D41" s="325" t="s">
        <v>272</v>
      </c>
      <c r="E41" s="326" t="s">
        <v>505</v>
      </c>
      <c r="F41" s="326" t="s">
        <v>490</v>
      </c>
      <c r="G41" s="327" t="s">
        <v>528</v>
      </c>
      <c r="H41" s="382"/>
      <c r="I41" s="382"/>
      <c r="J41" s="382"/>
      <c r="K41" s="382"/>
      <c r="L41" s="382"/>
      <c r="M41" s="382"/>
      <c r="N41" s="382"/>
      <c r="O41" s="382"/>
      <c r="P41" s="382"/>
      <c r="Q41" s="382"/>
      <c r="R41" s="382"/>
      <c r="S41" s="382"/>
      <c r="T41" s="382"/>
      <c r="U41" s="382"/>
    </row>
    <row r="42" spans="1:21" s="366" customFormat="1" ht="27.6" x14ac:dyDescent="0.25">
      <c r="A42" s="405">
        <v>44377</v>
      </c>
      <c r="B42" s="316">
        <f t="shared" si="0"/>
        <v>40</v>
      </c>
      <c r="C42" s="326" t="s">
        <v>271</v>
      </c>
      <c r="D42" s="326" t="s">
        <v>272</v>
      </c>
      <c r="E42" s="326" t="s">
        <v>491</v>
      </c>
      <c r="F42" s="326" t="s">
        <v>482</v>
      </c>
      <c r="G42" s="327" t="s">
        <v>506</v>
      </c>
      <c r="H42" s="365"/>
      <c r="I42" s="365"/>
      <c r="J42" s="365"/>
      <c r="K42" s="365"/>
      <c r="L42" s="365"/>
      <c r="M42" s="365"/>
      <c r="N42" s="365"/>
      <c r="O42" s="365"/>
      <c r="P42" s="365"/>
      <c r="Q42" s="365"/>
      <c r="R42" s="365"/>
      <c r="S42" s="365"/>
      <c r="T42" s="365"/>
      <c r="U42" s="365"/>
    </row>
    <row r="43" spans="1:21" s="383" customFormat="1" ht="41.4" x14ac:dyDescent="0.25">
      <c r="A43" s="405">
        <v>44377</v>
      </c>
      <c r="B43" s="316">
        <f t="shared" si="0"/>
        <v>41</v>
      </c>
      <c r="C43" s="326" t="s">
        <v>271</v>
      </c>
      <c r="D43" s="325" t="s">
        <v>272</v>
      </c>
      <c r="E43" s="326" t="s">
        <v>502</v>
      </c>
      <c r="F43" s="326" t="s">
        <v>503</v>
      </c>
      <c r="G43" s="327" t="s">
        <v>529</v>
      </c>
      <c r="H43" s="382"/>
      <c r="I43" s="382"/>
      <c r="J43" s="382"/>
      <c r="K43" s="382"/>
      <c r="L43" s="382"/>
      <c r="M43" s="382"/>
      <c r="N43" s="382"/>
      <c r="O43" s="382"/>
      <c r="P43" s="382"/>
      <c r="Q43" s="382"/>
      <c r="R43" s="382"/>
      <c r="S43" s="382"/>
      <c r="T43" s="382"/>
      <c r="U43" s="382"/>
    </row>
    <row r="44" spans="1:21" s="306" customFormat="1" ht="41.4" x14ac:dyDescent="0.25">
      <c r="A44" s="405">
        <v>44377</v>
      </c>
      <c r="B44" s="316">
        <f t="shared" si="0"/>
        <v>42</v>
      </c>
      <c r="C44" s="325" t="s">
        <v>271</v>
      </c>
      <c r="D44" s="326" t="s">
        <v>272</v>
      </c>
      <c r="E44" s="326" t="s">
        <v>504</v>
      </c>
      <c r="F44" s="326" t="s">
        <v>267</v>
      </c>
      <c r="G44" s="327" t="s">
        <v>521</v>
      </c>
      <c r="H44" s="305"/>
      <c r="I44" s="305"/>
      <c r="J44" s="305"/>
      <c r="K44" s="305"/>
      <c r="L44" s="305"/>
      <c r="M44" s="305"/>
      <c r="N44" s="305"/>
      <c r="O44" s="305"/>
      <c r="P44" s="305"/>
      <c r="Q44" s="305"/>
      <c r="R44" s="305"/>
      <c r="S44" s="305"/>
      <c r="T44" s="305"/>
    </row>
    <row r="45" spans="1:21" s="306" customFormat="1" ht="41.4" x14ac:dyDescent="0.25">
      <c r="A45" s="405">
        <v>44377</v>
      </c>
      <c r="B45" s="316">
        <f t="shared" si="0"/>
        <v>43</v>
      </c>
      <c r="C45" s="325" t="s">
        <v>271</v>
      </c>
      <c r="D45" s="326" t="s">
        <v>272</v>
      </c>
      <c r="E45" s="326" t="s">
        <v>507</v>
      </c>
      <c r="F45" s="326" t="s">
        <v>267</v>
      </c>
      <c r="G45" s="327" t="s">
        <v>530</v>
      </c>
      <c r="H45" s="305"/>
      <c r="I45" s="305"/>
      <c r="J45" s="305"/>
      <c r="K45" s="305"/>
      <c r="L45" s="305"/>
      <c r="M45" s="305"/>
      <c r="N45" s="305"/>
      <c r="O45" s="305"/>
      <c r="P45" s="305"/>
      <c r="Q45" s="305"/>
      <c r="R45" s="305"/>
      <c r="S45" s="305"/>
      <c r="T45" s="305"/>
    </row>
    <row r="46" spans="1:21" s="306" customFormat="1" ht="27.6" x14ac:dyDescent="0.25">
      <c r="A46" s="405">
        <v>44377</v>
      </c>
      <c r="B46" s="316">
        <f t="shared" si="0"/>
        <v>44</v>
      </c>
      <c r="C46" s="326" t="s">
        <v>271</v>
      </c>
      <c r="D46" s="325" t="s">
        <v>272</v>
      </c>
      <c r="E46" s="326" t="s">
        <v>501</v>
      </c>
      <c r="F46" s="326" t="s">
        <v>404</v>
      </c>
      <c r="G46" s="327" t="s">
        <v>514</v>
      </c>
      <c r="H46" s="305"/>
      <c r="I46" s="305"/>
      <c r="J46" s="305"/>
      <c r="K46" s="305"/>
      <c r="L46" s="305"/>
      <c r="M46" s="305"/>
      <c r="N46" s="305"/>
      <c r="O46" s="305"/>
      <c r="P46" s="305"/>
      <c r="Q46" s="305"/>
      <c r="R46" s="305"/>
      <c r="S46" s="305"/>
      <c r="T46" s="305"/>
    </row>
    <row r="47" spans="1:21" s="306" customFormat="1" ht="55.2" x14ac:dyDescent="0.25">
      <c r="A47" s="405">
        <v>44377</v>
      </c>
      <c r="B47" s="316">
        <f t="shared" si="0"/>
        <v>45</v>
      </c>
      <c r="C47" s="326" t="s">
        <v>271</v>
      </c>
      <c r="D47" s="325" t="s">
        <v>272</v>
      </c>
      <c r="E47" s="326" t="s">
        <v>509</v>
      </c>
      <c r="F47" s="326" t="s">
        <v>490</v>
      </c>
      <c r="G47" s="327" t="s">
        <v>515</v>
      </c>
      <c r="H47" s="305"/>
      <c r="I47" s="305"/>
      <c r="J47" s="305"/>
      <c r="K47" s="305"/>
      <c r="L47" s="305"/>
      <c r="M47" s="305"/>
      <c r="N47" s="305"/>
      <c r="O47" s="305"/>
      <c r="P47" s="305"/>
      <c r="Q47" s="305"/>
      <c r="R47" s="305"/>
      <c r="S47" s="305"/>
      <c r="T47" s="305"/>
    </row>
    <row r="48" spans="1:21" s="306" customFormat="1" ht="41.4" x14ac:dyDescent="0.25">
      <c r="A48" s="405">
        <v>44377</v>
      </c>
      <c r="B48" s="316">
        <f t="shared" si="0"/>
        <v>46</v>
      </c>
      <c r="C48" s="326" t="s">
        <v>271</v>
      </c>
      <c r="D48" s="325" t="s">
        <v>272</v>
      </c>
      <c r="E48" s="326" t="s">
        <v>510</v>
      </c>
      <c r="F48" s="326" t="s">
        <v>494</v>
      </c>
      <c r="G48" s="327" t="s">
        <v>526</v>
      </c>
      <c r="H48" s="305"/>
      <c r="I48" s="305"/>
      <c r="J48" s="305"/>
      <c r="K48" s="305"/>
      <c r="L48" s="305"/>
      <c r="M48" s="305"/>
      <c r="N48" s="305"/>
      <c r="O48" s="305"/>
      <c r="P48" s="305"/>
      <c r="Q48" s="305"/>
      <c r="R48" s="305"/>
      <c r="S48" s="305"/>
      <c r="T48" s="305"/>
    </row>
    <row r="49" spans="1:20" s="306" customFormat="1" ht="69" x14ac:dyDescent="0.25">
      <c r="A49" s="405">
        <v>44377</v>
      </c>
      <c r="B49" s="316">
        <f t="shared" si="0"/>
        <v>47</v>
      </c>
      <c r="C49" s="326" t="s">
        <v>381</v>
      </c>
      <c r="D49" s="326" t="s">
        <v>461</v>
      </c>
      <c r="E49" s="326" t="s">
        <v>382</v>
      </c>
      <c r="F49" s="326" t="s">
        <v>383</v>
      </c>
      <c r="G49" s="327" t="s">
        <v>518</v>
      </c>
      <c r="H49" s="305"/>
      <c r="I49" s="305"/>
      <c r="J49" s="305"/>
      <c r="K49" s="305"/>
      <c r="L49" s="305"/>
      <c r="M49" s="305"/>
      <c r="N49" s="305"/>
      <c r="O49" s="305"/>
      <c r="P49" s="305"/>
      <c r="Q49" s="305"/>
      <c r="R49" s="305"/>
      <c r="S49" s="305"/>
      <c r="T49" s="305"/>
    </row>
    <row r="50" spans="1:20" s="306" customFormat="1" ht="41.4" x14ac:dyDescent="0.25">
      <c r="A50" s="405">
        <v>44377</v>
      </c>
      <c r="B50" s="316">
        <f t="shared" si="0"/>
        <v>48</v>
      </c>
      <c r="C50" s="326" t="s">
        <v>381</v>
      </c>
      <c r="D50" s="326" t="s">
        <v>461</v>
      </c>
      <c r="E50" s="326" t="s">
        <v>489</v>
      </c>
      <c r="F50" s="326" t="s">
        <v>267</v>
      </c>
      <c r="G50" s="327" t="s">
        <v>519</v>
      </c>
      <c r="H50" s="305"/>
      <c r="I50" s="305"/>
      <c r="J50" s="305"/>
      <c r="K50" s="305"/>
      <c r="L50" s="305"/>
      <c r="M50" s="305"/>
      <c r="N50" s="305"/>
      <c r="O50" s="305"/>
      <c r="P50" s="305"/>
      <c r="Q50" s="305"/>
      <c r="R50" s="305"/>
      <c r="S50" s="305"/>
      <c r="T50" s="305"/>
    </row>
    <row r="51" spans="1:20" s="306" customFormat="1" ht="27.6" x14ac:dyDescent="0.25">
      <c r="A51" s="405">
        <v>44377</v>
      </c>
      <c r="B51" s="316">
        <f t="shared" si="0"/>
        <v>49</v>
      </c>
      <c r="C51" s="326" t="s">
        <v>381</v>
      </c>
      <c r="D51" s="326" t="s">
        <v>461</v>
      </c>
      <c r="E51" s="326" t="s">
        <v>441</v>
      </c>
      <c r="F51" s="326" t="s">
        <v>384</v>
      </c>
      <c r="G51" s="327" t="s">
        <v>385</v>
      </c>
      <c r="H51" s="305"/>
      <c r="I51" s="305"/>
      <c r="J51" s="305"/>
      <c r="K51" s="305"/>
      <c r="L51" s="305"/>
      <c r="M51" s="305"/>
      <c r="N51" s="305"/>
      <c r="O51" s="305"/>
      <c r="P51" s="305"/>
      <c r="Q51" s="305"/>
      <c r="R51" s="305"/>
      <c r="S51" s="305"/>
      <c r="T51" s="305"/>
    </row>
    <row r="52" spans="1:20" s="306" customFormat="1" ht="27.6" x14ac:dyDescent="0.25">
      <c r="A52" s="405">
        <v>44377</v>
      </c>
      <c r="B52" s="316">
        <f t="shared" si="0"/>
        <v>50</v>
      </c>
      <c r="C52" s="326" t="s">
        <v>381</v>
      </c>
      <c r="D52" s="326" t="s">
        <v>461</v>
      </c>
      <c r="E52" s="326" t="s">
        <v>474</v>
      </c>
      <c r="F52" s="326" t="s">
        <v>404</v>
      </c>
      <c r="G52" s="327" t="s">
        <v>522</v>
      </c>
      <c r="H52" s="305"/>
      <c r="I52" s="305"/>
      <c r="J52" s="305"/>
      <c r="K52" s="305"/>
      <c r="L52" s="305"/>
      <c r="M52" s="305"/>
      <c r="N52" s="305"/>
      <c r="O52" s="305"/>
      <c r="P52" s="305"/>
      <c r="Q52" s="305"/>
      <c r="R52" s="305"/>
      <c r="S52" s="305"/>
      <c r="T52" s="305"/>
    </row>
    <row r="53" spans="1:20" s="306" customFormat="1" ht="27.6" x14ac:dyDescent="0.25">
      <c r="A53" s="405">
        <v>44377</v>
      </c>
      <c r="B53" s="316">
        <f t="shared" si="0"/>
        <v>51</v>
      </c>
      <c r="C53" s="326" t="s">
        <v>381</v>
      </c>
      <c r="D53" s="326" t="s">
        <v>461</v>
      </c>
      <c r="E53" s="326" t="s">
        <v>475</v>
      </c>
      <c r="F53" s="326" t="s">
        <v>384</v>
      </c>
      <c r="G53" s="327" t="s">
        <v>476</v>
      </c>
      <c r="H53" s="305"/>
      <c r="I53" s="305"/>
      <c r="J53" s="305"/>
      <c r="K53" s="305"/>
      <c r="L53" s="305"/>
      <c r="M53" s="305"/>
      <c r="N53" s="305"/>
      <c r="O53" s="305"/>
      <c r="P53" s="305"/>
      <c r="Q53" s="305"/>
      <c r="R53" s="305"/>
      <c r="S53" s="305"/>
      <c r="T53" s="305"/>
    </row>
    <row r="54" spans="1:20" s="306" customFormat="1" ht="27.6" x14ac:dyDescent="0.25">
      <c r="A54" s="405">
        <v>44377</v>
      </c>
      <c r="B54" s="316">
        <f t="shared" si="0"/>
        <v>52</v>
      </c>
      <c r="C54" s="326" t="s">
        <v>381</v>
      </c>
      <c r="D54" s="326" t="s">
        <v>461</v>
      </c>
      <c r="E54" s="326" t="s">
        <v>386</v>
      </c>
      <c r="F54" s="326" t="s">
        <v>384</v>
      </c>
      <c r="G54" s="327" t="s">
        <v>516</v>
      </c>
      <c r="H54" s="305"/>
      <c r="I54" s="305"/>
      <c r="J54" s="305"/>
      <c r="K54" s="305"/>
      <c r="L54" s="305"/>
      <c r="M54" s="305"/>
      <c r="N54" s="305"/>
      <c r="O54" s="305"/>
      <c r="P54" s="305"/>
      <c r="Q54" s="305"/>
      <c r="R54" s="305"/>
      <c r="S54" s="305"/>
      <c r="T54" s="305"/>
    </row>
    <row r="55" spans="1:20" s="306" customFormat="1" ht="27.6" x14ac:dyDescent="0.25">
      <c r="A55" s="405">
        <v>44377</v>
      </c>
      <c r="B55" s="316">
        <f t="shared" si="0"/>
        <v>53</v>
      </c>
      <c r="C55" s="326" t="s">
        <v>381</v>
      </c>
      <c r="D55" s="326" t="s">
        <v>461</v>
      </c>
      <c r="E55" s="326" t="s">
        <v>493</v>
      </c>
      <c r="F55" s="326" t="s">
        <v>494</v>
      </c>
      <c r="G55" s="327" t="s">
        <v>517</v>
      </c>
      <c r="H55" s="305"/>
      <c r="I55" s="305"/>
      <c r="J55" s="305"/>
      <c r="K55" s="305"/>
      <c r="L55" s="305"/>
      <c r="M55" s="305"/>
      <c r="N55" s="305"/>
      <c r="O55" s="305"/>
      <c r="P55" s="305"/>
      <c r="Q55" s="305"/>
      <c r="R55" s="305"/>
      <c r="S55" s="305"/>
      <c r="T55" s="305"/>
    </row>
    <row r="56" spans="1:20" s="306" customFormat="1" ht="55.2" x14ac:dyDescent="0.25">
      <c r="A56" s="405">
        <v>44377</v>
      </c>
      <c r="B56" s="316">
        <f t="shared" si="0"/>
        <v>54</v>
      </c>
      <c r="C56" s="326" t="s">
        <v>387</v>
      </c>
      <c r="D56" s="326" t="s">
        <v>462</v>
      </c>
      <c r="E56" s="326" t="s">
        <v>480</v>
      </c>
      <c r="F56" s="326" t="s">
        <v>388</v>
      </c>
      <c r="G56" s="327" t="s">
        <v>389</v>
      </c>
      <c r="H56" s="305"/>
      <c r="I56" s="305"/>
      <c r="J56" s="305"/>
      <c r="K56" s="305"/>
      <c r="L56" s="305"/>
      <c r="M56" s="305"/>
      <c r="N56" s="305"/>
      <c r="O56" s="305"/>
      <c r="P56" s="305"/>
      <c r="Q56" s="305"/>
      <c r="R56" s="305"/>
      <c r="S56" s="305"/>
      <c r="T56" s="305"/>
    </row>
    <row r="57" spans="1:20" s="306" customFormat="1" ht="82.8" x14ac:dyDescent="0.25">
      <c r="A57" s="405">
        <v>44377</v>
      </c>
      <c r="B57" s="316">
        <f t="shared" si="0"/>
        <v>55</v>
      </c>
      <c r="C57" s="326" t="s">
        <v>387</v>
      </c>
      <c r="D57" s="326" t="s">
        <v>462</v>
      </c>
      <c r="E57" s="326" t="s">
        <v>390</v>
      </c>
      <c r="F57" s="326" t="s">
        <v>391</v>
      </c>
      <c r="G57" s="327" t="s">
        <v>520</v>
      </c>
      <c r="H57" s="305"/>
      <c r="I57" s="305"/>
      <c r="J57" s="305"/>
      <c r="K57" s="305"/>
      <c r="L57" s="305"/>
      <c r="M57" s="305"/>
      <c r="N57" s="305"/>
      <c r="O57" s="305"/>
      <c r="P57" s="305"/>
      <c r="Q57" s="305"/>
      <c r="R57" s="305"/>
      <c r="S57" s="305"/>
      <c r="T57" s="305"/>
    </row>
    <row r="58" spans="1:20" s="306" customFormat="1" ht="41.4" x14ac:dyDescent="0.25">
      <c r="A58" s="405">
        <v>44377</v>
      </c>
      <c r="B58" s="316">
        <f t="shared" si="0"/>
        <v>56</v>
      </c>
      <c r="C58" s="326" t="s">
        <v>387</v>
      </c>
      <c r="D58" s="326" t="s">
        <v>462</v>
      </c>
      <c r="E58" s="326" t="s">
        <v>392</v>
      </c>
      <c r="F58" s="326" t="s">
        <v>524</v>
      </c>
      <c r="G58" s="327" t="s">
        <v>393</v>
      </c>
      <c r="H58" s="305"/>
      <c r="I58" s="305"/>
      <c r="J58" s="305"/>
      <c r="K58" s="305"/>
      <c r="L58" s="305"/>
      <c r="M58" s="305"/>
      <c r="N58" s="305"/>
      <c r="O58" s="305"/>
      <c r="P58" s="305"/>
      <c r="Q58" s="305"/>
      <c r="R58" s="305"/>
      <c r="S58" s="305"/>
      <c r="T58" s="305"/>
    </row>
    <row r="59" spans="1:20" s="306" customFormat="1" ht="41.4" x14ac:dyDescent="0.25">
      <c r="A59" s="405">
        <v>44377</v>
      </c>
      <c r="B59" s="316">
        <f t="shared" si="0"/>
        <v>57</v>
      </c>
      <c r="C59" s="326" t="s">
        <v>387</v>
      </c>
      <c r="D59" s="326" t="s">
        <v>462</v>
      </c>
      <c r="E59" s="326" t="s">
        <v>394</v>
      </c>
      <c r="F59" s="326" t="s">
        <v>395</v>
      </c>
      <c r="G59" s="327" t="s">
        <v>396</v>
      </c>
      <c r="H59" s="305"/>
      <c r="I59" s="305"/>
      <c r="J59" s="305"/>
      <c r="K59" s="305"/>
      <c r="L59" s="305"/>
      <c r="M59" s="305"/>
      <c r="N59" s="305"/>
      <c r="O59" s="305"/>
      <c r="P59" s="305"/>
      <c r="Q59" s="305"/>
      <c r="R59" s="305"/>
      <c r="S59" s="305"/>
      <c r="T59" s="305"/>
    </row>
    <row r="60" spans="1:20" s="306" customFormat="1" x14ac:dyDescent="0.25">
      <c r="A60" s="405">
        <v>44377</v>
      </c>
      <c r="B60" s="316">
        <f t="shared" si="0"/>
        <v>58</v>
      </c>
      <c r="C60" s="326" t="s">
        <v>387</v>
      </c>
      <c r="D60" s="326" t="s">
        <v>462</v>
      </c>
      <c r="E60" s="326" t="s">
        <v>397</v>
      </c>
      <c r="F60" s="326" t="s">
        <v>267</v>
      </c>
      <c r="G60" s="327" t="s">
        <v>531</v>
      </c>
      <c r="H60" s="305"/>
      <c r="I60" s="305"/>
      <c r="J60" s="305"/>
      <c r="K60" s="305"/>
      <c r="L60" s="305"/>
      <c r="M60" s="305"/>
      <c r="N60" s="305"/>
      <c r="O60" s="305"/>
      <c r="P60" s="305"/>
      <c r="Q60" s="305"/>
      <c r="R60" s="305"/>
      <c r="S60" s="305"/>
      <c r="T60" s="305"/>
    </row>
    <row r="61" spans="1:20" s="306" customFormat="1" x14ac:dyDescent="0.25">
      <c r="A61" s="405">
        <v>44377</v>
      </c>
      <c r="B61" s="316">
        <f t="shared" si="0"/>
        <v>59</v>
      </c>
      <c r="C61" s="326" t="s">
        <v>398</v>
      </c>
      <c r="D61" s="326" t="s">
        <v>466</v>
      </c>
      <c r="E61" s="326" t="s">
        <v>484</v>
      </c>
      <c r="F61" s="326" t="s">
        <v>483</v>
      </c>
      <c r="G61" s="327" t="s">
        <v>444</v>
      </c>
      <c r="H61" s="305"/>
      <c r="I61" s="305"/>
      <c r="J61" s="305"/>
      <c r="K61" s="305"/>
      <c r="L61" s="305"/>
      <c r="M61" s="305"/>
      <c r="N61" s="305"/>
      <c r="O61" s="305"/>
      <c r="P61" s="305"/>
      <c r="Q61" s="305"/>
      <c r="R61" s="305"/>
      <c r="S61" s="305"/>
      <c r="T61" s="305"/>
    </row>
    <row r="62" spans="1:20" s="306" customFormat="1" ht="82.8" x14ac:dyDescent="0.25">
      <c r="A62" s="405">
        <v>44377</v>
      </c>
      <c r="B62" s="316">
        <f t="shared" si="0"/>
        <v>60</v>
      </c>
      <c r="C62" s="325" t="s">
        <v>398</v>
      </c>
      <c r="D62" s="326" t="s">
        <v>468</v>
      </c>
      <c r="E62" s="326" t="s">
        <v>487</v>
      </c>
      <c r="F62" s="326" t="s">
        <v>488</v>
      </c>
      <c r="G62" s="327" t="s">
        <v>525</v>
      </c>
      <c r="H62" s="305"/>
      <c r="I62" s="305"/>
      <c r="J62" s="305"/>
      <c r="K62" s="305"/>
      <c r="L62" s="305"/>
      <c r="M62" s="305"/>
      <c r="N62" s="305"/>
      <c r="O62" s="305"/>
      <c r="P62" s="305"/>
      <c r="Q62" s="305"/>
      <c r="R62" s="305"/>
      <c r="S62" s="305"/>
      <c r="T62" s="305"/>
    </row>
    <row r="63" spans="1:20" s="306" customFormat="1" ht="27.6" x14ac:dyDescent="0.25">
      <c r="A63" s="405">
        <v>44377</v>
      </c>
      <c r="B63" s="316">
        <f t="shared" si="0"/>
        <v>61</v>
      </c>
      <c r="C63" s="326" t="s">
        <v>398</v>
      </c>
      <c r="D63" s="326" t="s">
        <v>468</v>
      </c>
      <c r="E63" s="326" t="s">
        <v>442</v>
      </c>
      <c r="F63" s="326" t="s">
        <v>443</v>
      </c>
      <c r="G63" s="327" t="s">
        <v>444</v>
      </c>
      <c r="H63" s="305"/>
      <c r="I63" s="305"/>
      <c r="J63" s="305"/>
      <c r="K63" s="305"/>
      <c r="L63" s="305"/>
      <c r="M63" s="305"/>
      <c r="N63" s="305"/>
      <c r="O63" s="305"/>
      <c r="P63" s="305"/>
      <c r="Q63" s="305"/>
      <c r="R63" s="305"/>
      <c r="S63" s="305"/>
      <c r="T63" s="305"/>
    </row>
    <row r="64" spans="1:20" s="306" customFormat="1" ht="41.4" x14ac:dyDescent="0.25">
      <c r="A64" s="405">
        <v>44377</v>
      </c>
      <c r="B64" s="316">
        <f t="shared" si="0"/>
        <v>62</v>
      </c>
      <c r="C64" s="326" t="s">
        <v>399</v>
      </c>
      <c r="D64" s="326" t="s">
        <v>469</v>
      </c>
      <c r="E64" s="326" t="s">
        <v>400</v>
      </c>
      <c r="F64" s="326" t="s">
        <v>401</v>
      </c>
      <c r="G64" s="327" t="s">
        <v>402</v>
      </c>
      <c r="H64" s="305"/>
      <c r="I64" s="305"/>
      <c r="J64" s="305"/>
      <c r="K64" s="305"/>
      <c r="L64" s="305"/>
      <c r="M64" s="305"/>
      <c r="N64" s="305"/>
      <c r="O64" s="305"/>
      <c r="P64" s="305"/>
      <c r="Q64" s="305"/>
      <c r="R64" s="305"/>
      <c r="S64" s="305"/>
      <c r="T64" s="305"/>
    </row>
    <row r="65" spans="1:20" s="306" customFormat="1" x14ac:dyDescent="0.25">
      <c r="A65" s="405">
        <v>44377</v>
      </c>
      <c r="B65" s="316">
        <f t="shared" si="0"/>
        <v>63</v>
      </c>
      <c r="C65" s="326" t="s">
        <v>403</v>
      </c>
      <c r="D65" s="326" t="s">
        <v>470</v>
      </c>
      <c r="E65" s="326" t="s">
        <v>400</v>
      </c>
      <c r="F65" s="326" t="s">
        <v>401</v>
      </c>
      <c r="G65" s="327" t="s">
        <v>225</v>
      </c>
      <c r="H65" s="305"/>
      <c r="I65" s="305"/>
      <c r="J65" s="305"/>
      <c r="K65" s="305"/>
      <c r="L65" s="305"/>
      <c r="M65" s="305"/>
      <c r="N65" s="305"/>
      <c r="O65" s="305"/>
      <c r="P65" s="305"/>
      <c r="Q65" s="305"/>
      <c r="R65" s="305"/>
      <c r="S65" s="305"/>
      <c r="T65" s="305"/>
    </row>
    <row r="66" spans="1:20" s="306" customFormat="1" x14ac:dyDescent="0.25">
      <c r="A66" s="405">
        <v>44377</v>
      </c>
      <c r="B66" s="316">
        <f t="shared" si="0"/>
        <v>64</v>
      </c>
      <c r="C66" s="326" t="s">
        <v>403</v>
      </c>
      <c r="D66" s="326" t="s">
        <v>470</v>
      </c>
      <c r="E66" s="326" t="s">
        <v>477</v>
      </c>
      <c r="F66" s="326" t="s">
        <v>384</v>
      </c>
      <c r="G66" s="327" t="s">
        <v>532</v>
      </c>
      <c r="H66" s="305"/>
      <c r="I66" s="305"/>
      <c r="J66" s="305"/>
      <c r="K66" s="305"/>
      <c r="L66" s="305"/>
      <c r="M66" s="305"/>
      <c r="N66" s="305"/>
      <c r="O66" s="305"/>
      <c r="P66" s="305"/>
      <c r="Q66" s="305"/>
      <c r="R66" s="305"/>
      <c r="S66" s="305"/>
      <c r="T66" s="305"/>
    </row>
    <row r="67" spans="1:20" s="306" customFormat="1" x14ac:dyDescent="0.25">
      <c r="A67" s="405">
        <v>44377</v>
      </c>
      <c r="B67" s="316">
        <f t="shared" si="0"/>
        <v>65</v>
      </c>
      <c r="C67" s="326" t="s">
        <v>403</v>
      </c>
      <c r="D67" s="326" t="s">
        <v>470</v>
      </c>
      <c r="E67" s="326" t="s">
        <v>478</v>
      </c>
      <c r="F67" s="326" t="s">
        <v>404</v>
      </c>
      <c r="G67" s="327" t="s">
        <v>405</v>
      </c>
      <c r="H67" s="305"/>
      <c r="I67" s="305"/>
      <c r="J67" s="305"/>
      <c r="K67" s="305"/>
      <c r="L67" s="305"/>
      <c r="M67" s="305"/>
      <c r="N67" s="305"/>
      <c r="O67" s="305"/>
      <c r="P67" s="305"/>
      <c r="Q67" s="305"/>
      <c r="R67" s="305"/>
      <c r="S67" s="305"/>
      <c r="T67" s="305"/>
    </row>
    <row r="68" spans="1:20" s="306" customFormat="1" ht="27.6" x14ac:dyDescent="0.25">
      <c r="A68" s="405">
        <v>44377</v>
      </c>
      <c r="B68" s="316">
        <f t="shared" si="0"/>
        <v>66</v>
      </c>
      <c r="C68" s="326" t="s">
        <v>266</v>
      </c>
      <c r="D68" s="326" t="s">
        <v>463</v>
      </c>
      <c r="E68" s="326" t="s">
        <v>479</v>
      </c>
      <c r="F68" s="326" t="s">
        <v>406</v>
      </c>
      <c r="G68" s="327" t="s">
        <v>445</v>
      </c>
      <c r="H68" s="305"/>
      <c r="I68" s="305"/>
      <c r="J68" s="305"/>
      <c r="K68" s="305"/>
      <c r="L68" s="305"/>
      <c r="M68" s="305"/>
      <c r="N68" s="305"/>
      <c r="O68" s="305"/>
      <c r="P68" s="305"/>
      <c r="Q68" s="305"/>
      <c r="R68" s="305"/>
      <c r="S68" s="305"/>
      <c r="T68" s="305"/>
    </row>
    <row r="69" spans="1:20" s="306" customFormat="1" ht="27.6" x14ac:dyDescent="0.25">
      <c r="A69" s="405">
        <v>44377</v>
      </c>
      <c r="B69" s="316">
        <f t="shared" si="0"/>
        <v>67</v>
      </c>
      <c r="C69" s="326" t="s">
        <v>266</v>
      </c>
      <c r="D69" s="326" t="s">
        <v>463</v>
      </c>
      <c r="E69" s="326" t="s">
        <v>446</v>
      </c>
      <c r="F69" s="326" t="s">
        <v>376</v>
      </c>
      <c r="G69" s="327" t="s">
        <v>447</v>
      </c>
      <c r="H69" s="305"/>
      <c r="I69" s="305"/>
      <c r="J69" s="305"/>
      <c r="K69" s="305"/>
      <c r="L69" s="305"/>
      <c r="M69" s="305"/>
      <c r="N69" s="305"/>
      <c r="O69" s="305"/>
      <c r="P69" s="305"/>
      <c r="Q69" s="305"/>
      <c r="R69" s="305"/>
      <c r="S69" s="305"/>
      <c r="T69" s="305"/>
    </row>
    <row r="70" spans="1:20" s="306" customFormat="1" ht="41.4" x14ac:dyDescent="0.25">
      <c r="A70" s="405">
        <v>44377</v>
      </c>
      <c r="B70" s="316">
        <f t="shared" si="0"/>
        <v>68</v>
      </c>
      <c r="C70" s="326" t="s">
        <v>266</v>
      </c>
      <c r="D70" s="326" t="s">
        <v>463</v>
      </c>
      <c r="E70" s="326" t="s">
        <v>448</v>
      </c>
      <c r="F70" s="326" t="s">
        <v>449</v>
      </c>
      <c r="G70" s="327" t="s">
        <v>450</v>
      </c>
      <c r="H70" s="305"/>
      <c r="I70" s="305"/>
      <c r="J70" s="305"/>
      <c r="K70" s="305"/>
      <c r="L70" s="305"/>
      <c r="M70" s="305"/>
      <c r="N70" s="305"/>
      <c r="O70" s="305"/>
      <c r="P70" s="305"/>
      <c r="Q70" s="305"/>
      <c r="R70" s="305"/>
      <c r="S70" s="305"/>
      <c r="T70" s="305"/>
    </row>
    <row r="71" spans="1:20" s="306" customFormat="1" x14ac:dyDescent="0.25">
      <c r="A71" s="405">
        <v>44377</v>
      </c>
      <c r="B71" s="316">
        <f t="shared" si="0"/>
        <v>69</v>
      </c>
      <c r="C71" s="326" t="s">
        <v>266</v>
      </c>
      <c r="D71" s="326" t="s">
        <v>463</v>
      </c>
      <c r="E71" s="326" t="s">
        <v>453</v>
      </c>
      <c r="F71" s="326" t="s">
        <v>404</v>
      </c>
      <c r="G71" s="327" t="s">
        <v>454</v>
      </c>
      <c r="H71" s="305"/>
      <c r="I71" s="305"/>
      <c r="J71" s="305"/>
      <c r="K71" s="305"/>
      <c r="L71" s="305"/>
      <c r="M71" s="305"/>
      <c r="N71" s="305"/>
      <c r="O71" s="305"/>
      <c r="P71" s="305"/>
      <c r="Q71" s="305"/>
      <c r="R71" s="305"/>
      <c r="S71" s="305"/>
      <c r="T71" s="305"/>
    </row>
    <row r="72" spans="1:20" s="306" customFormat="1" x14ac:dyDescent="0.25">
      <c r="A72" s="405">
        <v>44377</v>
      </c>
      <c r="B72" s="316">
        <f t="shared" si="0"/>
        <v>70</v>
      </c>
      <c r="C72" s="326" t="s">
        <v>266</v>
      </c>
      <c r="D72" s="326" t="s">
        <v>463</v>
      </c>
      <c r="E72" s="326" t="s">
        <v>451</v>
      </c>
      <c r="F72" s="326" t="s">
        <v>452</v>
      </c>
      <c r="G72" s="327" t="s">
        <v>523</v>
      </c>
      <c r="H72" s="305"/>
      <c r="I72" s="305"/>
      <c r="J72" s="305"/>
      <c r="K72" s="305"/>
      <c r="L72" s="305"/>
      <c r="M72" s="305"/>
      <c r="N72" s="305"/>
      <c r="O72" s="305"/>
      <c r="P72" s="305"/>
      <c r="Q72" s="305"/>
      <c r="R72" s="305"/>
      <c r="S72" s="305"/>
      <c r="T72" s="305"/>
    </row>
    <row r="73" spans="1:20" s="230" customFormat="1" ht="41.4" x14ac:dyDescent="0.25">
      <c r="A73" s="405">
        <v>44377</v>
      </c>
      <c r="B73" s="316">
        <f t="shared" si="0"/>
        <v>71</v>
      </c>
      <c r="C73" s="326" t="s">
        <v>407</v>
      </c>
      <c r="D73" s="326"/>
      <c r="E73" s="326"/>
      <c r="F73" s="326" t="s">
        <v>408</v>
      </c>
      <c r="G73" s="327" t="s">
        <v>533</v>
      </c>
      <c r="H73" s="248"/>
      <c r="I73" s="248"/>
      <c r="J73" s="248"/>
      <c r="K73" s="248"/>
      <c r="L73" s="248"/>
      <c r="M73" s="248"/>
      <c r="N73" s="248"/>
      <c r="O73" s="248"/>
      <c r="P73" s="248"/>
      <c r="Q73" s="248"/>
      <c r="R73" s="248"/>
      <c r="S73" s="248"/>
      <c r="T73" s="248"/>
    </row>
    <row r="74" spans="1:20" s="230" customFormat="1" x14ac:dyDescent="0.25">
      <c r="A74" s="405">
        <v>44377</v>
      </c>
      <c r="B74" s="316">
        <f t="shared" si="0"/>
        <v>72</v>
      </c>
      <c r="C74" s="326" t="s">
        <v>275</v>
      </c>
      <c r="D74" s="326" t="s">
        <v>464</v>
      </c>
      <c r="E74" s="326" t="s">
        <v>409</v>
      </c>
      <c r="F74" s="326" t="s">
        <v>410</v>
      </c>
      <c r="G74" s="327" t="s">
        <v>455</v>
      </c>
      <c r="H74" s="248"/>
      <c r="I74" s="248"/>
      <c r="J74" s="248"/>
      <c r="K74" s="248"/>
      <c r="L74" s="248"/>
      <c r="M74" s="248"/>
      <c r="N74" s="248"/>
      <c r="O74" s="248"/>
      <c r="P74" s="248"/>
      <c r="Q74" s="248"/>
      <c r="R74" s="248"/>
      <c r="S74" s="248"/>
      <c r="T74" s="248"/>
    </row>
    <row r="75" spans="1:20" s="306" customFormat="1" ht="41.4" x14ac:dyDescent="0.25">
      <c r="A75" s="405">
        <v>44377</v>
      </c>
      <c r="B75" s="316">
        <f t="shared" si="0"/>
        <v>73</v>
      </c>
      <c r="C75" s="326" t="s">
        <v>275</v>
      </c>
      <c r="D75" s="326" t="s">
        <v>464</v>
      </c>
      <c r="E75" s="326" t="s">
        <v>400</v>
      </c>
      <c r="F75" s="326" t="s">
        <v>401</v>
      </c>
      <c r="G75" s="327" t="s">
        <v>402</v>
      </c>
      <c r="H75" s="305"/>
      <c r="I75" s="305"/>
      <c r="J75" s="305"/>
      <c r="K75" s="305"/>
      <c r="L75" s="305"/>
      <c r="M75" s="305"/>
      <c r="N75" s="305"/>
      <c r="O75" s="305"/>
      <c r="P75" s="305"/>
      <c r="Q75" s="305"/>
      <c r="R75" s="305"/>
      <c r="S75" s="305"/>
      <c r="T75" s="305"/>
    </row>
    <row r="76" spans="1:20" s="306" customFormat="1" x14ac:dyDescent="0.25">
      <c r="A76" s="405">
        <v>44377</v>
      </c>
      <c r="B76" s="316">
        <f t="shared" si="0"/>
        <v>74</v>
      </c>
      <c r="C76" s="326" t="s">
        <v>253</v>
      </c>
      <c r="D76" s="326"/>
      <c r="E76" s="326"/>
      <c r="F76" s="326" t="s">
        <v>408</v>
      </c>
      <c r="G76" s="327" t="s">
        <v>411</v>
      </c>
      <c r="H76" s="305"/>
      <c r="I76" s="305"/>
      <c r="J76" s="305"/>
      <c r="K76" s="305"/>
      <c r="L76" s="305"/>
      <c r="M76" s="305"/>
      <c r="N76" s="305"/>
      <c r="O76" s="305"/>
      <c r="P76" s="305"/>
      <c r="Q76" s="305"/>
      <c r="R76" s="305"/>
      <c r="S76" s="305"/>
      <c r="T76" s="305"/>
    </row>
    <row r="77" spans="1:20" s="306" customFormat="1" ht="27.6" x14ac:dyDescent="0.25">
      <c r="A77" s="405">
        <v>44377</v>
      </c>
      <c r="B77" s="316">
        <f t="shared" si="0"/>
        <v>75</v>
      </c>
      <c r="C77" s="326" t="s">
        <v>253</v>
      </c>
      <c r="D77" s="326" t="s">
        <v>465</v>
      </c>
      <c r="E77" s="326" t="s">
        <v>412</v>
      </c>
      <c r="F77" s="326" t="s">
        <v>384</v>
      </c>
      <c r="G77" s="327" t="s">
        <v>413</v>
      </c>
      <c r="H77" s="305"/>
      <c r="I77" s="305"/>
      <c r="J77" s="305"/>
      <c r="K77" s="305"/>
      <c r="L77" s="305"/>
      <c r="M77" s="305"/>
      <c r="N77" s="305"/>
      <c r="O77" s="305"/>
      <c r="P77" s="305"/>
      <c r="Q77" s="305"/>
      <c r="R77" s="305"/>
      <c r="S77" s="305"/>
      <c r="T77" s="305"/>
    </row>
    <row r="78" spans="1:20" s="306" customFormat="1" ht="27.6" x14ac:dyDescent="0.25">
      <c r="A78" s="405">
        <v>44377</v>
      </c>
      <c r="B78" s="316">
        <f t="shared" si="0"/>
        <v>76</v>
      </c>
      <c r="C78" s="326" t="s">
        <v>253</v>
      </c>
      <c r="D78" s="326" t="s">
        <v>465</v>
      </c>
      <c r="E78" s="326" t="s">
        <v>414</v>
      </c>
      <c r="F78" s="326" t="s">
        <v>384</v>
      </c>
      <c r="G78" s="327" t="s">
        <v>415</v>
      </c>
      <c r="H78" s="305"/>
      <c r="I78" s="305"/>
      <c r="J78" s="305"/>
      <c r="K78" s="305"/>
      <c r="L78" s="305"/>
      <c r="M78" s="305"/>
      <c r="N78" s="305"/>
      <c r="O78" s="305"/>
      <c r="P78" s="305"/>
      <c r="Q78" s="305"/>
      <c r="R78" s="305"/>
      <c r="S78" s="305"/>
      <c r="T78" s="305"/>
    </row>
    <row r="79" spans="1:20" s="401" customFormat="1" x14ac:dyDescent="0.25">
      <c r="A79" s="405">
        <v>44377</v>
      </c>
      <c r="B79" s="316">
        <f t="shared" si="0"/>
        <v>77</v>
      </c>
      <c r="C79" s="326" t="s">
        <v>253</v>
      </c>
      <c r="D79" s="325" t="s">
        <v>465</v>
      </c>
      <c r="E79" s="326" t="s">
        <v>498</v>
      </c>
      <c r="F79" s="326" t="s">
        <v>452</v>
      </c>
      <c r="G79" s="327" t="s">
        <v>499</v>
      </c>
      <c r="H79" s="400"/>
      <c r="I79" s="400"/>
      <c r="J79" s="400"/>
      <c r="K79" s="400"/>
      <c r="L79" s="400"/>
      <c r="M79" s="400"/>
      <c r="N79" s="400"/>
      <c r="O79" s="400"/>
      <c r="P79" s="400"/>
      <c r="Q79" s="400"/>
      <c r="R79" s="400"/>
      <c r="S79" s="400"/>
      <c r="T79" s="400"/>
    </row>
    <row r="80" spans="1:20" s="306" customFormat="1" ht="41.4" x14ac:dyDescent="0.25">
      <c r="A80" s="405">
        <v>44377</v>
      </c>
      <c r="B80" s="316">
        <f t="shared" si="0"/>
        <v>78</v>
      </c>
      <c r="C80" s="326" t="s">
        <v>416</v>
      </c>
      <c r="D80" s="326" t="s">
        <v>471</v>
      </c>
      <c r="E80" s="326" t="s">
        <v>417</v>
      </c>
      <c r="F80" s="326" t="s">
        <v>418</v>
      </c>
      <c r="G80" s="327" t="s">
        <v>419</v>
      </c>
      <c r="H80" s="305"/>
      <c r="I80" s="305"/>
      <c r="J80" s="305"/>
      <c r="K80" s="305"/>
      <c r="L80" s="305"/>
      <c r="M80" s="305"/>
      <c r="N80" s="305"/>
      <c r="O80" s="305"/>
      <c r="P80" s="305"/>
      <c r="Q80" s="305"/>
      <c r="R80" s="305"/>
      <c r="S80" s="305"/>
      <c r="T80" s="305"/>
    </row>
    <row r="81" spans="1:21" s="306" customFormat="1" ht="27.6" x14ac:dyDescent="0.25">
      <c r="A81" s="405">
        <v>44377</v>
      </c>
      <c r="B81" s="316">
        <f t="shared" si="0"/>
        <v>79</v>
      </c>
      <c r="C81" s="326" t="s">
        <v>416</v>
      </c>
      <c r="D81" s="326" t="s">
        <v>471</v>
      </c>
      <c r="E81" s="326" t="s">
        <v>486</v>
      </c>
      <c r="F81" s="326" t="s">
        <v>418</v>
      </c>
      <c r="G81" s="327" t="s">
        <v>420</v>
      </c>
      <c r="H81" s="305"/>
      <c r="I81" s="305"/>
      <c r="J81" s="305"/>
      <c r="K81" s="305"/>
      <c r="L81" s="305"/>
      <c r="M81" s="305"/>
      <c r="N81" s="305"/>
      <c r="O81" s="305"/>
      <c r="P81" s="305"/>
      <c r="Q81" s="305"/>
      <c r="R81" s="305"/>
      <c r="S81" s="305"/>
      <c r="T81" s="305"/>
    </row>
    <row r="82" spans="1:21" s="306" customFormat="1" ht="27.6" x14ac:dyDescent="0.25">
      <c r="A82" s="405">
        <v>44377</v>
      </c>
      <c r="B82" s="316">
        <f t="shared" si="0"/>
        <v>80</v>
      </c>
      <c r="C82" s="326" t="s">
        <v>416</v>
      </c>
      <c r="D82" s="326" t="s">
        <v>471</v>
      </c>
      <c r="E82" s="326" t="s">
        <v>472</v>
      </c>
      <c r="F82" s="326" t="s">
        <v>421</v>
      </c>
      <c r="G82" s="327" t="s">
        <v>485</v>
      </c>
      <c r="H82" s="305"/>
      <c r="I82" s="305"/>
      <c r="J82" s="305"/>
      <c r="K82" s="305"/>
      <c r="L82" s="305"/>
      <c r="M82" s="305"/>
      <c r="N82" s="305"/>
      <c r="O82" s="305"/>
      <c r="P82" s="305"/>
      <c r="Q82" s="305"/>
      <c r="R82" s="305"/>
      <c r="S82" s="305"/>
      <c r="T82" s="305"/>
    </row>
    <row r="83" spans="1:21" s="306" customFormat="1" ht="69" x14ac:dyDescent="0.25">
      <c r="A83" s="405">
        <v>44377</v>
      </c>
      <c r="B83" s="316">
        <f t="shared" si="0"/>
        <v>81</v>
      </c>
      <c r="C83" s="326" t="s">
        <v>416</v>
      </c>
      <c r="D83" s="326" t="s">
        <v>471</v>
      </c>
      <c r="E83" s="326" t="s">
        <v>422</v>
      </c>
      <c r="F83" s="326" t="s">
        <v>423</v>
      </c>
      <c r="G83" s="327" t="s">
        <v>456</v>
      </c>
      <c r="H83" s="305"/>
      <c r="I83" s="305"/>
      <c r="J83" s="305"/>
      <c r="K83" s="305"/>
      <c r="L83" s="305"/>
      <c r="M83" s="305"/>
      <c r="N83" s="305"/>
      <c r="O83" s="305"/>
      <c r="P83" s="305"/>
      <c r="Q83" s="305"/>
      <c r="R83" s="305"/>
      <c r="S83" s="305"/>
      <c r="T83" s="305"/>
    </row>
    <row r="84" spans="1:21" s="306" customFormat="1" x14ac:dyDescent="0.25">
      <c r="A84" s="405">
        <v>44377</v>
      </c>
      <c r="B84" s="316">
        <f t="shared" ref="B84:B90" si="1">B83+1</f>
        <v>82</v>
      </c>
      <c r="C84" s="326" t="s">
        <v>416</v>
      </c>
      <c r="D84" s="326" t="s">
        <v>471</v>
      </c>
      <c r="E84" s="326" t="s">
        <v>424</v>
      </c>
      <c r="F84" s="326" t="s">
        <v>404</v>
      </c>
      <c r="G84" s="327" t="s">
        <v>425</v>
      </c>
      <c r="H84" s="305"/>
      <c r="I84" s="305"/>
      <c r="J84" s="305"/>
      <c r="K84" s="305"/>
      <c r="L84" s="305"/>
      <c r="M84" s="305"/>
      <c r="N84" s="305"/>
      <c r="O84" s="305"/>
      <c r="P84" s="305"/>
      <c r="Q84" s="305"/>
      <c r="R84" s="305"/>
      <c r="S84" s="305"/>
      <c r="T84" s="305"/>
    </row>
    <row r="85" spans="1:21" s="306" customFormat="1" ht="28.2" x14ac:dyDescent="0.25">
      <c r="A85" s="405">
        <v>44377</v>
      </c>
      <c r="B85" s="316">
        <f t="shared" si="1"/>
        <v>83</v>
      </c>
      <c r="C85" s="326" t="s">
        <v>416</v>
      </c>
      <c r="D85" s="326" t="s">
        <v>471</v>
      </c>
      <c r="E85" s="326" t="s">
        <v>426</v>
      </c>
      <c r="F85" s="326" t="s">
        <v>427</v>
      </c>
      <c r="G85" s="327" t="s">
        <v>457</v>
      </c>
      <c r="H85" s="305"/>
      <c r="I85" s="305"/>
      <c r="J85" s="305"/>
      <c r="K85" s="305"/>
      <c r="L85" s="305"/>
      <c r="M85" s="305"/>
      <c r="N85" s="305"/>
      <c r="O85" s="305"/>
      <c r="P85" s="305"/>
      <c r="Q85" s="305"/>
      <c r="R85" s="305"/>
      <c r="S85" s="305"/>
      <c r="T85" s="305"/>
    </row>
    <row r="86" spans="1:21" s="230" customFormat="1" ht="27.6" x14ac:dyDescent="0.25">
      <c r="A86" s="405">
        <v>44377</v>
      </c>
      <c r="B86" s="316">
        <f t="shared" si="1"/>
        <v>84</v>
      </c>
      <c r="C86" s="326" t="s">
        <v>428</v>
      </c>
      <c r="D86" s="326"/>
      <c r="E86" s="326" t="s">
        <v>429</v>
      </c>
      <c r="F86" s="326" t="s">
        <v>404</v>
      </c>
      <c r="G86" s="327" t="s">
        <v>430</v>
      </c>
      <c r="H86" s="248"/>
      <c r="I86" s="248"/>
      <c r="J86" s="248"/>
      <c r="K86" s="248"/>
      <c r="L86" s="248"/>
      <c r="M86" s="248"/>
      <c r="N86" s="248"/>
      <c r="O86" s="248"/>
      <c r="P86" s="248"/>
      <c r="Q86" s="248"/>
      <c r="R86" s="248"/>
      <c r="S86" s="248"/>
      <c r="T86" s="248"/>
    </row>
    <row r="87" spans="1:21" s="230" customFormat="1" x14ac:dyDescent="0.25">
      <c r="A87" s="405">
        <v>44377</v>
      </c>
      <c r="B87" s="316">
        <f t="shared" si="1"/>
        <v>85</v>
      </c>
      <c r="C87" s="363" t="s">
        <v>428</v>
      </c>
      <c r="D87" s="372"/>
      <c r="E87" s="363" t="s">
        <v>458</v>
      </c>
      <c r="F87" s="363" t="s">
        <v>404</v>
      </c>
      <c r="G87" s="363" t="s">
        <v>459</v>
      </c>
      <c r="H87" s="248"/>
      <c r="I87" s="248"/>
      <c r="J87" s="248"/>
      <c r="K87" s="248"/>
      <c r="L87" s="248"/>
      <c r="M87" s="248"/>
      <c r="N87" s="248"/>
      <c r="O87" s="248"/>
      <c r="P87" s="248"/>
      <c r="Q87" s="248"/>
      <c r="R87" s="248"/>
      <c r="S87" s="248"/>
      <c r="T87" s="248"/>
      <c r="U87" s="248"/>
    </row>
    <row r="88" spans="1:21" s="230" customFormat="1" x14ac:dyDescent="0.25">
      <c r="A88" s="405">
        <v>44742</v>
      </c>
      <c r="B88" s="316">
        <f>B87+1</f>
        <v>86</v>
      </c>
      <c r="C88" s="325" t="s">
        <v>316</v>
      </c>
      <c r="D88" s="331"/>
      <c r="E88" s="326" t="s">
        <v>370</v>
      </c>
      <c r="F88" s="326" t="s">
        <v>368</v>
      </c>
      <c r="G88" s="327" t="s">
        <v>369</v>
      </c>
      <c r="H88" s="248"/>
      <c r="I88" s="248"/>
      <c r="J88" s="248"/>
      <c r="K88" s="248"/>
      <c r="L88" s="248"/>
      <c r="M88" s="248"/>
      <c r="N88" s="248"/>
      <c r="O88" s="248"/>
      <c r="P88" s="248"/>
      <c r="Q88" s="248"/>
      <c r="R88" s="248"/>
      <c r="S88" s="248"/>
      <c r="T88" s="248"/>
      <c r="U88" s="248"/>
    </row>
    <row r="89" spans="1:21" s="230" customFormat="1" x14ac:dyDescent="0.25">
      <c r="A89" s="405">
        <v>44742</v>
      </c>
      <c r="B89" s="316">
        <f t="shared" si="1"/>
        <v>87</v>
      </c>
      <c r="C89" s="326" t="s">
        <v>316</v>
      </c>
      <c r="D89" s="325"/>
      <c r="E89" s="326" t="s">
        <v>511</v>
      </c>
      <c r="F89" s="326" t="s">
        <v>368</v>
      </c>
      <c r="G89" s="327" t="s">
        <v>371</v>
      </c>
      <c r="H89" s="248"/>
      <c r="I89" s="248"/>
      <c r="J89" s="248"/>
      <c r="K89" s="248"/>
      <c r="L89" s="248"/>
      <c r="M89" s="248"/>
      <c r="N89" s="248"/>
      <c r="O89" s="248"/>
      <c r="P89" s="248"/>
      <c r="Q89" s="248"/>
      <c r="R89" s="248"/>
      <c r="S89" s="248"/>
      <c r="T89" s="248"/>
      <c r="U89" s="248"/>
    </row>
    <row r="90" spans="1:21" s="230" customFormat="1" ht="55.2" x14ac:dyDescent="0.25">
      <c r="A90" s="405">
        <v>44742</v>
      </c>
      <c r="B90" s="316">
        <f t="shared" si="1"/>
        <v>88</v>
      </c>
      <c r="C90" s="326" t="s">
        <v>316</v>
      </c>
      <c r="D90" s="325"/>
      <c r="E90" s="326" t="s">
        <v>512</v>
      </c>
      <c r="F90" s="326" t="s">
        <v>500</v>
      </c>
      <c r="G90" s="327" t="s">
        <v>527</v>
      </c>
      <c r="H90" s="248"/>
      <c r="I90" s="248"/>
      <c r="J90" s="248"/>
      <c r="K90" s="248"/>
      <c r="L90" s="248"/>
      <c r="M90" s="248"/>
      <c r="N90" s="248"/>
      <c r="O90" s="248"/>
      <c r="P90" s="248"/>
      <c r="Q90" s="248"/>
      <c r="R90" s="248"/>
      <c r="S90" s="248"/>
      <c r="T90" s="248"/>
      <c r="U90" s="248"/>
    </row>
    <row r="91" spans="1:21" s="230" customFormat="1" x14ac:dyDescent="0.25">
      <c r="B91" s="52"/>
      <c r="D91" s="52"/>
      <c r="H91" s="248"/>
      <c r="I91" s="248"/>
      <c r="J91" s="248"/>
      <c r="K91" s="248"/>
      <c r="L91" s="248"/>
      <c r="M91" s="248"/>
      <c r="N91" s="248"/>
      <c r="O91" s="248"/>
      <c r="P91" s="248"/>
      <c r="Q91" s="248"/>
      <c r="R91" s="248"/>
      <c r="S91" s="248"/>
      <c r="T91" s="248"/>
      <c r="U91" s="248"/>
    </row>
    <row r="92" spans="1:21" s="230" customFormat="1" x14ac:dyDescent="0.25">
      <c r="B92" s="52"/>
      <c r="D92" s="52"/>
      <c r="H92" s="248"/>
      <c r="I92" s="248"/>
      <c r="J92" s="248"/>
      <c r="K92" s="248"/>
      <c r="L92" s="248"/>
      <c r="M92" s="248"/>
      <c r="N92" s="248"/>
      <c r="O92" s="248"/>
      <c r="P92" s="248"/>
      <c r="Q92" s="248"/>
      <c r="R92" s="248"/>
      <c r="S92" s="248"/>
      <c r="T92" s="248"/>
      <c r="U92" s="248"/>
    </row>
    <row r="93" spans="1:21" s="230" customFormat="1" x14ac:dyDescent="0.25">
      <c r="B93" s="52"/>
      <c r="D93" s="52"/>
      <c r="H93" s="248"/>
      <c r="I93" s="248"/>
      <c r="J93" s="248"/>
      <c r="K93" s="248"/>
      <c r="L93" s="248"/>
      <c r="M93" s="248"/>
      <c r="N93" s="248"/>
      <c r="O93" s="248"/>
      <c r="P93" s="248"/>
      <c r="Q93" s="248"/>
      <c r="R93" s="248"/>
      <c r="S93" s="248"/>
      <c r="T93" s="248"/>
      <c r="U93" s="248"/>
    </row>
    <row r="94" spans="1:21" s="230" customFormat="1" x14ac:dyDescent="0.25">
      <c r="B94" s="52"/>
      <c r="D94" s="52"/>
      <c r="H94" s="248"/>
      <c r="I94" s="248"/>
      <c r="J94" s="248"/>
      <c r="K94" s="248"/>
      <c r="L94" s="248"/>
      <c r="M94" s="248"/>
      <c r="N94" s="248"/>
      <c r="O94" s="248"/>
      <c r="P94" s="248"/>
      <c r="Q94" s="248"/>
      <c r="R94" s="248"/>
      <c r="S94" s="248"/>
      <c r="T94" s="248"/>
      <c r="U94" s="248"/>
    </row>
    <row r="95" spans="1:21" s="230" customFormat="1" x14ac:dyDescent="0.25">
      <c r="B95" s="52"/>
      <c r="D95" s="52"/>
      <c r="H95" s="248"/>
      <c r="I95" s="248"/>
      <c r="J95" s="248"/>
      <c r="K95" s="248"/>
      <c r="L95" s="248"/>
      <c r="M95" s="248"/>
      <c r="N95" s="248"/>
      <c r="O95" s="248"/>
      <c r="P95" s="248"/>
      <c r="Q95" s="248"/>
      <c r="R95" s="248"/>
      <c r="S95" s="248"/>
      <c r="T95" s="248"/>
      <c r="U95" s="248"/>
    </row>
    <row r="96" spans="1:21" s="230" customFormat="1" x14ac:dyDescent="0.25">
      <c r="B96" s="52"/>
      <c r="D96" s="52"/>
      <c r="H96" s="248"/>
      <c r="I96" s="248"/>
      <c r="J96" s="248"/>
      <c r="K96" s="248"/>
      <c r="L96" s="248"/>
      <c r="M96" s="248"/>
      <c r="N96" s="248"/>
      <c r="O96" s="248"/>
      <c r="P96" s="248"/>
      <c r="Q96" s="248"/>
      <c r="R96" s="248"/>
      <c r="S96" s="248"/>
      <c r="T96" s="248"/>
      <c r="U96" s="248"/>
    </row>
    <row r="97" spans="2:21" s="230" customFormat="1" x14ac:dyDescent="0.25">
      <c r="B97" s="52"/>
      <c r="D97" s="52"/>
      <c r="H97" s="248"/>
      <c r="I97" s="248"/>
      <c r="J97" s="248"/>
      <c r="K97" s="248"/>
      <c r="L97" s="248"/>
      <c r="M97" s="248"/>
      <c r="N97" s="248"/>
      <c r="O97" s="248"/>
      <c r="P97" s="248"/>
      <c r="Q97" s="248"/>
      <c r="R97" s="248"/>
      <c r="S97" s="248"/>
      <c r="T97" s="248"/>
      <c r="U97" s="248"/>
    </row>
    <row r="98" spans="2:21" s="230" customFormat="1" x14ac:dyDescent="0.25">
      <c r="B98" s="52"/>
      <c r="D98" s="52"/>
      <c r="H98" s="248"/>
      <c r="I98" s="248"/>
      <c r="J98" s="248"/>
      <c r="K98" s="248"/>
      <c r="L98" s="248"/>
      <c r="M98" s="248"/>
      <c r="N98" s="248"/>
      <c r="O98" s="248"/>
      <c r="P98" s="248"/>
      <c r="Q98" s="248"/>
      <c r="R98" s="248"/>
      <c r="S98" s="248"/>
      <c r="T98" s="248"/>
      <c r="U98" s="248"/>
    </row>
    <row r="99" spans="2:21" s="230" customFormat="1" x14ac:dyDescent="0.25">
      <c r="B99" s="52"/>
      <c r="D99" s="52"/>
      <c r="H99" s="248"/>
      <c r="I99" s="248"/>
      <c r="J99" s="248"/>
      <c r="K99" s="248"/>
      <c r="L99" s="248"/>
      <c r="M99" s="248"/>
      <c r="N99" s="248"/>
      <c r="O99" s="248"/>
      <c r="P99" s="248"/>
      <c r="Q99" s="248"/>
      <c r="R99" s="248"/>
      <c r="S99" s="248"/>
      <c r="T99" s="248"/>
      <c r="U99" s="248"/>
    </row>
    <row r="100" spans="2:21" s="230" customFormat="1" x14ac:dyDescent="0.25">
      <c r="B100" s="52"/>
      <c r="D100" s="52"/>
      <c r="H100" s="248"/>
      <c r="I100" s="248"/>
      <c r="J100" s="248"/>
      <c r="K100" s="248"/>
      <c r="L100" s="248"/>
      <c r="M100" s="248"/>
      <c r="N100" s="248"/>
      <c r="O100" s="248"/>
      <c r="P100" s="248"/>
      <c r="Q100" s="248"/>
      <c r="R100" s="248"/>
      <c r="S100" s="248"/>
      <c r="T100" s="248"/>
      <c r="U100" s="248"/>
    </row>
    <row r="101" spans="2:21" s="230" customFormat="1" x14ac:dyDescent="0.25">
      <c r="B101" s="52"/>
      <c r="D101" s="52"/>
      <c r="H101" s="248"/>
      <c r="I101" s="248"/>
      <c r="J101" s="248"/>
      <c r="K101" s="248"/>
      <c r="L101" s="248"/>
      <c r="M101" s="248"/>
      <c r="N101" s="248"/>
      <c r="O101" s="248"/>
      <c r="P101" s="248"/>
      <c r="Q101" s="248"/>
      <c r="R101" s="248"/>
      <c r="S101" s="248"/>
      <c r="T101" s="248"/>
      <c r="U101" s="248"/>
    </row>
    <row r="102" spans="2:21" s="230" customFormat="1" x14ac:dyDescent="0.25">
      <c r="B102" s="52"/>
      <c r="D102" s="52"/>
      <c r="H102" s="248"/>
      <c r="I102" s="248"/>
      <c r="J102" s="248"/>
      <c r="K102" s="248"/>
      <c r="L102" s="248"/>
      <c r="M102" s="248"/>
      <c r="N102" s="248"/>
      <c r="O102" s="248"/>
      <c r="P102" s="248"/>
      <c r="Q102" s="248"/>
      <c r="R102" s="248"/>
      <c r="S102" s="248"/>
      <c r="T102" s="248"/>
      <c r="U102" s="248"/>
    </row>
    <row r="103" spans="2:21" s="230" customFormat="1" x14ac:dyDescent="0.25">
      <c r="B103" s="52"/>
      <c r="D103" s="52"/>
      <c r="H103" s="248"/>
      <c r="I103" s="248"/>
      <c r="J103" s="248"/>
      <c r="K103" s="248"/>
      <c r="L103" s="248"/>
      <c r="M103" s="248"/>
      <c r="N103" s="248"/>
      <c r="O103" s="248"/>
      <c r="P103" s="248"/>
      <c r="Q103" s="248"/>
      <c r="R103" s="248"/>
      <c r="S103" s="248"/>
      <c r="T103" s="248"/>
      <c r="U103" s="248"/>
    </row>
    <row r="104" spans="2:21" s="230" customFormat="1" x14ac:dyDescent="0.25">
      <c r="B104" s="52"/>
      <c r="D104" s="52"/>
      <c r="H104" s="248"/>
      <c r="I104" s="248"/>
      <c r="J104" s="248"/>
      <c r="K104" s="248"/>
      <c r="L104" s="248"/>
      <c r="M104" s="248"/>
      <c r="N104" s="248"/>
      <c r="O104" s="248"/>
      <c r="P104" s="248"/>
      <c r="Q104" s="248"/>
      <c r="R104" s="248"/>
      <c r="S104" s="248"/>
      <c r="T104" s="248"/>
      <c r="U104" s="248"/>
    </row>
    <row r="105" spans="2:21" s="230" customFormat="1" x14ac:dyDescent="0.25">
      <c r="B105" s="52"/>
      <c r="D105" s="52"/>
      <c r="H105" s="248"/>
      <c r="I105" s="248"/>
      <c r="J105" s="248"/>
      <c r="K105" s="248"/>
      <c r="L105" s="248"/>
      <c r="M105" s="248"/>
      <c r="N105" s="248"/>
      <c r="O105" s="248"/>
      <c r="P105" s="248"/>
      <c r="Q105" s="248"/>
      <c r="R105" s="248"/>
      <c r="S105" s="248"/>
      <c r="T105" s="248"/>
      <c r="U105" s="248"/>
    </row>
    <row r="106" spans="2:21" s="230" customFormat="1" x14ac:dyDescent="0.25">
      <c r="B106" s="52"/>
      <c r="D106" s="52"/>
      <c r="H106" s="248"/>
      <c r="I106" s="248"/>
      <c r="J106" s="248"/>
      <c r="K106" s="248"/>
      <c r="L106" s="248"/>
      <c r="M106" s="248"/>
      <c r="N106" s="248"/>
      <c r="O106" s="248"/>
      <c r="P106" s="248"/>
      <c r="Q106" s="248"/>
      <c r="R106" s="248"/>
      <c r="S106" s="248"/>
      <c r="T106" s="248"/>
      <c r="U106" s="248"/>
    </row>
    <row r="107" spans="2:21" s="230" customFormat="1" x14ac:dyDescent="0.25">
      <c r="B107" s="52"/>
      <c r="D107" s="52"/>
      <c r="H107" s="248"/>
      <c r="I107" s="248"/>
      <c r="J107" s="248"/>
      <c r="K107" s="248"/>
      <c r="L107" s="248"/>
      <c r="M107" s="248"/>
      <c r="N107" s="248"/>
      <c r="O107" s="248"/>
      <c r="P107" s="248"/>
      <c r="Q107" s="248"/>
      <c r="R107" s="248"/>
      <c r="S107" s="248"/>
      <c r="T107" s="248"/>
      <c r="U107" s="248"/>
    </row>
    <row r="108" spans="2:21" s="230" customFormat="1" x14ac:dyDescent="0.25">
      <c r="B108" s="52"/>
      <c r="D108" s="52"/>
      <c r="H108" s="248"/>
      <c r="I108" s="248"/>
      <c r="J108" s="248"/>
      <c r="K108" s="248"/>
      <c r="L108" s="248"/>
      <c r="M108" s="248"/>
      <c r="N108" s="248"/>
      <c r="O108" s="248"/>
      <c r="P108" s="248"/>
      <c r="Q108" s="248"/>
      <c r="R108" s="248"/>
      <c r="S108" s="248"/>
      <c r="T108" s="248"/>
      <c r="U108" s="248"/>
    </row>
    <row r="109" spans="2:21" s="230" customFormat="1" x14ac:dyDescent="0.25">
      <c r="B109" s="52"/>
      <c r="D109" s="52"/>
      <c r="H109" s="248"/>
      <c r="I109" s="248"/>
      <c r="J109" s="248"/>
      <c r="K109" s="248"/>
      <c r="L109" s="248"/>
      <c r="M109" s="248"/>
      <c r="N109" s="248"/>
      <c r="O109" s="248"/>
      <c r="P109" s="248"/>
      <c r="Q109" s="248"/>
      <c r="R109" s="248"/>
      <c r="S109" s="248"/>
      <c r="T109" s="248"/>
      <c r="U109" s="248"/>
    </row>
    <row r="110" spans="2:21" s="230" customFormat="1" x14ac:dyDescent="0.25">
      <c r="B110" s="52"/>
      <c r="D110" s="52"/>
      <c r="H110" s="248"/>
      <c r="I110" s="248"/>
      <c r="J110" s="248"/>
      <c r="K110" s="248"/>
      <c r="L110" s="248"/>
      <c r="M110" s="248"/>
      <c r="N110" s="248"/>
      <c r="O110" s="248"/>
      <c r="P110" s="248"/>
      <c r="Q110" s="248"/>
      <c r="R110" s="248"/>
      <c r="S110" s="248"/>
      <c r="T110" s="248"/>
      <c r="U110" s="248"/>
    </row>
    <row r="111" spans="2:21" s="230" customFormat="1" x14ac:dyDescent="0.25">
      <c r="B111" s="52"/>
      <c r="D111" s="52"/>
      <c r="H111" s="248"/>
      <c r="I111" s="248"/>
      <c r="J111" s="248"/>
      <c r="K111" s="248"/>
      <c r="L111" s="248"/>
      <c r="M111" s="248"/>
      <c r="N111" s="248"/>
      <c r="O111" s="248"/>
      <c r="P111" s="248"/>
      <c r="Q111" s="248"/>
      <c r="R111" s="248"/>
      <c r="S111" s="248"/>
      <c r="T111" s="248"/>
      <c r="U111" s="248"/>
    </row>
    <row r="112" spans="2:21" s="230" customFormat="1" x14ac:dyDescent="0.25">
      <c r="B112" s="52"/>
      <c r="D112" s="52"/>
      <c r="H112" s="248"/>
      <c r="I112" s="248"/>
      <c r="J112" s="248"/>
      <c r="K112" s="248"/>
      <c r="L112" s="248"/>
      <c r="M112" s="248"/>
      <c r="N112" s="248"/>
      <c r="O112" s="248"/>
      <c r="P112" s="248"/>
      <c r="Q112" s="248"/>
      <c r="R112" s="248"/>
      <c r="S112" s="248"/>
      <c r="T112" s="248"/>
      <c r="U112" s="248"/>
    </row>
    <row r="113" spans="2:21" s="230" customFormat="1" x14ac:dyDescent="0.25">
      <c r="B113" s="52"/>
      <c r="D113" s="52"/>
      <c r="H113" s="248"/>
      <c r="I113" s="248"/>
      <c r="J113" s="248"/>
      <c r="K113" s="248"/>
      <c r="L113" s="248"/>
      <c r="M113" s="248"/>
      <c r="N113" s="248"/>
      <c r="O113" s="248"/>
      <c r="P113" s="248"/>
      <c r="Q113" s="248"/>
      <c r="R113" s="248"/>
      <c r="S113" s="248"/>
      <c r="T113" s="248"/>
      <c r="U113" s="248"/>
    </row>
    <row r="114" spans="2:21" s="230" customFormat="1" x14ac:dyDescent="0.25">
      <c r="B114" s="52"/>
      <c r="D114" s="52"/>
      <c r="H114" s="248"/>
      <c r="I114" s="248"/>
      <c r="J114" s="248"/>
      <c r="K114" s="248"/>
      <c r="L114" s="248"/>
      <c r="M114" s="248"/>
      <c r="N114" s="248"/>
      <c r="O114" s="248"/>
      <c r="P114" s="248"/>
      <c r="Q114" s="248"/>
      <c r="R114" s="248"/>
      <c r="S114" s="248"/>
      <c r="T114" s="248"/>
      <c r="U114" s="248"/>
    </row>
    <row r="115" spans="2:21" s="230" customFormat="1" x14ac:dyDescent="0.25">
      <c r="B115" s="52"/>
      <c r="D115" s="52"/>
      <c r="H115" s="248"/>
      <c r="I115" s="248"/>
      <c r="J115" s="248"/>
      <c r="K115" s="248"/>
      <c r="L115" s="248"/>
      <c r="M115" s="248"/>
      <c r="N115" s="248"/>
      <c r="O115" s="248"/>
      <c r="P115" s="248"/>
      <c r="Q115" s="248"/>
      <c r="R115" s="248"/>
      <c r="S115" s="248"/>
      <c r="T115" s="248"/>
      <c r="U115" s="248"/>
    </row>
    <row r="116" spans="2:21" s="230" customFormat="1" x14ac:dyDescent="0.25">
      <c r="B116" s="52"/>
      <c r="D116" s="52"/>
      <c r="H116" s="248"/>
      <c r="I116" s="248"/>
      <c r="J116" s="248"/>
      <c r="K116" s="248"/>
      <c r="L116" s="248"/>
      <c r="M116" s="248"/>
      <c r="N116" s="248"/>
      <c r="O116" s="248"/>
      <c r="P116" s="248"/>
      <c r="Q116" s="248"/>
      <c r="R116" s="248"/>
      <c r="S116" s="248"/>
      <c r="T116" s="248"/>
      <c r="U116" s="248"/>
    </row>
    <row r="117" spans="2:21" s="230" customFormat="1" x14ac:dyDescent="0.25">
      <c r="B117" s="52"/>
      <c r="D117" s="52"/>
      <c r="H117" s="248"/>
      <c r="I117" s="248"/>
      <c r="J117" s="248"/>
      <c r="K117" s="248"/>
      <c r="L117" s="248"/>
      <c r="M117" s="248"/>
      <c r="N117" s="248"/>
      <c r="O117" s="248"/>
      <c r="P117" s="248"/>
      <c r="Q117" s="248"/>
      <c r="R117" s="248"/>
      <c r="S117" s="248"/>
      <c r="T117" s="248"/>
      <c r="U117" s="248"/>
    </row>
    <row r="118" spans="2:21" s="230" customFormat="1" x14ac:dyDescent="0.25">
      <c r="B118" s="52"/>
      <c r="D118" s="52"/>
      <c r="H118" s="248"/>
      <c r="I118" s="248"/>
      <c r="J118" s="248"/>
      <c r="K118" s="248"/>
      <c r="L118" s="248"/>
      <c r="M118" s="248"/>
      <c r="N118" s="248"/>
      <c r="O118" s="248"/>
      <c r="P118" s="248"/>
      <c r="Q118" s="248"/>
      <c r="R118" s="248"/>
      <c r="S118" s="248"/>
      <c r="T118" s="248"/>
      <c r="U118" s="248"/>
    </row>
    <row r="119" spans="2:21" s="230" customFormat="1" x14ac:dyDescent="0.25">
      <c r="B119" s="52"/>
      <c r="D119" s="52"/>
      <c r="H119" s="248"/>
      <c r="I119" s="248"/>
      <c r="J119" s="248"/>
      <c r="K119" s="248"/>
      <c r="L119" s="248"/>
      <c r="M119" s="248"/>
      <c r="N119" s="248"/>
      <c r="O119" s="248"/>
      <c r="P119" s="248"/>
      <c r="Q119" s="248"/>
      <c r="R119" s="248"/>
      <c r="S119" s="248"/>
      <c r="T119" s="248"/>
      <c r="U119" s="248"/>
    </row>
    <row r="120" spans="2:21" s="230" customFormat="1" x14ac:dyDescent="0.25">
      <c r="B120" s="52"/>
      <c r="D120" s="52"/>
      <c r="H120" s="248"/>
      <c r="I120" s="248"/>
      <c r="J120" s="248"/>
      <c r="K120" s="248"/>
      <c r="L120" s="248"/>
      <c r="M120" s="248"/>
      <c r="N120" s="248"/>
      <c r="O120" s="248"/>
      <c r="P120" s="248"/>
      <c r="Q120" s="248"/>
      <c r="R120" s="248"/>
      <c r="S120" s="248"/>
      <c r="T120" s="248"/>
      <c r="U120" s="248"/>
    </row>
    <row r="121" spans="2:21" s="230" customFormat="1" x14ac:dyDescent="0.25">
      <c r="B121" s="52"/>
      <c r="D121" s="52"/>
      <c r="H121" s="248"/>
      <c r="I121" s="248"/>
      <c r="J121" s="248"/>
      <c r="K121" s="248"/>
      <c r="L121" s="248"/>
      <c r="M121" s="248"/>
      <c r="N121" s="248"/>
      <c r="O121" s="248"/>
      <c r="P121" s="248"/>
      <c r="Q121" s="248"/>
      <c r="R121" s="248"/>
      <c r="S121" s="248"/>
      <c r="T121" s="248"/>
      <c r="U121" s="248"/>
    </row>
    <row r="122" spans="2:21" s="230" customFormat="1" x14ac:dyDescent="0.25">
      <c r="B122" s="52"/>
      <c r="D122" s="52"/>
      <c r="H122" s="248"/>
      <c r="I122" s="248"/>
      <c r="J122" s="248"/>
      <c r="K122" s="248"/>
      <c r="L122" s="248"/>
      <c r="M122" s="248"/>
      <c r="N122" s="248"/>
      <c r="O122" s="248"/>
      <c r="P122" s="248"/>
      <c r="Q122" s="248"/>
      <c r="R122" s="248"/>
      <c r="S122" s="248"/>
      <c r="T122" s="248"/>
      <c r="U122" s="248"/>
    </row>
    <row r="123" spans="2:21" s="230" customFormat="1" x14ac:dyDescent="0.25">
      <c r="B123" s="52"/>
      <c r="D123" s="52"/>
      <c r="H123" s="248"/>
      <c r="I123" s="248"/>
      <c r="J123" s="248"/>
      <c r="K123" s="248"/>
      <c r="L123" s="248"/>
      <c r="M123" s="248"/>
      <c r="N123" s="248"/>
      <c r="O123" s="248"/>
      <c r="P123" s="248"/>
      <c r="Q123" s="248"/>
      <c r="R123" s="248"/>
      <c r="S123" s="248"/>
      <c r="T123" s="248"/>
      <c r="U123" s="248"/>
    </row>
    <row r="124" spans="2:21" s="230" customFormat="1" x14ac:dyDescent="0.25">
      <c r="B124" s="52"/>
      <c r="D124" s="52"/>
      <c r="H124" s="248"/>
      <c r="I124" s="248"/>
      <c r="J124" s="248"/>
      <c r="K124" s="248"/>
      <c r="L124" s="248"/>
      <c r="M124" s="248"/>
      <c r="N124" s="248"/>
      <c r="O124" s="248"/>
      <c r="P124" s="248"/>
      <c r="Q124" s="248"/>
      <c r="R124" s="248"/>
      <c r="S124" s="248"/>
      <c r="T124" s="248"/>
      <c r="U124" s="248"/>
    </row>
    <row r="125" spans="2:21" s="230" customFormat="1" x14ac:dyDescent="0.25">
      <c r="B125" s="52"/>
      <c r="D125" s="52"/>
      <c r="H125" s="248"/>
      <c r="I125" s="248"/>
      <c r="J125" s="248"/>
      <c r="K125" s="248"/>
      <c r="L125" s="248"/>
      <c r="M125" s="248"/>
      <c r="N125" s="248"/>
      <c r="O125" s="248"/>
      <c r="P125" s="248"/>
      <c r="Q125" s="248"/>
      <c r="R125" s="248"/>
      <c r="S125" s="248"/>
      <c r="T125" s="248"/>
      <c r="U125" s="248"/>
    </row>
    <row r="126" spans="2:21" s="230" customFormat="1" x14ac:dyDescent="0.25">
      <c r="B126" s="52"/>
      <c r="D126" s="52"/>
      <c r="H126" s="248"/>
      <c r="I126" s="248"/>
      <c r="J126" s="248"/>
      <c r="K126" s="248"/>
      <c r="L126" s="248"/>
      <c r="M126" s="248"/>
      <c r="N126" s="248"/>
      <c r="O126" s="248"/>
      <c r="P126" s="248"/>
      <c r="Q126" s="248"/>
      <c r="R126" s="248"/>
      <c r="S126" s="248"/>
      <c r="T126" s="248"/>
      <c r="U126" s="248"/>
    </row>
    <row r="127" spans="2:21" s="230" customFormat="1" x14ac:dyDescent="0.25">
      <c r="B127" s="52"/>
      <c r="D127" s="52"/>
      <c r="H127" s="248"/>
      <c r="I127" s="248"/>
      <c r="J127" s="248"/>
      <c r="K127" s="248"/>
      <c r="L127" s="248"/>
      <c r="M127" s="248"/>
      <c r="N127" s="248"/>
      <c r="O127" s="248"/>
      <c r="P127" s="248"/>
      <c r="Q127" s="248"/>
      <c r="R127" s="248"/>
      <c r="S127" s="248"/>
      <c r="T127" s="248"/>
      <c r="U127" s="248"/>
    </row>
    <row r="128" spans="2:21" s="230" customFormat="1" x14ac:dyDescent="0.25">
      <c r="B128" s="52"/>
      <c r="D128" s="52"/>
      <c r="H128" s="248"/>
      <c r="I128" s="248"/>
      <c r="J128" s="248"/>
      <c r="K128" s="248"/>
      <c r="L128" s="248"/>
      <c r="M128" s="248"/>
      <c r="N128" s="248"/>
      <c r="O128" s="248"/>
      <c r="P128" s="248"/>
      <c r="Q128" s="248"/>
      <c r="R128" s="248"/>
      <c r="S128" s="248"/>
      <c r="T128" s="248"/>
      <c r="U128" s="248"/>
    </row>
    <row r="129" spans="2:21" s="230" customFormat="1" x14ac:dyDescent="0.25">
      <c r="B129" s="52"/>
      <c r="D129" s="52"/>
      <c r="H129" s="248"/>
      <c r="I129" s="248"/>
      <c r="J129" s="248"/>
      <c r="K129" s="248"/>
      <c r="L129" s="248"/>
      <c r="M129" s="248"/>
      <c r="N129" s="248"/>
      <c r="O129" s="248"/>
      <c r="P129" s="248"/>
      <c r="Q129" s="248"/>
      <c r="R129" s="248"/>
      <c r="S129" s="248"/>
      <c r="T129" s="248"/>
      <c r="U129" s="248"/>
    </row>
    <row r="130" spans="2:21" s="230" customFormat="1" x14ac:dyDescent="0.25">
      <c r="B130" s="52"/>
      <c r="D130" s="52"/>
      <c r="H130" s="248"/>
      <c r="I130" s="248"/>
      <c r="J130" s="248"/>
      <c r="K130" s="248"/>
      <c r="L130" s="248"/>
      <c r="M130" s="248"/>
      <c r="N130" s="248"/>
      <c r="O130" s="248"/>
      <c r="P130" s="248"/>
      <c r="Q130" s="248"/>
      <c r="R130" s="248"/>
      <c r="S130" s="248"/>
      <c r="T130" s="248"/>
      <c r="U130" s="248"/>
    </row>
    <row r="131" spans="2:21" s="230" customFormat="1" x14ac:dyDescent="0.25">
      <c r="B131" s="52"/>
      <c r="D131" s="52"/>
      <c r="H131" s="248"/>
      <c r="I131" s="248"/>
      <c r="J131" s="248"/>
      <c r="K131" s="248"/>
      <c r="L131" s="248"/>
      <c r="M131" s="248"/>
      <c r="N131" s="248"/>
      <c r="O131" s="248"/>
      <c r="P131" s="248"/>
      <c r="Q131" s="248"/>
      <c r="R131" s="248"/>
      <c r="S131" s="248"/>
      <c r="T131" s="248"/>
      <c r="U131" s="248"/>
    </row>
    <row r="132" spans="2:21" s="230" customFormat="1" x14ac:dyDescent="0.25">
      <c r="B132" s="52"/>
      <c r="D132" s="52"/>
      <c r="H132" s="248"/>
      <c r="I132" s="248"/>
      <c r="J132" s="248"/>
      <c r="K132" s="248"/>
      <c r="L132" s="248"/>
      <c r="M132" s="248"/>
      <c r="N132" s="248"/>
      <c r="O132" s="248"/>
      <c r="P132" s="248"/>
      <c r="Q132" s="248"/>
      <c r="R132" s="248"/>
      <c r="S132" s="248"/>
      <c r="T132" s="248"/>
      <c r="U132" s="248"/>
    </row>
    <row r="133" spans="2:21" s="230" customFormat="1" x14ac:dyDescent="0.25">
      <c r="B133" s="52"/>
      <c r="D133" s="52"/>
      <c r="H133" s="248"/>
      <c r="I133" s="248"/>
      <c r="J133" s="248"/>
      <c r="K133" s="248"/>
      <c r="L133" s="248"/>
      <c r="M133" s="248"/>
      <c r="N133" s="248"/>
      <c r="O133" s="248"/>
      <c r="P133" s="248"/>
      <c r="Q133" s="248"/>
      <c r="R133" s="248"/>
      <c r="S133" s="248"/>
      <c r="T133" s="248"/>
      <c r="U133" s="248"/>
    </row>
    <row r="134" spans="2:21" s="230" customFormat="1" x14ac:dyDescent="0.25">
      <c r="B134" s="52"/>
      <c r="D134" s="52"/>
      <c r="H134" s="248"/>
      <c r="I134" s="248"/>
      <c r="J134" s="248"/>
      <c r="K134" s="248"/>
      <c r="L134" s="248"/>
      <c r="M134" s="248"/>
      <c r="N134" s="248"/>
      <c r="O134" s="248"/>
      <c r="P134" s="248"/>
      <c r="Q134" s="248"/>
      <c r="R134" s="248"/>
      <c r="S134" s="248"/>
      <c r="T134" s="248"/>
      <c r="U134" s="248"/>
    </row>
    <row r="135" spans="2:21" s="230" customFormat="1" x14ac:dyDescent="0.25">
      <c r="B135" s="52"/>
      <c r="D135" s="52"/>
      <c r="H135" s="248"/>
      <c r="I135" s="248"/>
      <c r="J135" s="248"/>
      <c r="K135" s="248"/>
      <c r="L135" s="248"/>
      <c r="M135" s="248"/>
      <c r="N135" s="248"/>
      <c r="O135" s="248"/>
      <c r="P135" s="248"/>
      <c r="Q135" s="248"/>
      <c r="R135" s="248"/>
      <c r="S135" s="248"/>
      <c r="T135" s="248"/>
      <c r="U135" s="248"/>
    </row>
    <row r="136" spans="2:21" s="230" customFormat="1" x14ac:dyDescent="0.25">
      <c r="B136" s="52"/>
      <c r="D136" s="52"/>
      <c r="H136" s="248"/>
      <c r="I136" s="248"/>
      <c r="J136" s="248"/>
      <c r="K136" s="248"/>
      <c r="L136" s="248"/>
      <c r="M136" s="248"/>
      <c r="N136" s="248"/>
      <c r="O136" s="248"/>
      <c r="P136" s="248"/>
      <c r="Q136" s="248"/>
      <c r="R136" s="248"/>
      <c r="S136" s="248"/>
      <c r="T136" s="248"/>
      <c r="U136" s="248"/>
    </row>
    <row r="137" spans="2:21" s="230" customFormat="1" x14ac:dyDescent="0.25">
      <c r="B137" s="52"/>
      <c r="D137" s="52"/>
      <c r="H137" s="248"/>
      <c r="I137" s="248"/>
      <c r="J137" s="248"/>
      <c r="K137" s="248"/>
      <c r="L137" s="248"/>
      <c r="M137" s="248"/>
      <c r="N137" s="248"/>
      <c r="O137" s="248"/>
      <c r="P137" s="248"/>
      <c r="Q137" s="248"/>
      <c r="R137" s="248"/>
      <c r="S137" s="248"/>
      <c r="T137" s="248"/>
      <c r="U137" s="248"/>
    </row>
    <row r="138" spans="2:21" s="230" customFormat="1" x14ac:dyDescent="0.25">
      <c r="B138" s="52"/>
      <c r="D138" s="52"/>
      <c r="H138" s="248"/>
      <c r="I138" s="248"/>
      <c r="J138" s="248"/>
      <c r="K138" s="248"/>
      <c r="L138" s="248"/>
      <c r="M138" s="248"/>
      <c r="N138" s="248"/>
      <c r="O138" s="248"/>
      <c r="P138" s="248"/>
      <c r="Q138" s="248"/>
      <c r="R138" s="248"/>
      <c r="S138" s="248"/>
      <c r="T138" s="248"/>
      <c r="U138" s="248"/>
    </row>
    <row r="139" spans="2:21" s="230" customFormat="1" x14ac:dyDescent="0.25">
      <c r="B139" s="52"/>
      <c r="D139" s="52"/>
      <c r="H139" s="248"/>
      <c r="I139" s="248"/>
      <c r="J139" s="248"/>
      <c r="K139" s="248"/>
      <c r="L139" s="248"/>
      <c r="M139" s="248"/>
      <c r="N139" s="248"/>
      <c r="O139" s="248"/>
      <c r="P139" s="248"/>
      <c r="Q139" s="248"/>
      <c r="R139" s="248"/>
      <c r="S139" s="248"/>
      <c r="T139" s="248"/>
      <c r="U139" s="248"/>
    </row>
    <row r="140" spans="2:21" s="230" customFormat="1" x14ac:dyDescent="0.25">
      <c r="B140" s="52"/>
      <c r="D140" s="52"/>
      <c r="H140" s="248"/>
      <c r="I140" s="248"/>
      <c r="J140" s="248"/>
      <c r="K140" s="248"/>
      <c r="L140" s="248"/>
      <c r="M140" s="248"/>
      <c r="N140" s="248"/>
      <c r="O140" s="248"/>
      <c r="P140" s="248"/>
      <c r="Q140" s="248"/>
      <c r="R140" s="248"/>
      <c r="S140" s="248"/>
      <c r="T140" s="248"/>
      <c r="U140" s="248"/>
    </row>
    <row r="141" spans="2:21" s="230" customFormat="1" x14ac:dyDescent="0.25">
      <c r="B141" s="52"/>
      <c r="D141" s="52"/>
      <c r="H141" s="248"/>
      <c r="I141" s="248"/>
      <c r="J141" s="248"/>
      <c r="K141" s="248"/>
      <c r="L141" s="248"/>
      <c r="M141" s="248"/>
      <c r="N141" s="248"/>
      <c r="O141" s="248"/>
      <c r="P141" s="248"/>
      <c r="Q141" s="248"/>
      <c r="R141" s="248"/>
      <c r="S141" s="248"/>
      <c r="T141" s="248"/>
      <c r="U141" s="248"/>
    </row>
    <row r="142" spans="2:21" s="230" customFormat="1" x14ac:dyDescent="0.25">
      <c r="B142" s="52"/>
      <c r="D142" s="52"/>
      <c r="H142" s="248"/>
      <c r="I142" s="248"/>
      <c r="J142" s="248"/>
      <c r="K142" s="248"/>
      <c r="L142" s="248"/>
      <c r="M142" s="248"/>
      <c r="N142" s="248"/>
      <c r="O142" s="248"/>
      <c r="P142" s="248"/>
      <c r="Q142" s="248"/>
      <c r="R142" s="248"/>
      <c r="S142" s="248"/>
      <c r="T142" s="248"/>
      <c r="U142" s="248"/>
    </row>
    <row r="143" spans="2:21" s="230" customFormat="1" x14ac:dyDescent="0.25">
      <c r="B143" s="52"/>
      <c r="D143" s="52"/>
      <c r="H143" s="248"/>
      <c r="I143" s="248"/>
      <c r="J143" s="248"/>
      <c r="K143" s="248"/>
      <c r="L143" s="248"/>
      <c r="M143" s="248"/>
      <c r="N143" s="248"/>
      <c r="O143" s="248"/>
      <c r="P143" s="248"/>
      <c r="Q143" s="248"/>
      <c r="R143" s="248"/>
      <c r="S143" s="248"/>
      <c r="T143" s="248"/>
      <c r="U143" s="248"/>
    </row>
    <row r="144" spans="2:21" s="230" customFormat="1" x14ac:dyDescent="0.25">
      <c r="B144" s="52"/>
      <c r="D144" s="52"/>
      <c r="H144" s="248"/>
      <c r="I144" s="248"/>
      <c r="J144" s="248"/>
      <c r="K144" s="248"/>
      <c r="L144" s="248"/>
      <c r="M144" s="248"/>
      <c r="N144" s="248"/>
      <c r="O144" s="248"/>
      <c r="P144" s="248"/>
      <c r="Q144" s="248"/>
      <c r="R144" s="248"/>
      <c r="S144" s="248"/>
      <c r="T144" s="248"/>
      <c r="U144" s="248"/>
    </row>
    <row r="145" spans="1:21" s="230" customFormat="1" x14ac:dyDescent="0.25">
      <c r="B145" s="52"/>
      <c r="D145" s="52"/>
      <c r="H145" s="248"/>
      <c r="I145" s="248"/>
      <c r="J145" s="248"/>
      <c r="K145" s="248"/>
      <c r="L145" s="248"/>
      <c r="M145" s="248"/>
      <c r="N145" s="248"/>
      <c r="O145" s="248"/>
      <c r="P145" s="248"/>
      <c r="Q145" s="248"/>
      <c r="R145" s="248"/>
      <c r="S145" s="248"/>
      <c r="T145" s="248"/>
      <c r="U145" s="248"/>
    </row>
    <row r="146" spans="1:21" s="230" customFormat="1" x14ac:dyDescent="0.25">
      <c r="B146" s="52"/>
      <c r="D146" s="52"/>
      <c r="H146" s="248"/>
      <c r="I146" s="248"/>
      <c r="J146" s="248"/>
      <c r="K146" s="248"/>
      <c r="L146" s="248"/>
      <c r="M146" s="248"/>
      <c r="N146" s="248"/>
      <c r="O146" s="248"/>
      <c r="P146" s="248"/>
      <c r="Q146" s="248"/>
      <c r="R146" s="248"/>
      <c r="S146" s="248"/>
      <c r="T146" s="248"/>
      <c r="U146" s="248"/>
    </row>
    <row r="147" spans="1:21" s="230" customFormat="1" x14ac:dyDescent="0.25">
      <c r="B147" s="52"/>
      <c r="D147" s="52"/>
      <c r="H147" s="248"/>
      <c r="I147" s="248"/>
      <c r="J147" s="248"/>
      <c r="K147" s="248"/>
      <c r="L147" s="248"/>
      <c r="M147" s="248"/>
      <c r="N147" s="248"/>
      <c r="O147" s="248"/>
      <c r="P147" s="248"/>
      <c r="Q147" s="248"/>
      <c r="R147" s="248"/>
      <c r="S147" s="248"/>
      <c r="T147" s="248"/>
      <c r="U147" s="248"/>
    </row>
    <row r="148" spans="1:21" s="230" customFormat="1" x14ac:dyDescent="0.25">
      <c r="B148" s="52"/>
      <c r="D148" s="52"/>
      <c r="H148" s="248"/>
      <c r="I148" s="248"/>
      <c r="J148" s="248"/>
      <c r="K148" s="248"/>
      <c r="L148" s="248"/>
      <c r="M148" s="248"/>
      <c r="N148" s="248"/>
      <c r="O148" s="248"/>
      <c r="P148" s="248"/>
      <c r="Q148" s="248"/>
      <c r="R148" s="248"/>
      <c r="S148" s="248"/>
      <c r="T148" s="248"/>
      <c r="U148" s="248"/>
    </row>
    <row r="149" spans="1:21" s="230" customFormat="1" x14ac:dyDescent="0.25">
      <c r="B149" s="52"/>
      <c r="D149" s="52"/>
      <c r="H149" s="248"/>
      <c r="I149" s="248"/>
      <c r="J149" s="248"/>
      <c r="K149" s="248"/>
      <c r="L149" s="248"/>
      <c r="M149" s="248"/>
      <c r="N149" s="248"/>
      <c r="O149" s="248"/>
      <c r="P149" s="248"/>
      <c r="Q149" s="248"/>
      <c r="R149" s="248"/>
      <c r="S149" s="248"/>
      <c r="T149" s="248"/>
      <c r="U149" s="248"/>
    </row>
    <row r="150" spans="1:21" s="230" customFormat="1" x14ac:dyDescent="0.25">
      <c r="B150" s="52"/>
      <c r="D150" s="52"/>
      <c r="H150" s="248"/>
      <c r="I150" s="248"/>
      <c r="J150" s="248"/>
      <c r="K150" s="248"/>
      <c r="L150" s="248"/>
      <c r="M150" s="248"/>
      <c r="N150" s="248"/>
      <c r="O150" s="248"/>
      <c r="P150" s="248"/>
      <c r="Q150" s="248"/>
      <c r="R150" s="248"/>
      <c r="S150" s="248"/>
      <c r="T150" s="248"/>
      <c r="U150" s="248"/>
    </row>
    <row r="151" spans="1:21" s="230" customFormat="1" x14ac:dyDescent="0.25">
      <c r="B151" s="52"/>
      <c r="D151" s="52"/>
      <c r="H151" s="248"/>
      <c r="I151" s="248"/>
      <c r="J151" s="248"/>
      <c r="K151" s="248"/>
      <c r="L151" s="248"/>
      <c r="M151" s="248"/>
      <c r="N151" s="248"/>
      <c r="O151" s="248"/>
      <c r="P151" s="248"/>
      <c r="Q151" s="248"/>
      <c r="R151" s="248"/>
      <c r="S151" s="248"/>
      <c r="T151" s="248"/>
      <c r="U151" s="248"/>
    </row>
    <row r="152" spans="1:21" s="230" customFormat="1" x14ac:dyDescent="0.25">
      <c r="B152" s="52"/>
      <c r="D152" s="52"/>
      <c r="H152" s="248"/>
      <c r="I152" s="248"/>
      <c r="J152" s="248"/>
      <c r="K152" s="248"/>
      <c r="L152" s="248"/>
      <c r="M152" s="248"/>
      <c r="N152" s="248"/>
      <c r="O152" s="248"/>
      <c r="P152" s="248"/>
      <c r="Q152" s="248"/>
      <c r="R152" s="248"/>
      <c r="S152" s="248"/>
      <c r="T152" s="248"/>
      <c r="U152" s="248"/>
    </row>
    <row r="153" spans="1:21" s="230" customFormat="1" x14ac:dyDescent="0.25">
      <c r="B153" s="52"/>
      <c r="D153" s="52"/>
      <c r="H153" s="248"/>
      <c r="I153" s="248"/>
      <c r="J153" s="248"/>
      <c r="K153" s="248"/>
      <c r="L153" s="248"/>
      <c r="M153" s="248"/>
      <c r="N153" s="248"/>
      <c r="O153" s="248"/>
      <c r="P153" s="248"/>
      <c r="Q153" s="248"/>
      <c r="R153" s="248"/>
      <c r="S153" s="248"/>
      <c r="T153" s="248"/>
      <c r="U153" s="248"/>
    </row>
    <row r="154" spans="1:21" s="230" customFormat="1" x14ac:dyDescent="0.25">
      <c r="B154" s="52"/>
      <c r="D154" s="52"/>
      <c r="H154" s="248"/>
      <c r="I154" s="248"/>
      <c r="J154" s="248"/>
      <c r="K154" s="248"/>
      <c r="L154" s="248"/>
      <c r="M154" s="248"/>
      <c r="N154" s="248"/>
      <c r="O154" s="248"/>
      <c r="P154" s="248"/>
      <c r="Q154" s="248"/>
      <c r="R154" s="248"/>
      <c r="S154" s="248"/>
      <c r="T154" s="248"/>
      <c r="U154" s="248"/>
    </row>
    <row r="155" spans="1:21" s="230" customFormat="1" x14ac:dyDescent="0.25">
      <c r="B155" s="52"/>
      <c r="D155" s="52"/>
      <c r="H155" s="248"/>
      <c r="I155" s="248"/>
      <c r="J155" s="248"/>
      <c r="K155" s="248"/>
      <c r="L155" s="248"/>
      <c r="M155" s="248"/>
      <c r="N155" s="248"/>
      <c r="O155" s="248"/>
      <c r="P155" s="248"/>
      <c r="Q155" s="248"/>
      <c r="R155" s="248"/>
      <c r="S155" s="248"/>
      <c r="T155" s="248"/>
      <c r="U155" s="248"/>
    </row>
    <row r="156" spans="1:21" s="230" customFormat="1" x14ac:dyDescent="0.25">
      <c r="B156" s="52"/>
      <c r="D156" s="52"/>
      <c r="H156" s="248"/>
      <c r="I156" s="248"/>
      <c r="J156" s="248"/>
      <c r="K156" s="248"/>
      <c r="L156" s="248"/>
      <c r="M156" s="248"/>
      <c r="N156" s="248"/>
      <c r="O156" s="248"/>
      <c r="P156" s="248"/>
      <c r="Q156" s="248"/>
      <c r="R156" s="248"/>
      <c r="S156" s="248"/>
      <c r="T156" s="248"/>
      <c r="U156" s="248"/>
    </row>
    <row r="157" spans="1:21" s="230" customFormat="1" x14ac:dyDescent="0.25">
      <c r="B157" s="52"/>
      <c r="D157" s="52"/>
      <c r="H157" s="248"/>
      <c r="I157" s="248"/>
      <c r="J157" s="248"/>
      <c r="K157" s="248"/>
      <c r="L157" s="248"/>
      <c r="M157" s="248"/>
      <c r="N157" s="248"/>
      <c r="O157" s="248"/>
      <c r="P157" s="248"/>
      <c r="Q157" s="248"/>
      <c r="R157" s="248"/>
      <c r="S157" s="248"/>
      <c r="T157" s="248"/>
      <c r="U157" s="248"/>
    </row>
    <row r="158" spans="1:21" x14ac:dyDescent="0.25">
      <c r="A158" s="230"/>
      <c r="C158" s="230"/>
      <c r="E158" s="230"/>
      <c r="F158" s="230"/>
      <c r="G158" s="230"/>
    </row>
    <row r="159" spans="1:21" x14ac:dyDescent="0.25">
      <c r="A159" s="230"/>
      <c r="C159" s="230"/>
      <c r="E159" s="230"/>
      <c r="F159" s="230"/>
      <c r="G159" s="230"/>
    </row>
  </sheetData>
  <phoneticPr fontId="47" type="noConversion"/>
  <pageMargins left="0.23622047244094491" right="0.23622047244094491" top="0.74803149606299213" bottom="0.74803149606299213" header="0.31496062992125984" footer="0.31496062992125984"/>
  <pageSetup paperSize="9" scale="19" orientation="landscape" r:id="rId1"/>
  <headerFooter alignWithMargins="0">
    <oddFooter>&amp;A&amp;RPage &amp;P</oddFooter>
  </headerFooter>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49568-063E-40EE-9877-19DE96FD033E}">
  <dimension ref="A1:G69"/>
  <sheetViews>
    <sheetView zoomScale="80" zoomScaleNormal="80" workbookViewId="0"/>
  </sheetViews>
  <sheetFormatPr defaultRowHeight="13.8" x14ac:dyDescent="0.25"/>
  <cols>
    <col min="2" max="2" width="20.8984375" customWidth="1"/>
    <col min="3" max="3" width="25.09765625" customWidth="1"/>
    <col min="4" max="4" width="26.59765625" bestFit="1" customWidth="1"/>
    <col min="5" max="5" width="13.09765625" customWidth="1"/>
    <col min="6" max="6" width="51.19921875" bestFit="1" customWidth="1"/>
    <col min="7" max="7" width="111.19921875" bestFit="1" customWidth="1"/>
  </cols>
  <sheetData>
    <row r="1" spans="1:7" x14ac:dyDescent="0.25">
      <c r="A1" s="428" t="s">
        <v>208</v>
      </c>
      <c r="B1" s="429" t="s">
        <v>567</v>
      </c>
      <c r="C1" s="429" t="s">
        <v>209</v>
      </c>
      <c r="D1" s="429" t="s">
        <v>210</v>
      </c>
      <c r="E1" s="429" t="s">
        <v>213</v>
      </c>
      <c r="F1" s="429" t="s">
        <v>211</v>
      </c>
      <c r="G1" s="430" t="s">
        <v>212</v>
      </c>
    </row>
    <row r="2" spans="1:7" x14ac:dyDescent="0.25">
      <c r="A2" s="422">
        <v>44440</v>
      </c>
      <c r="B2" s="423">
        <v>1</v>
      </c>
      <c r="C2" s="424" t="s">
        <v>271</v>
      </c>
      <c r="D2" s="425" t="s">
        <v>233</v>
      </c>
      <c r="E2" s="424" t="s">
        <v>568</v>
      </c>
      <c r="F2" s="424" t="s">
        <v>569</v>
      </c>
      <c r="G2" s="431" t="s">
        <v>570</v>
      </c>
    </row>
    <row r="3" spans="1:7" x14ac:dyDescent="0.25">
      <c r="A3" s="422">
        <v>44440</v>
      </c>
      <c r="B3" s="423">
        <v>2</v>
      </c>
      <c r="C3" s="424" t="s">
        <v>271</v>
      </c>
      <c r="D3" s="425" t="s">
        <v>233</v>
      </c>
      <c r="E3" s="424" t="s">
        <v>571</v>
      </c>
      <c r="F3" s="424" t="s">
        <v>572</v>
      </c>
      <c r="G3" s="431" t="s">
        <v>574</v>
      </c>
    </row>
    <row r="4" spans="1:7" x14ac:dyDescent="0.25">
      <c r="A4" s="422">
        <v>44440</v>
      </c>
      <c r="B4" s="423">
        <v>3</v>
      </c>
      <c r="C4" s="424" t="s">
        <v>271</v>
      </c>
      <c r="D4" s="425" t="s">
        <v>233</v>
      </c>
      <c r="E4" s="424" t="s">
        <v>568</v>
      </c>
      <c r="F4" s="424" t="s">
        <v>569</v>
      </c>
      <c r="G4" s="431" t="s">
        <v>585</v>
      </c>
    </row>
    <row r="5" spans="1:7" x14ac:dyDescent="0.25">
      <c r="A5" s="422"/>
      <c r="B5" s="423"/>
      <c r="C5" s="424"/>
      <c r="D5" s="425"/>
      <c r="E5" s="424"/>
      <c r="F5" s="424"/>
      <c r="G5" s="432"/>
    </row>
    <row r="6" spans="1:7" x14ac:dyDescent="0.25">
      <c r="A6" s="422"/>
      <c r="B6" s="423"/>
      <c r="C6" s="424"/>
      <c r="D6" s="425"/>
      <c r="E6" s="424"/>
      <c r="F6" s="424"/>
      <c r="G6" s="431"/>
    </row>
    <row r="7" spans="1:7" x14ac:dyDescent="0.25">
      <c r="A7" s="422"/>
      <c r="B7" s="423"/>
      <c r="C7" s="424"/>
      <c r="D7" s="425"/>
      <c r="E7" s="424"/>
      <c r="F7" s="424"/>
      <c r="G7" s="432"/>
    </row>
    <row r="8" spans="1:7" x14ac:dyDescent="0.25">
      <c r="A8" s="422"/>
      <c r="B8" s="423"/>
      <c r="C8" s="424"/>
      <c r="D8" s="425"/>
      <c r="E8" s="424"/>
      <c r="F8" s="424"/>
      <c r="G8" s="431"/>
    </row>
    <row r="9" spans="1:7" x14ac:dyDescent="0.25">
      <c r="A9" s="422"/>
      <c r="B9" s="423"/>
      <c r="C9" s="424"/>
      <c r="D9" s="425"/>
      <c r="E9" s="424"/>
      <c r="F9" s="424"/>
      <c r="G9" s="431"/>
    </row>
    <row r="10" spans="1:7" x14ac:dyDescent="0.25">
      <c r="A10" s="422"/>
      <c r="B10" s="423"/>
      <c r="C10" s="424"/>
      <c r="D10" s="425"/>
      <c r="E10" s="424"/>
      <c r="F10" s="424"/>
      <c r="G10" s="431"/>
    </row>
    <row r="11" spans="1:7" x14ac:dyDescent="0.25">
      <c r="A11" s="422"/>
      <c r="B11" s="423"/>
      <c r="C11" s="424"/>
      <c r="D11" s="425"/>
      <c r="E11" s="424"/>
      <c r="F11" s="424"/>
      <c r="G11" s="431"/>
    </row>
    <row r="12" spans="1:7" x14ac:dyDescent="0.25">
      <c r="A12" s="422"/>
      <c r="B12" s="423"/>
      <c r="C12" s="424"/>
      <c r="D12" s="425"/>
      <c r="E12" s="424"/>
      <c r="F12" s="424"/>
      <c r="G12" s="431"/>
    </row>
    <row r="13" spans="1:7" x14ac:dyDescent="0.25">
      <c r="A13" s="422"/>
      <c r="B13" s="423"/>
      <c r="C13" s="424"/>
      <c r="D13" s="325"/>
      <c r="E13" s="426"/>
      <c r="F13" s="426"/>
      <c r="G13" s="432"/>
    </row>
    <row r="14" spans="1:7" x14ac:dyDescent="0.25">
      <c r="A14" s="422"/>
      <c r="B14" s="423"/>
      <c r="C14" s="424"/>
      <c r="D14" s="425"/>
      <c r="E14" s="424"/>
      <c r="F14" s="426"/>
      <c r="G14" s="432"/>
    </row>
    <row r="15" spans="1:7" x14ac:dyDescent="0.25">
      <c r="A15" s="422"/>
      <c r="B15" s="423"/>
      <c r="C15" s="424"/>
      <c r="D15" s="325"/>
      <c r="E15" s="424"/>
      <c r="F15" s="424"/>
      <c r="G15" s="431"/>
    </row>
    <row r="16" spans="1:7" x14ac:dyDescent="0.25">
      <c r="A16" s="422"/>
      <c r="B16" s="423"/>
      <c r="C16" s="424"/>
      <c r="D16" s="325"/>
      <c r="E16" s="424"/>
      <c r="F16" s="424"/>
      <c r="G16" s="431"/>
    </row>
    <row r="17" spans="1:7" x14ac:dyDescent="0.25">
      <c r="A17" s="422"/>
      <c r="B17" s="423"/>
      <c r="C17" s="424"/>
      <c r="D17" s="425"/>
      <c r="E17" s="424"/>
      <c r="F17" s="424"/>
      <c r="G17" s="431"/>
    </row>
    <row r="18" spans="1:7" x14ac:dyDescent="0.25">
      <c r="A18" s="422"/>
      <c r="B18" s="423"/>
      <c r="C18" s="426"/>
      <c r="D18" s="325"/>
      <c r="E18" s="426"/>
      <c r="F18" s="426"/>
      <c r="G18" s="432"/>
    </row>
    <row r="19" spans="1:7" x14ac:dyDescent="0.25">
      <c r="A19" s="422"/>
      <c r="B19" s="423"/>
      <c r="C19" s="424"/>
      <c r="D19" s="425"/>
      <c r="E19" s="424"/>
      <c r="F19" s="424"/>
      <c r="G19" s="431"/>
    </row>
    <row r="20" spans="1:7" x14ac:dyDescent="0.25">
      <c r="A20" s="422"/>
      <c r="B20" s="423"/>
      <c r="C20" s="424"/>
      <c r="D20" s="425"/>
      <c r="E20" s="424"/>
      <c r="F20" s="424"/>
      <c r="G20" s="431"/>
    </row>
    <row r="21" spans="1:7" x14ac:dyDescent="0.25">
      <c r="A21" s="422"/>
      <c r="B21" s="423"/>
      <c r="C21" s="424"/>
      <c r="D21" s="425"/>
      <c r="E21" s="424"/>
      <c r="F21" s="424"/>
      <c r="G21" s="431"/>
    </row>
    <row r="22" spans="1:7" x14ac:dyDescent="0.25">
      <c r="A22" s="422"/>
      <c r="B22" s="423"/>
      <c r="C22" s="424"/>
      <c r="D22" s="425"/>
      <c r="E22" s="424"/>
      <c r="F22" s="424"/>
      <c r="G22" s="431"/>
    </row>
    <row r="23" spans="1:7" x14ac:dyDescent="0.25">
      <c r="A23" s="422"/>
      <c r="B23" s="423"/>
      <c r="C23" s="424"/>
      <c r="D23" s="425"/>
      <c r="E23" s="424"/>
      <c r="F23" s="424"/>
      <c r="G23" s="431"/>
    </row>
    <row r="24" spans="1:7" x14ac:dyDescent="0.25">
      <c r="A24" s="422"/>
      <c r="B24" s="423"/>
      <c r="C24" s="424"/>
      <c r="D24" s="425"/>
      <c r="E24" s="424"/>
      <c r="F24" s="424"/>
      <c r="G24" s="431"/>
    </row>
    <row r="25" spans="1:7" x14ac:dyDescent="0.25">
      <c r="A25" s="422"/>
      <c r="B25" s="423"/>
      <c r="C25" s="424"/>
      <c r="D25" s="425"/>
      <c r="E25" s="424"/>
      <c r="F25" s="424"/>
      <c r="G25" s="431"/>
    </row>
    <row r="26" spans="1:7" x14ac:dyDescent="0.25">
      <c r="A26" s="422"/>
      <c r="B26" s="423"/>
      <c r="C26" s="424"/>
      <c r="D26" s="425"/>
      <c r="E26" s="424"/>
      <c r="F26" s="424"/>
      <c r="G26" s="431"/>
    </row>
    <row r="27" spans="1:7" x14ac:dyDescent="0.25">
      <c r="A27" s="422"/>
      <c r="B27" s="423"/>
      <c r="C27" s="424"/>
      <c r="D27" s="425"/>
      <c r="E27" s="424"/>
      <c r="F27" s="424"/>
      <c r="G27" s="431"/>
    </row>
    <row r="28" spans="1:7" x14ac:dyDescent="0.25">
      <c r="A28" s="422"/>
      <c r="B28" s="423"/>
      <c r="C28" s="424"/>
      <c r="D28" s="425"/>
      <c r="E28" s="424"/>
      <c r="F28" s="424"/>
      <c r="G28" s="431"/>
    </row>
    <row r="29" spans="1:7" x14ac:dyDescent="0.25">
      <c r="A29" s="422"/>
      <c r="B29" s="423"/>
      <c r="C29" s="424"/>
      <c r="D29" s="425"/>
      <c r="E29" s="424"/>
      <c r="F29" s="424"/>
      <c r="G29" s="431"/>
    </row>
    <row r="30" spans="1:7" x14ac:dyDescent="0.25">
      <c r="A30" s="422"/>
      <c r="B30" s="423"/>
      <c r="C30" s="424"/>
      <c r="D30" s="425"/>
      <c r="E30" s="424"/>
      <c r="F30" s="424"/>
      <c r="G30" s="431"/>
    </row>
    <row r="31" spans="1:7" x14ac:dyDescent="0.25">
      <c r="A31" s="422"/>
      <c r="B31" s="423"/>
      <c r="C31" s="424"/>
      <c r="D31" s="425"/>
      <c r="E31" s="424"/>
      <c r="F31" s="424"/>
      <c r="G31" s="431"/>
    </row>
    <row r="32" spans="1:7" x14ac:dyDescent="0.25">
      <c r="A32" s="405"/>
      <c r="B32" s="427"/>
      <c r="C32" s="325"/>
      <c r="D32" s="331"/>
      <c r="E32" s="325"/>
      <c r="F32" s="325"/>
      <c r="G32" s="432"/>
    </row>
    <row r="33" spans="1:7" x14ac:dyDescent="0.25">
      <c r="A33" s="405"/>
      <c r="B33" s="427"/>
      <c r="C33" s="325"/>
      <c r="D33" s="325"/>
      <c r="E33" s="325"/>
      <c r="F33" s="325"/>
      <c r="G33" s="432"/>
    </row>
    <row r="34" spans="1:7" x14ac:dyDescent="0.25">
      <c r="A34" s="405"/>
      <c r="B34" s="427"/>
      <c r="C34" s="325"/>
      <c r="D34" s="325"/>
      <c r="E34" s="325"/>
      <c r="F34" s="325"/>
      <c r="G34" s="432"/>
    </row>
    <row r="35" spans="1:7" x14ac:dyDescent="0.25">
      <c r="A35" s="405"/>
      <c r="B35" s="427"/>
      <c r="C35" s="325"/>
      <c r="D35" s="325"/>
      <c r="E35" s="325"/>
      <c r="F35" s="325"/>
      <c r="G35" s="432"/>
    </row>
    <row r="36" spans="1:7" x14ac:dyDescent="0.25">
      <c r="A36" s="405"/>
      <c r="B36" s="427"/>
      <c r="C36" s="325"/>
      <c r="D36" s="325"/>
      <c r="E36" s="325"/>
      <c r="F36" s="325"/>
      <c r="G36" s="432"/>
    </row>
    <row r="37" spans="1:7" x14ac:dyDescent="0.25">
      <c r="A37" s="405"/>
      <c r="B37" s="427"/>
      <c r="C37" s="325"/>
      <c r="D37" s="325"/>
      <c r="E37" s="325"/>
      <c r="F37" s="325"/>
      <c r="G37" s="432"/>
    </row>
    <row r="38" spans="1:7" x14ac:dyDescent="0.25">
      <c r="A38" s="405"/>
      <c r="B38" s="427"/>
      <c r="C38" s="325"/>
      <c r="D38" s="325"/>
      <c r="E38" s="325"/>
      <c r="F38" s="325"/>
      <c r="G38" s="432"/>
    </row>
    <row r="39" spans="1:7" x14ac:dyDescent="0.25">
      <c r="A39" s="405"/>
      <c r="B39" s="427"/>
      <c r="C39" s="325"/>
      <c r="D39" s="325"/>
      <c r="E39" s="325"/>
      <c r="F39" s="325"/>
      <c r="G39" s="432"/>
    </row>
    <row r="40" spans="1:7" x14ac:dyDescent="0.25">
      <c r="A40" s="405"/>
      <c r="B40" s="427"/>
      <c r="C40" s="325"/>
      <c r="D40" s="325"/>
      <c r="E40" s="325"/>
      <c r="F40" s="325"/>
      <c r="G40" s="432"/>
    </row>
    <row r="41" spans="1:7" x14ac:dyDescent="0.25">
      <c r="A41" s="405"/>
      <c r="B41" s="427"/>
      <c r="C41" s="325"/>
      <c r="D41" s="325"/>
      <c r="E41" s="325"/>
      <c r="F41" s="325"/>
      <c r="G41" s="432"/>
    </row>
    <row r="42" spans="1:7" x14ac:dyDescent="0.25">
      <c r="A42" s="405"/>
      <c r="B42" s="427"/>
      <c r="C42" s="325"/>
      <c r="D42" s="325"/>
      <c r="E42" s="325"/>
      <c r="F42" s="325"/>
      <c r="G42" s="432"/>
    </row>
    <row r="43" spans="1:7" x14ac:dyDescent="0.25">
      <c r="A43" s="405"/>
      <c r="B43" s="427"/>
      <c r="C43" s="325"/>
      <c r="D43" s="325"/>
      <c r="E43" s="325"/>
      <c r="F43" s="325"/>
      <c r="G43" s="432"/>
    </row>
    <row r="44" spans="1:7" x14ac:dyDescent="0.25">
      <c r="A44" s="405"/>
      <c r="B44" s="427"/>
      <c r="C44" s="325"/>
      <c r="D44" s="325"/>
      <c r="E44" s="325"/>
      <c r="F44" s="325"/>
      <c r="G44" s="432"/>
    </row>
    <row r="45" spans="1:7" x14ac:dyDescent="0.25">
      <c r="A45" s="405"/>
      <c r="B45" s="427"/>
      <c r="C45" s="325"/>
      <c r="D45" s="325"/>
      <c r="E45" s="325"/>
      <c r="F45" s="325"/>
      <c r="G45" s="432"/>
    </row>
    <row r="46" spans="1:7" x14ac:dyDescent="0.25">
      <c r="A46" s="405"/>
      <c r="B46" s="427"/>
      <c r="C46" s="325"/>
      <c r="D46" s="325"/>
      <c r="E46" s="325"/>
      <c r="F46" s="325"/>
      <c r="G46" s="432"/>
    </row>
    <row r="47" spans="1:7" x14ac:dyDescent="0.25">
      <c r="A47" s="405"/>
      <c r="B47" s="427"/>
      <c r="C47" s="325"/>
      <c r="D47" s="325"/>
      <c r="E47" s="325"/>
      <c r="F47" s="325"/>
      <c r="G47" s="432"/>
    </row>
    <row r="48" spans="1:7" x14ac:dyDescent="0.25">
      <c r="A48" s="405"/>
      <c r="B48" s="427"/>
      <c r="C48" s="325"/>
      <c r="D48" s="325"/>
      <c r="E48" s="325"/>
      <c r="F48" s="325"/>
      <c r="G48" s="432"/>
    </row>
    <row r="49" spans="1:7" x14ac:dyDescent="0.25">
      <c r="A49" s="405"/>
      <c r="B49" s="427"/>
      <c r="C49" s="325"/>
      <c r="D49" s="325"/>
      <c r="E49" s="325"/>
      <c r="F49" s="325"/>
      <c r="G49" s="432"/>
    </row>
    <row r="50" spans="1:7" x14ac:dyDescent="0.25">
      <c r="A50" s="405"/>
      <c r="B50" s="427"/>
      <c r="C50" s="325"/>
      <c r="D50" s="325"/>
      <c r="E50" s="325"/>
      <c r="F50" s="325"/>
      <c r="G50" s="432"/>
    </row>
    <row r="51" spans="1:7" x14ac:dyDescent="0.25">
      <c r="A51" s="405"/>
      <c r="B51" s="427"/>
      <c r="C51" s="325"/>
      <c r="D51" s="325"/>
      <c r="E51" s="325"/>
      <c r="F51" s="325"/>
      <c r="G51" s="432"/>
    </row>
    <row r="52" spans="1:7" x14ac:dyDescent="0.25">
      <c r="A52" s="405"/>
      <c r="B52" s="427"/>
      <c r="C52" s="325"/>
      <c r="D52" s="325"/>
      <c r="E52" s="325"/>
      <c r="F52" s="325"/>
      <c r="G52" s="432"/>
    </row>
    <row r="53" spans="1:7" x14ac:dyDescent="0.25">
      <c r="A53" s="405"/>
      <c r="B53" s="427"/>
      <c r="C53" s="325"/>
      <c r="D53" s="325"/>
      <c r="E53" s="325"/>
      <c r="F53" s="325"/>
      <c r="G53" s="432"/>
    </row>
    <row r="54" spans="1:7" x14ac:dyDescent="0.25">
      <c r="A54" s="405"/>
      <c r="B54" s="427"/>
      <c r="C54" s="325"/>
      <c r="D54" s="325"/>
      <c r="E54" s="325"/>
      <c r="F54" s="325"/>
      <c r="G54" s="432"/>
    </row>
    <row r="55" spans="1:7" x14ac:dyDescent="0.25">
      <c r="A55" s="405"/>
      <c r="B55" s="427"/>
      <c r="C55" s="325"/>
      <c r="D55" s="325"/>
      <c r="E55" s="325"/>
      <c r="F55" s="325"/>
      <c r="G55" s="432"/>
    </row>
    <row r="56" spans="1:7" x14ac:dyDescent="0.25">
      <c r="A56" s="405"/>
      <c r="B56" s="427"/>
      <c r="C56" s="325"/>
      <c r="D56" s="325"/>
      <c r="E56" s="325"/>
      <c r="F56" s="325"/>
      <c r="G56" s="432"/>
    </row>
    <row r="57" spans="1:7" x14ac:dyDescent="0.25">
      <c r="A57" s="405"/>
      <c r="B57" s="427"/>
      <c r="C57" s="325"/>
      <c r="D57" s="325"/>
      <c r="E57" s="325"/>
      <c r="F57" s="325"/>
      <c r="G57" s="432"/>
    </row>
    <row r="58" spans="1:7" x14ac:dyDescent="0.25">
      <c r="A58" s="405"/>
      <c r="B58" s="427"/>
      <c r="C58" s="325"/>
      <c r="D58" s="325"/>
      <c r="E58" s="325"/>
      <c r="F58" s="325"/>
      <c r="G58" s="432"/>
    </row>
    <row r="59" spans="1:7" x14ac:dyDescent="0.25">
      <c r="A59" s="405"/>
      <c r="B59" s="427"/>
      <c r="C59" s="325"/>
      <c r="D59" s="325"/>
      <c r="E59" s="325"/>
      <c r="F59" s="325"/>
      <c r="G59" s="432"/>
    </row>
    <row r="60" spans="1:7" x14ac:dyDescent="0.25">
      <c r="A60" s="405"/>
      <c r="B60" s="427"/>
      <c r="C60" s="325"/>
      <c r="D60" s="325"/>
      <c r="E60" s="325"/>
      <c r="F60" s="325"/>
      <c r="G60" s="432"/>
    </row>
    <row r="61" spans="1:7" x14ac:dyDescent="0.25">
      <c r="A61" s="405"/>
      <c r="B61" s="427"/>
      <c r="C61" s="325"/>
      <c r="D61" s="325"/>
      <c r="E61" s="325"/>
      <c r="F61" s="325"/>
      <c r="G61" s="432"/>
    </row>
    <row r="62" spans="1:7" x14ac:dyDescent="0.25">
      <c r="A62" s="405"/>
      <c r="B62" s="427"/>
      <c r="C62" s="325"/>
      <c r="D62" s="325"/>
      <c r="E62" s="325"/>
      <c r="F62" s="325"/>
      <c r="G62" s="432"/>
    </row>
    <row r="63" spans="1:7" x14ac:dyDescent="0.25">
      <c r="A63" s="405"/>
      <c r="B63" s="427"/>
      <c r="C63" s="325"/>
      <c r="D63" s="325"/>
      <c r="E63" s="325"/>
      <c r="F63" s="325"/>
      <c r="G63" s="432"/>
    </row>
    <row r="64" spans="1:7" x14ac:dyDescent="0.25">
      <c r="A64" s="405"/>
      <c r="B64" s="427"/>
      <c r="C64" s="325"/>
      <c r="D64" s="325"/>
      <c r="E64" s="325"/>
      <c r="F64" s="325"/>
      <c r="G64" s="432"/>
    </row>
    <row r="65" spans="1:7" x14ac:dyDescent="0.25">
      <c r="A65" s="405"/>
      <c r="B65" s="427"/>
      <c r="C65" s="325"/>
      <c r="D65" s="325"/>
      <c r="E65" s="325"/>
      <c r="F65" s="325"/>
      <c r="G65" s="432"/>
    </row>
    <row r="66" spans="1:7" x14ac:dyDescent="0.25">
      <c r="A66" s="405"/>
      <c r="B66" s="427"/>
      <c r="C66" s="325"/>
      <c r="D66" s="325"/>
      <c r="E66" s="325"/>
      <c r="F66" s="325"/>
      <c r="G66" s="432"/>
    </row>
    <row r="67" spans="1:7" x14ac:dyDescent="0.25">
      <c r="A67" s="405"/>
      <c r="B67" s="427"/>
      <c r="C67" s="325"/>
      <c r="D67" s="325"/>
      <c r="E67" s="325"/>
      <c r="F67" s="325"/>
      <c r="G67" s="432"/>
    </row>
    <row r="68" spans="1:7" x14ac:dyDescent="0.25">
      <c r="A68" s="405"/>
      <c r="B68" s="427"/>
      <c r="C68" s="325"/>
      <c r="D68" s="325"/>
      <c r="E68" s="325"/>
      <c r="F68" s="325"/>
      <c r="G68" s="432"/>
    </row>
    <row r="69" spans="1:7" x14ac:dyDescent="0.25">
      <c r="A69" s="405"/>
      <c r="B69" s="427"/>
      <c r="C69" s="325"/>
      <c r="D69" s="325"/>
      <c r="E69" s="325"/>
      <c r="F69" s="325"/>
      <c r="G69" s="43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F11"/>
  <sheetViews>
    <sheetView zoomScale="80" zoomScaleNormal="80" workbookViewId="0"/>
  </sheetViews>
  <sheetFormatPr defaultColWidth="9" defaultRowHeight="13.2" x14ac:dyDescent="0.25"/>
  <cols>
    <col min="1" max="1" width="11.59765625" style="243" customWidth="1"/>
    <col min="2" max="2" width="22.3984375" style="243" customWidth="1"/>
    <col min="3" max="3" width="15.69921875" style="243" customWidth="1"/>
    <col min="4" max="4" width="84.19921875" style="243" customWidth="1"/>
    <col min="5" max="5" width="9" style="243"/>
    <col min="6" max="6" width="10" style="243" bestFit="1" customWidth="1"/>
    <col min="7" max="16384" width="9" style="243"/>
  </cols>
  <sheetData>
    <row r="1" spans="2:6" s="19" customFormat="1" ht="21" x14ac:dyDescent="0.4">
      <c r="B1" s="20" t="s">
        <v>200</v>
      </c>
      <c r="C1" s="18"/>
      <c r="D1" s="18"/>
    </row>
    <row r="2" spans="2:6" s="19" customFormat="1" ht="13.8" x14ac:dyDescent="0.25">
      <c r="B2" s="46" t="str">
        <f>Tradingname</f>
        <v>Southern Cross Pipelines Australia Pty Limited</v>
      </c>
      <c r="C2" s="47"/>
    </row>
    <row r="3" spans="2:6" s="19" customFormat="1" ht="15.75" customHeight="1" x14ac:dyDescent="0.55000000000000004">
      <c r="B3" s="48" t="s">
        <v>157</v>
      </c>
      <c r="C3" s="49">
        <f>Yearending</f>
        <v>44742</v>
      </c>
      <c r="D3" s="42"/>
    </row>
    <row r="4" spans="2:6" ht="21" x14ac:dyDescent="0.4">
      <c r="B4" s="242"/>
    </row>
    <row r="5" spans="2:6" ht="14.4" thickBot="1" x14ac:dyDescent="0.3">
      <c r="B5" s="437" t="s">
        <v>579</v>
      </c>
      <c r="C5" s="19"/>
      <c r="D5" s="19"/>
    </row>
    <row r="6" spans="2:6" ht="28.95" customHeight="1" thickBot="1" x14ac:dyDescent="0.3">
      <c r="B6" s="438" t="s">
        <v>316</v>
      </c>
      <c r="C6" s="568" t="s">
        <v>593</v>
      </c>
      <c r="D6" s="569"/>
    </row>
    <row r="7" spans="2:6" ht="18.75" customHeight="1" thickBot="1" x14ac:dyDescent="0.3">
      <c r="B7" s="438">
        <v>1.1000000000000001</v>
      </c>
      <c r="C7" s="568" t="s">
        <v>591</v>
      </c>
      <c r="D7" s="569"/>
    </row>
    <row r="8" spans="2:6" ht="32.4" customHeight="1" thickBot="1" x14ac:dyDescent="0.3">
      <c r="B8" s="438" t="s">
        <v>580</v>
      </c>
      <c r="C8" s="568" t="s">
        <v>581</v>
      </c>
      <c r="D8" s="569"/>
    </row>
    <row r="9" spans="2:6" ht="32.4" customHeight="1" thickBot="1" x14ac:dyDescent="0.3">
      <c r="B9" s="439" t="s">
        <v>580</v>
      </c>
      <c r="C9" s="570" t="s">
        <v>582</v>
      </c>
      <c r="D9" s="571"/>
    </row>
    <row r="10" spans="2:6" ht="220.95" customHeight="1" thickBot="1" x14ac:dyDescent="0.3">
      <c r="B10" s="439">
        <v>2.1</v>
      </c>
      <c r="C10" s="570" t="s">
        <v>589</v>
      </c>
      <c r="D10" s="571"/>
    </row>
    <row r="11" spans="2:6" ht="194.7" customHeight="1" thickBot="1" x14ac:dyDescent="0.3">
      <c r="B11" s="439">
        <v>2.1</v>
      </c>
      <c r="C11" s="570" t="s">
        <v>590</v>
      </c>
      <c r="D11" s="571"/>
      <c r="F11" s="471"/>
    </row>
  </sheetData>
  <mergeCells count="6">
    <mergeCell ref="C8:D8"/>
    <mergeCell ref="C9:D9"/>
    <mergeCell ref="C6:D6"/>
    <mergeCell ref="C10:D10"/>
    <mergeCell ref="C11:D11"/>
    <mergeCell ref="C7:D7"/>
  </mergeCells>
  <pageMargins left="0.23622047244094491" right="0.23622047244094491" top="0.74803149606299213" bottom="0.74803149606299213" header="0.31496062992125984" footer="0.31496062992125984"/>
  <pageSetup paperSize="9" orientation="landscape" r:id="rId1"/>
  <headerFooter alignWithMargins="0">
    <oddFooter>&amp;A&amp;RPage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B20"/>
  <sheetViews>
    <sheetView workbookViewId="0">
      <selection activeCell="A3" sqref="A3"/>
    </sheetView>
  </sheetViews>
  <sheetFormatPr defaultColWidth="9" defaultRowHeight="15" customHeight="1" x14ac:dyDescent="0.25"/>
  <cols>
    <col min="1" max="1" width="14.09765625" style="43" customWidth="1"/>
    <col min="2" max="2" width="27.69921875" style="43" customWidth="1"/>
    <col min="3" max="16384" width="9" style="43"/>
  </cols>
  <sheetData>
    <row r="1" spans="1:2" ht="15" customHeight="1" x14ac:dyDescent="0.25">
      <c r="A1" s="43" t="s">
        <v>137</v>
      </c>
    </row>
    <row r="3" spans="1:2" ht="15" customHeight="1" x14ac:dyDescent="0.25">
      <c r="A3" s="312"/>
      <c r="B3" s="314" t="s">
        <v>128</v>
      </c>
    </row>
    <row r="4" spans="1:2" ht="15" customHeight="1" x14ac:dyDescent="0.25">
      <c r="A4" s="313"/>
      <c r="B4" s="314" t="s">
        <v>78</v>
      </c>
    </row>
    <row r="5" spans="1:2" ht="15" customHeight="1" x14ac:dyDescent="0.25">
      <c r="A5" s="313"/>
      <c r="B5" s="314" t="s">
        <v>129</v>
      </c>
    </row>
    <row r="6" spans="1:2" ht="15" customHeight="1" x14ac:dyDescent="0.25">
      <c r="A6" s="313"/>
      <c r="B6" s="314" t="s">
        <v>131</v>
      </c>
    </row>
    <row r="7" spans="1:2" ht="15" customHeight="1" x14ac:dyDescent="0.25">
      <c r="A7" s="313"/>
      <c r="B7" s="314" t="s">
        <v>329</v>
      </c>
    </row>
    <row r="8" spans="1:2" ht="15" customHeight="1" x14ac:dyDescent="0.25">
      <c r="A8" s="313"/>
      <c r="B8" s="314" t="s">
        <v>133</v>
      </c>
    </row>
    <row r="9" spans="1:2" ht="15" customHeight="1" x14ac:dyDescent="0.25">
      <c r="A9" s="313"/>
      <c r="B9" s="314" t="s">
        <v>0</v>
      </c>
    </row>
    <row r="10" spans="1:2" ht="15" customHeight="1" x14ac:dyDescent="0.25">
      <c r="A10" s="313"/>
      <c r="B10" s="314" t="s">
        <v>135</v>
      </c>
    </row>
    <row r="11" spans="1:2" ht="15" customHeight="1" x14ac:dyDescent="0.25">
      <c r="A11" s="313"/>
      <c r="B11" s="314" t="s">
        <v>203</v>
      </c>
    </row>
    <row r="12" spans="1:2" ht="15" customHeight="1" x14ac:dyDescent="0.25">
      <c r="A12" s="313"/>
      <c r="B12" s="315" t="s">
        <v>435</v>
      </c>
    </row>
    <row r="13" spans="1:2" ht="15" customHeight="1" x14ac:dyDescent="0.25">
      <c r="A13" s="313"/>
      <c r="B13" s="313"/>
    </row>
    <row r="14" spans="1:2" ht="15" customHeight="1" x14ac:dyDescent="0.25">
      <c r="A14" s="313"/>
      <c r="B14" s="313"/>
    </row>
    <row r="15" spans="1:2" ht="15" customHeight="1" x14ac:dyDescent="0.25">
      <c r="A15" s="312" t="s">
        <v>436</v>
      </c>
      <c r="B15" s="315" t="s">
        <v>432</v>
      </c>
    </row>
    <row r="16" spans="1:2" ht="15" customHeight="1" x14ac:dyDescent="0.25">
      <c r="A16" s="313"/>
      <c r="B16" s="315" t="s">
        <v>264</v>
      </c>
    </row>
    <row r="17" spans="1:2" ht="15" customHeight="1" x14ac:dyDescent="0.25">
      <c r="A17" s="313"/>
      <c r="B17" s="315" t="s">
        <v>434</v>
      </c>
    </row>
    <row r="18" spans="1:2" ht="15" customHeight="1" x14ac:dyDescent="0.25">
      <c r="A18" s="313"/>
      <c r="B18" s="313"/>
    </row>
    <row r="19" spans="1:2" ht="15" customHeight="1" x14ac:dyDescent="0.25">
      <c r="A19" s="312" t="s">
        <v>439</v>
      </c>
      <c r="B19" s="311" t="s">
        <v>437</v>
      </c>
    </row>
    <row r="20" spans="1:2" ht="15" customHeight="1" x14ac:dyDescent="0.25">
      <c r="A20" s="313"/>
      <c r="B20" s="311" t="s">
        <v>438</v>
      </c>
    </row>
  </sheetData>
  <pageMargins left="0.7" right="0.7" top="0.75" bottom="0.75" header="0.3" footer="0.3"/>
  <pageSetup paperSize="9" orientation="landscape" r:id="rId1"/>
  <headerFooter>
    <oddFooter>&amp;L&amp;8&amp;F&amp;D&amp;T&amp;C&amp;8&amp;A&amp;R&amp;8Page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27</vt:i4>
      </vt:variant>
    </vt:vector>
  </HeadingPairs>
  <TitlesOfParts>
    <vt:vector size="51"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Asset useful life</vt:lpstr>
      <vt:lpstr>3.2 Shared supporting assets</vt:lpstr>
      <vt:lpstr>Auditor's Report Statements</vt:lpstr>
      <vt:lpstr>4. Recovered capital</vt:lpstr>
      <vt:lpstr>4.1 Pipelines capex</vt:lpstr>
      <vt:lpstr>Auditor's Review Report RCM</vt:lpstr>
      <vt:lpstr>5. Weighted average price</vt:lpstr>
      <vt:lpstr>5.1 Exempt WAP services</vt:lpstr>
      <vt:lpstr>5.2 Actual Pricing</vt:lpstr>
      <vt:lpstr>Auditor's Review Report WAP</vt:lpstr>
      <vt:lpstr>Amendment record</vt:lpstr>
      <vt:lpstr>APA Amendment record</vt:lpstr>
      <vt:lpstr>6. Notes</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'Amendment record'!Print_Area</vt:lpstr>
      <vt:lpstr>Contents!Print_Area</vt:lpstr>
      <vt:lpstr>Cover!Print_Area</vt:lpstr>
      <vt:lpstr>Sheet1!Print_Area</vt:lpstr>
      <vt:lpstr>rpipelines</vt:lpstr>
      <vt:lpstr>rsharedassets</vt:lpstr>
      <vt:lpstr>rYesNo</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2019-10-28T02:12:10Z</cp:lastPrinted>
  <dcterms:created xsi:type="dcterms:W3CDTF">2012-02-16T03:44:14Z</dcterms:created>
  <dcterms:modified xsi:type="dcterms:W3CDTF">2022-11-01T00:15:01Z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msoThemeDark1">
    <vt:lpwstr>0</vt:lpwstr>
  </property>
  <property fmtid="{D5CDD505-2E9C-101B-9397-08002B2CF9AE}" pid="4" name="msoThemeLight1">
    <vt:lpwstr>16777215</vt:lpwstr>
  </property>
  <property fmtid="{D5CDD505-2E9C-101B-9397-08002B2CF9AE}" pid="5" name="msoThemeDark2">
    <vt:lpwstr>8210719</vt:lpwstr>
  </property>
  <property fmtid="{D5CDD505-2E9C-101B-9397-08002B2CF9AE}" pid="6" name="msoThemeLight2">
    <vt:lpwstr>14806254</vt:lpwstr>
  </property>
  <property fmtid="{D5CDD505-2E9C-101B-9397-08002B2CF9AE}" pid="7" name="msoThemeAccent1">
    <vt:lpwstr>12419407</vt:lpwstr>
  </property>
  <property fmtid="{D5CDD505-2E9C-101B-9397-08002B2CF9AE}" pid="8" name="msoThemeAccent2">
    <vt:lpwstr>5066944</vt:lpwstr>
  </property>
  <property fmtid="{D5CDD505-2E9C-101B-9397-08002B2CF9AE}" pid="9" name="msoThemeAccent3">
    <vt:lpwstr>5880731</vt:lpwstr>
  </property>
  <property fmtid="{D5CDD505-2E9C-101B-9397-08002B2CF9AE}" pid="10" name="msoThemeAccent4">
    <vt:lpwstr>10642560</vt:lpwstr>
  </property>
  <property fmtid="{D5CDD505-2E9C-101B-9397-08002B2CF9AE}" pid="11" name="msoThemeAccent5">
    <vt:lpwstr>13020235</vt:lpwstr>
  </property>
  <property fmtid="{D5CDD505-2E9C-101B-9397-08002B2CF9AE}" pid="12" name="msoThemeAccent6">
    <vt:lpwstr>4626167</vt:lpwstr>
  </property>
  <property fmtid="{D5CDD505-2E9C-101B-9397-08002B2CF9AE}" pid="13" name="msoThemeHyperlink">
    <vt:lpwstr>16711680</vt:lpwstr>
  </property>
  <property fmtid="{D5CDD505-2E9C-101B-9397-08002B2CF9AE}" pid="14" name="msoThemeFollowedHyperlink">
    <vt:lpwstr>8388736</vt:lpwstr>
  </property>
  <property fmtid="{D5CDD505-2E9C-101B-9397-08002B2CF9AE}" pid="15" name="MinorFont">
    <vt:lpwstr>Calibri</vt:lpwstr>
  </property>
  <property fmtid="{D5CDD505-2E9C-101B-9397-08002B2CF9AE}" pid="16" name="MajorFont">
    <vt:lpwstr>Cambria</vt:lpwstr>
  </property>
  <property fmtid="{D5CDD505-2E9C-101B-9397-08002B2CF9AE}" pid="17" name="NormalBorders">
    <vt:lpwstr>-4142/2/0/-4142/2/0/-4142/2/0/-4142/2/0/-4142/2/0/-4142/2/0</vt:lpwstr>
  </property>
  <property fmtid="{D5CDD505-2E9C-101B-9397-08002B2CF9AE}" pid="18" name="Heading 1Borders">
    <vt:lpwstr>-4142/2/0/-4142/2/0/-4142/2/0/1/4/13421619/-4142/2/0/-4142/2/0</vt:lpwstr>
  </property>
  <property fmtid="{D5CDD505-2E9C-101B-9397-08002B2CF9AE}" pid="19" name="Heading 2Borders">
    <vt:lpwstr>-4142/2/0/-4142/2/0/-4142/2/0/1/4/8421376/-4142/2/0/-4142/2/0</vt:lpwstr>
  </property>
  <property fmtid="{D5CDD505-2E9C-101B-9397-08002B2CF9AE}" pid="20" name="Heading 3Borders">
    <vt:lpwstr>-4142/2/0/-4142/2/0/-4142/2/0/1/-4138/8421376/-4142/2/0/-4142/2/0</vt:lpwstr>
  </property>
  <property fmtid="{D5CDD505-2E9C-101B-9397-08002B2CF9AE}" pid="21" name="Heading 4Borders">
    <vt:lpwstr>-4142/2/0/-4142/2/0/-4142/2/0/-4142/2/0/-4142/2/0/-4142/2/0</vt:lpwstr>
  </property>
  <property fmtid="{D5CDD505-2E9C-101B-9397-08002B2CF9AE}" pid="22" name="TitleBorders">
    <vt:lpwstr>-4142/2/0/-4142/2/0/-4142/2/0/-4142/2/0/-4142/2/0/-4142/2/0</vt:lpwstr>
  </property>
  <property fmtid="{D5CDD505-2E9C-101B-9397-08002B2CF9AE}" pid="23" name="Normal">
    <vt:lpwstr>-1/0/-1/-1/-1/-1/-1/10/0/0/-4142/0/Arial/0</vt:lpwstr>
  </property>
  <property fmtid="{D5CDD505-2E9C-101B-9397-08002B2CF9AE}" pid="24" name="Heading 1">
    <vt:lpwstr>0/0/-1/0/-1/0/0/15/-1/0/-4142/0/Calibri/10040115</vt:lpwstr>
  </property>
  <property fmtid="{D5CDD505-2E9C-101B-9397-08002B2CF9AE}" pid="25" name="Heading 2">
    <vt:lpwstr>0/0/-1/0/-1/0/0/13/-1/0/-4142/0/Calibri/10040115</vt:lpwstr>
  </property>
  <property fmtid="{D5CDD505-2E9C-101B-9397-08002B2CF9AE}" pid="26" name="Heading 3">
    <vt:lpwstr>0/0/-1/0/-1/0/0/11/-1/0/-4142/0/Calibri/10040115</vt:lpwstr>
  </property>
  <property fmtid="{D5CDD505-2E9C-101B-9397-08002B2CF9AE}" pid="27" name="Heading 4">
    <vt:lpwstr>0/0/-1/0/0/0/0/11/-1/0/-4142/0/Calibri/10040115</vt:lpwstr>
  </property>
  <property fmtid="{D5CDD505-2E9C-101B-9397-08002B2CF9AE}" pid="28" name="Title">
    <vt:lpwstr>0/0/-1/0/0/0/0/18/-1/0/-4142/0/Cambria/10040115</vt:lpwstr>
  </property>
</Properties>
</file>